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024B6F74-DB8A-6D49-8BFF-882AC7B48C5C}"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T584" i="1"/>
  <c r="BT585" i="1"/>
  <c r="BT586" i="1"/>
  <c r="BT587" i="1"/>
  <c r="BT588" i="1"/>
  <c r="BT589" i="1"/>
  <c r="BT590" i="1"/>
  <c r="BT591" i="1"/>
  <c r="BT592"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<sst xmlns="http://schemas.openxmlformats.org/spreadsheetml/2006/main" count="59836" uniqueCount="19246">
  <si>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</si>
  <si>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</si>
  <si>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</si>
  <si>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</si>
  <si>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</si>
  <si>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</si>
  <si>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</si>
  <si>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</si>
  <si>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</si>
  <si>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</si>
  <si>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</si>
  <si>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</si>
  <si>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</si>
  <si>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</si>
  <si>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</si>
  <si>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</si>
  <si>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</si>
  <si>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</si>
  <si>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</si>
  <si>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</si>
  <si>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</si>
  <si>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</si>
  <si>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</si>
  <si>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</si>
  <si>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</si>
  <si>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</si>
  <si>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</si>
  <si>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</si>
  <si>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</si>
  <si>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</si>
  <si>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</si>
  <si>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</si>
  <si>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</si>
  <si>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</si>
  <si>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</si>
  <si>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</si>
  <si>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</si>
  <si>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</si>
  <si>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</si>
  <si>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</si>
  <si>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</si>
  <si>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</si>
  <si>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</si>
  <si>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</si>
  <si>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</si>
  <si>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</si>
  <si>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</si>
  <si>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</si>
  <si>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</si>
  <si>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</si>
  <si>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</si>
  <si>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</si>
  <si>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</si>
  <si>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</si>
  <si>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</si>
  <si>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</si>
  <si>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</si>
  <si>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</si>
  <si>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</si>
  <si>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</si>
  <si>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</si>
  <si>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</si>
  <si>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</si>
  <si>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</si>
  <si>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</si>
  <si>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</si>
  <si>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</si>
  <si>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</si>
  <si>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</si>
  <si>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</si>
  <si>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</si>
  <si>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</si>
  <si>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</si>
  <si>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Schadeberg, A; Ford, E; Wieczorek, AM; Gammage, LC; López-Acosta, M; Buselic, I; Dermastia, TT; Fontela, M; Galobart, C; Monferrer, NL; Lubosny, M; Piarulli, S; Suaria, G</t>
  </si>
  <si>
    <t/>
  </si>
  <si>
    <t>Schadeberg, Amanda; Ford, Eleanor; Wieczorek, Alina M.; Gammage, Louise C.; Lopez-Acosta, Maria; Buselic, Ivana; Dermastia, Timotej Turk; Fontela, Marcos; Galobart, Cristina; Monferrer, Natalia Llopis; Lubosny, Marek; Piarulli, Stefania; Suaria, Giuseppe</t>
  </si>
  <si>
    <t>Productivity, pressure, and new perspectives: impacts of the COVID-19 pandemic on marine early-career researchers</t>
  </si>
  <si>
    <t>ICES JOURNAL OF MARINE SCIENCE</t>
  </si>
  <si>
    <t>English</t>
  </si>
  <si>
    <t>Article</t>
  </si>
  <si>
    <t>early career scientists; intersectional; institutional responses; marine science; reflexive science; SARS-CoV-2; UN Ocean Decade</t>
  </si>
  <si>
    <t>SCIENCE</t>
  </si>
  <si>
    <t>The worldwide disruption caused by the beginning of the COVID-19 pandemic has dramatically impacted the activities of marine scientists working towards the goals of the UN Ocean Decade. As in other disciplines, marine early-career researchers (ECRs) are essential contributors to the development of novel and innovative science. Based on a survey of 322 of our peers, we show that the pandemic negatively impacted marine ECRs in ways that further exacerbate existing structural challenges such as social isolation, job insecurity, and short-term contracts, competitive funding, and work pressure. Furthermore, we find that the success and wellbeing of marine ECRs depends heavily on networking opportunities, gaining practical experience, collecting data, and producing publications, all of which were disrupted by the pandemic. Our analysis shows that those in the earliest stages of their careers feel most vulnerable to long-term career disadvantage as a result of the pandemic. This paper contributes to the empirical body of work about the impacts of the pandemic on marine science and offers recommendations on how marine ECRs should be supported to achieve the UN Ocean Decade's goal of producing the science we need for the ocean we want.</t>
  </si>
  <si>
    <t>[Schadeberg, Amanda] Wageningen Univ &amp; Res, Droevendaalsesteeg 2, NL-6708 PB Wageningen, Netherlands; [Ford, Eleanor] Scottish Assoc Marine Sci Oban, Oban PA37 1QA, Argyll, Scotland; [Ford, Eleanor] Swansea Univ, Singleton Pk 36208, Swansea SA2 8PP, W Glam, Wales; [Wieczorek, Alina M.] Marine Inst, Galway H91 R673, Ireland; [Wieczorek, Alina M.] Natl Inst Water &amp; Atmospher Res, 41 Market Pl, Auckland Cent 1149, New Zealand; [Gammage, Louise C.] Univ Cape Town, Dept Biol Sci, RW James Bldg,Residence Rd, ZA-7700 Cape Town, South Africa; [Gammage, Louise C.] Univ Cape Town, Marine &amp; Antarctic Ctr Innovat &amp; Sustainabil MARI, RW James Bldg,Residence Rd, ZA-7700 Cape Town, South Africa; [Lopez-Acosta, Maria] Inst Invest Marinas IIM CSIC, Oceanol Grp, C Eduardo Cabello 6, Vigo 36208, Spain; [Buselic, Ivana] Inst Oceanog &amp; Fisheries, Lab Aquaculture, Setaliste Ivana Mestrovica 63, Split 21000, Croatia; [Dermastia, Timotej Turk] Natl Inst Biol, Marine Biol Stn Piran, Fornace 41, Piran 6330, Slovenia; [Fontela, Marcos] Ctr Marine Sci CCMAR, Campus Gambelas,Edificio 7, P-8005 Faro, Portugal; [Fontela, Marcos] Univ Vigo, Ctr Invest Marina, Illa Toralla S-N,PO 36208, Vigo, Spain; [Galobart, Cristina] Ctr Estudis Avancats Blanes CEAB CSIC, Urbanizac Cala St Francesc 14, Blanes 17300, Gerona, Spain; [Monferrer, Natalia Llopis] Univ Bretagne Occidentale, CNRS, IRD, IFREMER,LEMAR, 3 R Arch, F-29200 Brest 29, France; [Lubosny, Marek] Polish Acad Sci, Inst Oceanol, Powstancow Warszawy 55, PL-81712 Sopot, Woj Pomorskie, Poland; [Piarulli, Stefania] Dept Biol Geol &amp; Environm Sci, Via S Alberto 163, I-48123 Ravenna, Italy; [Piarulli, Stefania] SINTEF Ocean, Dept Climate &amp; Environm, Brattorkaia 17C, N-7010 Trondheim, Norway; [Suaria, Giuseppe] Natl Res Council CNR ISMAR, Inst Marine Sci, I-60125 Largo Fiera Della Pesca, AN, Italy</t>
  </si>
  <si>
    <t>Wageningen University &amp; Research; Swansea University; Marine Institute Ireland; University of Cape Town; University of Cape Town; Consejo Superior de Investigaciones Cientificas (CSIC); CSIC - Instituto de Investigaciones Marinas (IIM); Croatian Institute of Oceanography &amp; Fisheries (IZOR); National Institute of Biology - Slovenia; Universidade de Vigo; CIM UVIGO; Consejo Superior de Investigaciones Cientificas (CSIC); CSIC - Centre d'Estudis Avancats de Blanes (CEAB); Universite de Bretagne Occidentale; Centre National de la Recherche Scientifique (CNRS); Ifremer; Institut de Recherche pour le Developpement (IRD); Polish Academy of Sciences; Institute of Oceanology of the Polish Academy of Sciences; SINTEF; Consiglio Nazionale delle Ricerche (CNR); Istituto di Scienze Marine (ISMAR-CNR)</t>
  </si>
  <si>
    <t>Schadeberg, A (corresponding author), Wageningen Univ &amp; Res, Droevendaalsesteeg 2, NL-6708 PB Wageningen, Netherlands.</t>
  </si>
  <si>
    <t>amanda.schadeberg@wur.nl</t>
  </si>
  <si>
    <t>Gammage, Louise C./V-7350-2019; Suaria, Giuseppe/O-4210-2014; Piarulli, Stefania/AAF-8782-2020; Turk Dermastia, Timotej/HCI-1484-2022; Buselic, Ivana/L-3537-2019; Fontela, Marcos/ABB-3099-2021</t>
  </si>
  <si>
    <t>Gammage, Louise C./0000-0002-3751-0958; Suaria, Giuseppe/0000-0002-4290-349X; Piarulli, Stefania/0000-0002-2979-7186; Turk Dermastia, Timotej/0000-0002-5588-1226; Buselic, Ivana/0000-0003-2354-5786; Galobart, Cristina/0000-0002-3179-6203; Schadeberg, Amanda/0000-0003-4758-7331; Lubosny, Marek/0000-0001-6370-8880; Lopez-Acosta, Maria/0000-0002-0233-8457; Fontela, Marcos/0000-0002-7486-0922</t>
  </si>
  <si>
    <t>OXFORD UNIV PRESS</t>
  </si>
  <si>
    <t>OXFORD</t>
  </si>
  <si>
    <t>GREAT CLARENDON ST, OXFORD OX2 6DP, ENGLAND</t>
  </si>
  <si>
    <t>1054-3139</t>
  </si>
  <si>
    <t>1095-9289</t>
  </si>
  <si>
    <t>ICES J MAR SCI</t>
  </si>
  <si>
    <t>ICES J. Mar. Sci.</t>
  </si>
  <si>
    <t>OCT 26</t>
  </si>
  <si>
    <t>10.1093/icesjms/fsac167</t>
  </si>
  <si>
    <t>OCT 2022</t>
  </si>
  <si>
    <t>Fisheries; Marine &amp; Freshwater Biology; Oceanography</t>
  </si>
  <si>
    <t>Science Citation Index Expanded (SCI-EXPANDED)</t>
  </si>
  <si>
    <t>5O8KE</t>
  </si>
  <si>
    <t>hybrid, Green Submitted</t>
  </si>
  <si>
    <t>2024-04-21</t>
  </si>
  <si>
    <t>WOS:000863813500001</t>
  </si>
  <si>
    <t>Martin, J; Davies, BJ; Jones, R; Thorndycraft, V</t>
  </si>
  <si>
    <t>Martin, Julian; Davies, Bethan J.; Jones, Richard; Thorndycraft, Varyl</t>
  </si>
  <si>
    <t>Modelled sensitivity of Monte San Lorenzo ice cap, Patagonian Andes, to past and present climate</t>
  </si>
  <si>
    <t>FRONTIERS IN EARTH SCIENCE</t>
  </si>
  <si>
    <t>Patagonia; glaciers and climate; modelling; PISM; palaeoclimate</t>
  </si>
  <si>
    <t>LAST GLACIAL MAXIMUM; ANTARCTIC COLD REVERSAL; EQUILIBRIUM-LINE ALTITUDES; SOUTHERN ANNULAR MODE; SURFACE MASS-BALANCE; HIGH-ARCTIC GLACIER; GRAN-CAMPO-NEVADO; NORTHERN PATAGONIA; ENERGY-BALANCE; YOUNGER DRYAS</t>
  </si>
  <si>
    <t>Sparse measurements of glacier mass balance, velocity and ice thickness in Patagonia challenge our ability to understand glacier sensitivity to climate change and relate past glacier fluctuations to palaeoclimate change. Small ice caps, such as Monte San Lorenzo, have short response times and high climate sensitivity, making well-dated moraines in their glacier foregrounds an important tool for exploring glacier response to rapid changes in palaeoclimate. Here, the Parallel Ice Sheet Model (PISM) is used to model ice flow across a domain centred on the Monte San Lorenzo ice cap. Ice-flow parameters are calibrated to match present-day ice extent, velocity and thickness. Our aim is, firstly, to quantify present-day physical glacier properties, and ice cap dynamics and sensitivities, and secondarily, to evaluate the controls on the deglaciation of the ice cap within the context of the Southern Hemisphere palaeoclimate system during the Last Glacial-Interglacial Transition (LGIT). The simulated present-day ice cap shows high surface mass flux, with ablation at outlet glacier tongues up to 18 m w. e. a(-1), accumulation at the highest elevations of up to 5.5 m w. e. a(-1) and a simulated Equilibrium Line Altitude (ELA) of 1750-2000 m asl. The ice cap is more sensitive to changes in precipitation relative to changes in temperature. We provide envelopes with likely ranges of palaeotemperature and palaeoprecipitation for glacial advances to moraines formed during the Last Glacial-Interglacial Transition and Holocene. Our numerical model predicts that cooling and an increase in precipitation is required to force glacial advance to mapped moraine limits at 12.1 ka (2? cooler, 50% more precipitation), 5.6 ka (0? cooler, 50% more precipitation) and 0.2 ka (1? cooler, 25% more precipitation). Our modelling results thus provide insights into the present-day mass balance, thermal regime and velocity of the ice cap, explores the sensitivities of this ice cap to various model and climatic parameters, and provide palaeoclimatic envelopes for readvances during the LGIT and Holocene in Patagonia.</t>
  </si>
  <si>
    <t>[Martin, Julian; Davies, Bethan J.; Thorndycraft, Varyl] Royal Holloway Univ London, Ctr Quaternary Res, Dept Geog, Egham, England; [Martin, Julian] Royal Geog Soc IBG, London, England; [Davies, Bethan J.] Newcastle Univ, Sch Geog Polit &amp; Sociol, Newcastle Upon Tyne, England; [Jones, Richard] Monash Univ, Sch Earth Atmosphere &amp; Environm, Clayton, Vic, Australia</t>
  </si>
  <si>
    <t>University of London; Royal Holloway University London; Newcastle University - UK; Monash University</t>
  </si>
  <si>
    <t>Davies, BJ (corresponding author), Royal Holloway Univ London, Ctr Quaternary Res, Dept Geog, Egham, England.;Davies, BJ (corresponding author), Newcastle Univ, Sch Geog Polit &amp; Sociol, Newcastle Upon Tyne, England.</t>
  </si>
  <si>
    <t>bethan.davies@ncl.ac.uk</t>
  </si>
  <si>
    <t>Davies, Bethan/S-3746-2019; Jones, Richard Selwyn/AAJ-3949-2021</t>
  </si>
  <si>
    <t>Davies, Bethan/0000-0002-3789-8462; Jones, Richard Selwyn/0000-0003-2988-0999</t>
  </si>
  <si>
    <t>Natural Environment Research Council; [NE/L002485/1]</t>
  </si>
  <si>
    <t>Natural Environment Research Council(UK Research &amp; Innovation (UKRI)Natural Environment Research Council (NERC));</t>
  </si>
  <si>
    <t>JM was supported by a Natural Environment Research Council award NE/L002485/1.</t>
  </si>
  <si>
    <t>FRONTIERS MEDIA SA</t>
  </si>
  <si>
    <t>LAUSANNE</t>
  </si>
  <si>
    <t>AVENUE DU TRIBUNAL FEDERAL 34, LAUSANNE, CH-1015, SWITZERLAND</t>
  </si>
  <si>
    <t>2296-6463</t>
  </si>
  <si>
    <t>FRONT EARTH SC-SWITZ</t>
  </si>
  <si>
    <t>Front. Earth Sci.</t>
  </si>
  <si>
    <t>OCT 4</t>
  </si>
  <si>
    <t>10.3389/feart.2022.831631</t>
  </si>
  <si>
    <t>Geosciences, Multidisciplinary</t>
  </si>
  <si>
    <t>Geology</t>
  </si>
  <si>
    <t>5Q6KP</t>
  </si>
  <si>
    <t>Green Published, gold</t>
  </si>
  <si>
    <t>WOS:000873938300001</t>
  </si>
  <si>
    <t>Dong, XY; Kathayat, G; Rasmussen, SO; Svensson, A; Severinghaus, JP; Li, HY; Sinha, A; Xu, Y; Zhang, HW; Shi, ZG; Cai, YJ; Pérez-Mejías, C; Baker, J; Zhao, JY; Spötl, C; Columbu, A; Ning, YF; Stríkis, NM; Chen, ST; Wang, XF; Gupta, AK; Dutt, S; Zhang, F; Cruz, FW; An, ZS; Edwards, RL; Cheng, H</t>
  </si>
  <si>
    <t>Dong, Xiyu; Kathayat, Gayatri; Rasmussen, Sune O.; Svensson, Anders; Severinghaus, Jeffrey P.; Li, Hanying; Sinha, Ashish; Xu, Yao; Zhang, Haiwei; Shi, Zhengguo; Cai, Yanjun; Perez-Mejias, Carlos; Baker, Jonathan; Zhao, Jingyao; Spoetl, Christoph; Columbu, Andrea; Ning, Youfeng; Strikis, Nicolas M.; Chen, Shitao; Wang, Xianfeng; Gupta, Anil K.; Dutt, Som; Zhang, Fan; Cruz, Francisco W.; An, Zhisheng; Edwards, R. Lawrence; Cheng, Hai</t>
  </si>
  <si>
    <t>Coupled atmosphere-ice-ocean dynamics during Heinrich Stadial 2</t>
  </si>
  <si>
    <t>NATURE COMMUNICATIONS</t>
  </si>
  <si>
    <t>ABRUPT CLIMATE-CHANGE; LAST GLACIAL PERIOD; ICEBERG DISCHARGE; MILLENNIAL-SCALE; INDIAN MONSOON; ATLANTIC-OCEAN; NORTH-ATLANTIC; HALF-LIVES; GREENLAND; CORE</t>
  </si>
  <si>
    <t>Our understanding of climate dynamics during millennial-scale events is incomplete, partially due to the lack of their precise phase analyses under various boundary conditions. Here we present nine speleothem oxygen-isotope records from mid-to-low-latitude monsoon regimes with subcentennial age precision and multi-annual resolution, spanning the Heinrich Stadial 2 (HS2) - a millennial-scale event that occurred at the Last Glacial Maximum. Our data suggests that the Greenland and Antarctic ice-core chronologies require +320- and +400-year adjustments, respectively, supported by extant volcanic evidence and radiocarbon ages. Our chronological framework shows a synchronous HS2 onset globally. Our records precisely characterize a centennial-scale abrupt tropical atmospheric seesaw superimposed on the conventional bipolar seesaw at the beginning of HS2, implying a unique response/feedback from low-latitude hydroclimate. Together with our observation of an early South American monsoon shift at the HS2 termination, we suggest a more active role of low-latitude hydroclimate dynamics underlying millennial events than previously thought.</t>
  </si>
  <si>
    <t>[Dong, Xiyu; Kathayat, Gayatri; Li, Hanying; Sinha, Ashish; Xu, Yao; Zhang, Haiwei; Shi, Zhengguo; Cai, Yanjun; Perez-Mejias, Carlos; Baker, Jonathan; Zhao, Jingyao; Ning, Youfeng; Zhang, Fan; Cheng, Hai] Xi An Jiao Tong Univ, Inst Global Environm Change, Xian 710049, Peoples R China; [Rasmussen, Sune O.; Svensson, Anders] Univ Copenhagen, Niels Bohr Inst, Phys Ice Climate &amp; Earth, DK-2100 Copenhagen, Denmark; [Severinghaus, Jeffrey P.] Univ Calif San Diego, Scripps Inst Oceanog, La Jolla, CA 92093 USA; [Sinha, Ashish] Calif State Univ, Dept Earth Sci, Carson, CA 90747 USA; [Shi, Zhengguo; An, Zhisheng; Cheng, Hai] Chinese Acad Sci, Inst Earth Environm, State Key Lab Loess &amp; Quaternary Geol, Xian 710061, Peoples R China; [Shi, Zhengguo] Chinese Acad Sci, Ctr Excellence Quaternary Sci &amp; Global Change, Xian 710061, Peoples R China; [Spoetl, Christoph] Univ Innsbruck, Inst Geol, A-6020 Innsbruck, Austria; [Columbu, Andrea] Univ Pisa, Dept Earth Sci, Via Santa Maria 53, I-56126 Pisa, PI, Italy; [Strikis, Nicolas M.] Univ Fed Fluminense, Dept Geochem, BR-24020141 Niteroi, RJ, Brazil; [Chen, Shitao] Nanjing Normal Univ, Sch Geog, Nanjing 210023, Peoples R China; [Chen, Shitao] Nanjing Normal Univ, Minist Educ, Key Lab Virtual Geog Environm, Nanjing 210023, Peoples R China; [Chen, Shitao] Jiangsu Ctr Collaborat Innovat Geog Informat Reso, Nanjing 210023, Peoples R China; [Wang, Xianfeng] Nanyang Technol Univ, Earth Observ Singapore, Singapore 639798, Singapore; [Wang, Xianfeng] Nanyang Technol Univ, Asian Sch Environm, Singapore 639798, Singapore; [Gupta, Anil K.] Indian Inst Technol Kharagpur, Dept Geol &amp; Geophys, Kharagpur, W Bengal, India; [Dutt, Som] Wadia Inst Himalayan Geol, Dehra Dun 248001, Uttarakhand, India; [Cruz, Francisco W.] Univ Sao Paulo, Inst Geociencias, BR-05508090 Sao Paulo, Brazil; [Edwards, R. Lawrence] Univ Minnesota, Dept Earth &amp; Environm Sci, Minneapolis, MN 55455 USA; [Cheng, Hai] CAGS, Key Lab Karst Dynam, MLR, Inst Karst Geol, Guilin 541004, Peoples R China</t>
  </si>
  <si>
    <t>Xi'an Jiaotong University; University of Copenhagen; Niels Bohr Institute; University of California System; University of California San Diego; Scripps Institution of Oceanography; Chinese Academy of Sciences; Institute of Earth Environment, CAS; Chinese Academy of Sciences; University of Innsbruck; University of Pisa; Universidade Federal Fluminense; Nanjing Normal University; Nanjing Normal University; Nanyang Technological University; Nanyang Technological University; Indian Institute of Technology System (IIT System); Indian Institute of Technology (IIT) - Kharagpur; Department of Science &amp; Technology (India); Wadia Institute of Himalayan Geology (WIHG); Universidade de Sao Paulo; University of Minnesota System; University of Minnesota Twin Cities; China Geological Survey; Institute of Karst Geology, Chinese Academy of Geological Sciences</t>
  </si>
  <si>
    <t>Kathayat, G; Cheng, H (corresponding author), Xi An Jiao Tong Univ, Inst Global Environm Change, Xian 710049, Peoples R China.;Cheng, H (corresponding author), Chinese Acad Sci, Inst Earth Environm, State Key Lab Loess &amp; Quaternary Geol, Xian 710061, Peoples R China.;Cheng, H (corresponding author), CAGS, Key Lab Karst Dynam, MLR, Inst Karst Geol, Guilin 541004, Peoples R China.</t>
  </si>
  <si>
    <t>kathayat@xjtu.edu.cn; cheng021@xjtu.edu.cn</t>
  </si>
  <si>
    <t>Dutt, Som/ABA-9093-2020; Columbu, Andrea/AAH-2339-2019; Shi, Zhengguo/F-3106-2011; AN, Zhisheng/F-8834-2012; Edwards, Richard/JAX-3732-2023; Cai, Yanjun/A-9462-2010; Svensson, Anders/A-2643-2010; Rasmussen, Sune/B-5560-2008; Misailidis Strikis, Nicolas/H-6531-2015</t>
  </si>
  <si>
    <t>Dutt, Som/0000-0002-2894-5861; Columbu, Andrea/0000-0001-5410-062X; Svensson, Anders/0000-0002-4364-6085; Kathayat, Gayatri/0000-0001-9333-9385; Misailidis Strikis, Nicolas/0000-0003-4721-3380; Perez-Mejias, Carlos/0000-0002-8370-9271; dong, xiyu/0000-0002-7611-0244; Sinha, Ashish/0000-0001-5700-2451</t>
  </si>
  <si>
    <t>National Nature Science Foundation of China (NSFC) [41731174, 41888101, 42150710534, 41703007, 42172201]; Strategic Priority Research Program of the Chinese Academy of Sciences [XDB 40000000]; FAPESP [2017/50085-3]; Carlsberg Foundation</t>
  </si>
  <si>
    <t>National Nature Science Foundation of China (NSFC)(National Natural Science Foundation of China (NSFC)); Strategic Priority Research Program of the Chinese Academy of Sciences(Chinese Academy of Sciences); FAPESP(Fundacao de Amparo a Pesquisa do Estado de Sao Paulo (FAPESP)); Carlsberg Foundation(Carlsberg Foundation)</t>
  </si>
  <si>
    <t>This work was supported by the National Nature Science Foundation of China (NSFC grants 41731174, 41888101, and 42150710534 to H.C., NSFC grants 41703007 and 42172201 to G.K.), the Strategic Priority Research Program of the Chinese Academy of Sciences (Grant No. XDB 40000000) to Z.A., the FAPESP 2017/50085-3 to F.W.C., and the Carlsberg Foundation via the grant to SOR's ChronoClimate project. We thank Zhengyao Lu from Lund University, Sweden, for her great help. We thank Xiaoli Qu, Xianglei Li, Jiayu Lu, Youwei Li, Pengzhen Duan, Xue Jia, Baoyun Zong, Qiang Li, Yuan Yao, Jian Wang, Rui Zhang, Shouyi Huang, Binglin Meng, Xu Gao, and Lijuan Sha from Xi'an Jiaotong University for their persistent help. We thank Liangcheng Tan, Xing Cheng, and Peng Cheng from the Institute of Earth Environment, Chinese Academy of Sciences, for their discussions.</t>
  </si>
  <si>
    <t>NATURE PORTFOLIO</t>
  </si>
  <si>
    <t>BERLIN</t>
  </si>
  <si>
    <t>HEIDELBERGER PLATZ 3, BERLIN, 14197, GERMANY</t>
  </si>
  <si>
    <t>2041-1723</t>
  </si>
  <si>
    <t>NAT COMMUN</t>
  </si>
  <si>
    <t>Nat. Commun.</t>
  </si>
  <si>
    <t>10.1038/s41467-022-33583-4</t>
  </si>
  <si>
    <t>Multidisciplinary Sciences</t>
  </si>
  <si>
    <t>Science &amp; Technology - Other Topics</t>
  </si>
  <si>
    <t>5B9QQ</t>
  </si>
  <si>
    <t>gold, Green Published</t>
  </si>
  <si>
    <t>WOS:000863903100022</t>
  </si>
  <si>
    <t>Nissar, S; Bakhtiyar, Y; Arafat, MY; Andrabi, S; Bhat, AA; Yousuf, T</t>
  </si>
  <si>
    <t>Nissar, Sinan; Bakhtiyar, Yahya; Arafat, Mohammad Yasir; Andrabi, Saima; Bhat, Abrar Ahmad; Yousuf, Tabasum</t>
  </si>
  <si>
    <t>A review of the ecosystem services provided by the marine forage fish</t>
  </si>
  <si>
    <t>HYDROBIOLOGIA</t>
  </si>
  <si>
    <t>Review</t>
  </si>
  <si>
    <t>Clupeiformes; Trophic level; Pelagic; Threats; Prey</t>
  </si>
  <si>
    <t>KRILL EUPHAUSIA-SUPERBA; HERRING CLUPEA-HARENGUS; SANDEEL AMMODYTES-MARINUS; TUNA THUNNUS-THYNNUS; SMALL PELAGIC FISH; COD GADUS-MORHUA; ANTARCTIC KRILL; CLIMATE-CHANGE; TROPHIC LEVEL; REGIME SHIFTS</t>
  </si>
  <si>
    <t>The present paper is a review of the available literature on the significance of forage fish, the plethora of services they provide, and the threats faced by them. Forage fish are pelagic planktivorous species that operate as conduits of energy between the lower trophic level (plankton) and the upper trophic level (predators). A variety of ecosystem services are provided by them, from serving as prey for higher trophic levels to producing fish meal and oil. Forage fish have a consumption value for humans and cultural importance to many societies. Forage fish have faced constant natural and anthropogenic threats in the past, resulting in numerous fish collapses which subsequently impacted their predators. The economic benefit provided by forage fish has been estimated to be approximately $ 18.7 billion per annum. An introspection of the data on ecosystem services revealed lack of data on regulating and cultural services, eventually leading to a monetary underestimation and their commercial prioritization over the wider benefits they provide.</t>
  </si>
  <si>
    <t>[Nissar, Sinan; Bakhtiyar, Yahya; Arafat, Mohammad Yasir; Andrabi, Saima; Bhat, Abrar Ahmad; Yousuf, Tabasum] Univ Kashmir, Dept Zool, Fish Biol &amp; Limnol Res Lab, Srinagar 190006, Jammu &amp; Kashmir, India</t>
  </si>
  <si>
    <t>University of Kashmir</t>
  </si>
  <si>
    <t>Bakhtiyar, Y (corresponding author), Univ Kashmir, Dept Zool, Fish Biol &amp; Limnol Res Lab, Srinagar 190006, Jammu &amp; Kashmir, India.</t>
  </si>
  <si>
    <t>yahya.bakhtiyar@gmail.com</t>
  </si>
  <si>
    <t>; Bakhtiyar, Yahya/A-1349-2018</t>
  </si>
  <si>
    <t>Nissar, Sinan/0000-0003-0549-7653; Arafat, Mohammad Yasir/0000-0002-4411-278X; Bakhtiyar, Yahya/0000-0002-1162-0040</t>
  </si>
  <si>
    <t>Science and Engineering Research Board, Department of Science and Technology, Ministry of Science and Technology, Government of India [EMR/2017/003669]</t>
  </si>
  <si>
    <t>Science and Engineering Research Board, Department of Science and Technology, Ministry of Science and Technology, Government of India</t>
  </si>
  <si>
    <t>The authors are highly grateful to the Head of the Department of Zoology, the University of Kashmir for providing all the necessary facilities during the present study and Science and Engineering Research Board, Department of Science and Technology, Ministry of Science and Technology, Government of India (File No. EMR/2017/003669) for providing financial assistance. The authors are also highly thankful to the reviewers and editors for their valuable comments and suggestions towards improving this manuscript.</t>
  </si>
  <si>
    <t>SPRINGER</t>
  </si>
  <si>
    <t>DORDRECHT</t>
  </si>
  <si>
    <t>VAN GODEWIJCKSTRAAT 30, 3311 GZ DORDRECHT, NETHERLANDS</t>
  </si>
  <si>
    <t>0018-8158</t>
  </si>
  <si>
    <t>1573-5117</t>
  </si>
  <si>
    <t>Hydrobiologia</t>
  </si>
  <si>
    <t>JUL</t>
  </si>
  <si>
    <t>12-13</t>
  </si>
  <si>
    <t>SI</t>
  </si>
  <si>
    <t>10.1007/s10750-022-05033-1</t>
  </si>
  <si>
    <t>Marine &amp; Freshwater Biology</t>
  </si>
  <si>
    <t>J2KJ6</t>
  </si>
  <si>
    <t>WOS:000863800700001</t>
  </si>
  <si>
    <t>Morales-Reyes, CF; Ghaderiardakani, F; Wichard, T</t>
  </si>
  <si>
    <t>Morales-Reyes, Cristina F.; Ghaderiardakani, Fatemeh; Wichard, Thomas</t>
  </si>
  <si>
    <t>Genome Sequence of Halomonas sp. Strain MS1, a Metallophore-Producing, Algal Growth-Promoting Marine Bacterium Isolated from the Green Seaweed Ulva mutabilis (Chlorophyta)</t>
  </si>
  <si>
    <t>MICROBIOLOGY RESOURCE ANNOUNCEMENTS</t>
  </si>
  <si>
    <t>MORPHOGENESIS; SIDEROPHORES</t>
  </si>
  <si>
    <t>We report the draft genome sequence of the marine gammaproteobacterium Halomonas sp. strain MS1, isolated from the green seaweed Ulva mutabilis (Chlorophyta), which releases metallophores fostering macroalga-bacterium interactions. The 4.6-Mbp sequence, which was obtained using PacBio technology, harbors 4,166 predicted coding sequences, including gene clusters for siderophore production.</t>
  </si>
  <si>
    <t>[Morales-Reyes, Cristina F.; Ghaderiardakani, Fatemeh; Wichard, Thomas] Friedrich Schiller Univ Jena, Inst Inorgan &amp; Analyt Chem, Jena, Germany</t>
  </si>
  <si>
    <t>Friedrich Schiller University of Jena</t>
  </si>
  <si>
    <t>Wichard, T (corresponding author), Friedrich Schiller Univ Jena, Inst Inorgan &amp; Analyt Chem, Jena, Germany.</t>
  </si>
  <si>
    <t>thomas.wichard@uni-jena.de</t>
  </si>
  <si>
    <t>Ghaderiardakani, Fatemeh/HGB-6725-2022; Morales Reyes, Cristina Fabiola/JRX-3418-2023; Wichard, Thomas/C-2794-2009</t>
  </si>
  <si>
    <t>Morales Reyes, Cristina Fabiola/0000-0003-0923-4500; Wichard, Thomas/0000-0003-0061-4160; Ghaderiardakani, Fatemeh/0000-0003-3497-8421</t>
  </si>
  <si>
    <t>Agencia Nacional de Investigacion y Desarrollo (ANID); Deutscher Akademischer Austauschdienst (DAAD) Scholarship Program; Deutsche Forschungsgemeinschaft (DFG, German Research Foundation) [SFB 1127/2, 239748522]; priority program SPP 1158 (Antarctic research with comparative investigations in Arctic ice areas) [424256657]</t>
  </si>
  <si>
    <t>Agencia Nacional de Investigacion y Desarrollo (ANID); Deutscher Akademischer Austauschdienst (DAAD) Scholarship Program(Deutscher Akademischer Austausch Dienst (DAAD)); Deutsche Forschungsgemeinschaft (DFG, German Research Foundation)(German Research Foundation (DFG)); priority program SPP 1158 (Antarctic research with comparative investigations in Arctic ice areas)</t>
  </si>
  <si>
    <t>C.F.M.-R. acknowledges the financial support of the Agencia Nacional de Investigacion y Desarrollo (ANID) and the Deutscher Akademischer Austauschdienst (DAAD) Scholarship Program bilateral agreement with Becas Chile in 2017. The study was funded by the Deutsche Forschungsgemeinschaft (DFG, German Research Foundation) (grant SFB 1127/2 ChemBioSys project number 239748522 [T.W.]) and in the framework of the priority program SPP 1158 (Antarctic research with comparative investigations in Arctic ice areas) (project number 424256657 [F.G. and T.W.]).</t>
  </si>
  <si>
    <t>AMER SOC MICROBIOLOGY</t>
  </si>
  <si>
    <t>WASHINGTON</t>
  </si>
  <si>
    <t>1752 N ST NW, WASHINGTON, DC 20036-2904 USA</t>
  </si>
  <si>
    <t>2576-098X</t>
  </si>
  <si>
    <t>MICROBIOL RESOUR ANN</t>
  </si>
  <si>
    <t>Microbiol. Resour. Ann.</t>
  </si>
  <si>
    <t>NOV 17</t>
  </si>
  <si>
    <t>10.1128/mra.00685-22</t>
  </si>
  <si>
    <t>Microbiology</t>
  </si>
  <si>
    <t>Emerging Sources Citation Index (ESCI)</t>
  </si>
  <si>
    <t>6J1TP</t>
  </si>
  <si>
    <t>WOS:000864097800001</t>
  </si>
  <si>
    <t>Dobinski, W; Szafraniec, JE; Szypula, B</t>
  </si>
  <si>
    <t>Dobinski, Wojciech; Szafraniec, Joanna E.; Szypula, Bartlomiej</t>
  </si>
  <si>
    <t>Area and borders of Antarctic and permafrost-A review and synthesis</t>
  </si>
  <si>
    <t>PERMAFROST AND PERIGLACIAL PROCESSES</t>
  </si>
  <si>
    <t>Antarctic; Antarctic permafrost extent; permafrost</t>
  </si>
  <si>
    <t>PENINSULA LIVINGSTON ISLAND; ACTIVE-LAYER; CLIMATE-CHANGE; MARITIME ANTARCTICA; LANDSCAPE EVOLUTION; HYDROLOGICAL CYCLE; BYERS PENINSULA; SOIL PROPERTIES; THERMAL REGIME; SURFACE</t>
  </si>
  <si>
    <t>The Antarctic continent is a crucial area for ultimate determination of permafrost extent on Earth, and its solution depends on the theoretical assumptions adopted. In fact, it ranges from 0.022 x 10(6) to 14 x 10(6) km(2). This level of inaccuracy is unprecedented in the Earth sciences. The novelty of the present study consists in determining the extent of Antarctic permafrost not based exclusively on empirical studies but on universal criteria resulting from the definition of permafrost as the thermal state of the lithosphere, which was applied for the first time to this continent. The area covered by permafrost in Antarctica is ca. 13.9 million km(2), that is its entire surface. This result was also made possible due to the first clear determination of the boundaries and area of the continent. The Antarctic area includes (a) rocky subsurface with (b) continental ice-sheets and (c) shelf glaciers, which, due to their terrigenous origin and belonging to the lithosphere, belongs to the continent in the same way. Antarctica is covered by continuous permafrost, either in a frozen or in a cryotic state. This also significantly influences delimitation of the global extent of permafrost, which can therefore be defined much more accurately. The proposed ice reclassification and its transfer from the hydrosphere to the lithosphere will allow the uniform treatment of ice in the Earth sciences, both on Earth and on other celestial bodies.</t>
  </si>
  <si>
    <t>[Dobinski, Wojciech; Szafraniec, Joanna E.; Szypula, Bartlomiej] Univ Silesia Katowice, Fac Nat Sci, Inst Earth Sci, PL-41200 Sosnowiec, Poland</t>
  </si>
  <si>
    <t>University of Silesia in Katowice</t>
  </si>
  <si>
    <t>Dobinski, W (corresponding author), Univ Silesia Katowice, Fac Nat Sci, Inst Earth Sci, PL-41200 Sosnowiec, Poland.</t>
  </si>
  <si>
    <t>wojciech.dobinski@us.edu.pl</t>
  </si>
  <si>
    <t>Szypuła, Bartłomiej/JOZ-7419-2023; Szafraniec, Joanna Ewa/ITT-4950-2023</t>
  </si>
  <si>
    <t>Szypuła, Bartłomiej/0000-0002-1466-0128; Szafraniec, Joanna Ewa/0000-0002-2170-5822; Dobinski, Wojciech/0000-0002-6249-7273</t>
  </si>
  <si>
    <t>WILEY</t>
  </si>
  <si>
    <t>HOBOKEN</t>
  </si>
  <si>
    <t>111 RIVER ST, HOBOKEN 07030-5774, NJ USA</t>
  </si>
  <si>
    <t>1045-6740</t>
  </si>
  <si>
    <t>1099-1530</t>
  </si>
  <si>
    <t>PERMAFROST PERIGLAC</t>
  </si>
  <si>
    <t>Permafrost Periglacial Process.</t>
  </si>
  <si>
    <t>JAN</t>
  </si>
  <si>
    <t>10.1002/ppp.2170</t>
  </si>
  <si>
    <t>Geography, Physical; Geology</t>
  </si>
  <si>
    <t>Physical Geography; Geology</t>
  </si>
  <si>
    <t>7Z2YR</t>
  </si>
  <si>
    <t>WOS:000863703200001</t>
  </si>
  <si>
    <t>Jang, SJ; Chung, Y; Jun, S; Won, YJ</t>
  </si>
  <si>
    <t>Jang, Sook-Jin; Chung, Yujin; Jun, Siyeong; Won, Yong-Jin</t>
  </si>
  <si>
    <t>Connectivity and divergence of symbiotic bacteria of deep-sea hydrothermal vent mussels in relation to the structure and dynamics of mid-ocean ridges</t>
  </si>
  <si>
    <t>FRONTIERS IN MARINE SCIENCE</t>
  </si>
  <si>
    <t>symbiotic bacteria; Bathymodioline mussel; population divergence; seafloor spreading rate; Central Indian Ridge; Eastern Pacific Ocean</t>
  </si>
  <si>
    <t>CENTRAL INDIAN RIDGE; BATHYMODIOLUS-AZORICUS; UBIQUITOUS DISPERSAL; SP NOV.; OCEAN; BIOGEOGRAPHY; CIRCULATION; SPECIATION; DIVERSITY; ENVIRONMENT</t>
  </si>
  <si>
    <t>The population divergence process of deep-sea vent invertebrates is driven by both biotic (e.g., dispersal during the larval stage) and abiotic factors such as deep-ocean currents, depth, and the geological setting of vents. However, little is known regarding the divergence of hydrothermal vent microorganisms. Therefore, our study sought to investigate the influence of geological and geographic factors on the divergence of symbiotic bacteria of Bathymodiolus vent mussels. The genetic differentiation patterns of symbionts were examined using next-generation sequencing DNA data in two ocean basins with distinct geological features: the slow-spreading Central Indian Ridge (CIR) and the fast- or superfast-spreading eastern Pacific Ridges. Our findings showed that the degree of differentiation of symbiont populations was geographically hierarchical: the highest between ocean basins, followed by inter-ridge sites between the East Pacific Rise and the Pacific Antarctic Ridge. The Easter Microplate intervening these two ridges acted as a biogeographic physical barrier for both symbionts and their host mussels. On a scale of intra-ridge, symbionts showed isolation by distance in the CIR but not in the eastern Pacific ridges. These contrasting genetic patterns relate to different ridge spreading rates determining most of the geological characteristics of mid-ocean ridges that affect the connectivity of vent habitats in space and time. At the intra-ridge geographic scale of the CIR, population divergence processes of both symbionts and hosts from separate three ridge segments were analyzed in detail using a genetic model of isolation with migration (IM). The phylogenetic topology of symbiont populations was congruent with the host populations, indicating the influence of common historical and physical constraints for habitats and dispersal between vents in the Central Indian Ridge. Collectively, our findings provide key insights into the dynamics of microbial population divergence in deep-sea vents.</t>
  </si>
  <si>
    <t>[Jang, Sook-Jin] Ewha Womans Univ, Res Inst Ecosci, Seoul, South Korea; [Chung, Yujin] Kyonggi Univ, Dept Appl Stat, Suwon, South Korea; [Jun, Siyeong; Won, Yong-Jin] Ewha Womans Univ, Div Ecosci, Seoul, South Korea</t>
  </si>
  <si>
    <t>Ewha Womans University; Kyonggi University; Ewha Womans University</t>
  </si>
  <si>
    <t>Won, YJ (corresponding author), Ewha Womans Univ, Div Ecosci, Seoul, South Korea.</t>
  </si>
  <si>
    <t>won@ewha.ac.kr</t>
  </si>
  <si>
    <t>Ministry of Oceans and Fisheries, Korea [20170411]; National Research Foundation of Korea (NRF) - Korean government (MSIT) [2021R1C1C1011250]</t>
  </si>
  <si>
    <t>Ministry of Oceans and Fisheries, Korea; National Research Foundation of Korea (NRF) - Korean government (MSIT)(National Research Foundation of KoreaMinistry of Science &amp; ICT (MSIT), Republic of Korea)</t>
  </si>
  <si>
    <t>This research was part of a project titled `Understanding the deep-sea biosphere on seafloor hydrothermal vents in the Indian Ridge (No. 20170411)' funded by the Ministry of Oceans and Fisheries, Korea. YC was supported by the National Research Foundation of Korea (NRF) grant funded by the Korean government (MSIT) (No. 2021R1C1C1011250).</t>
  </si>
  <si>
    <t>2296-7745</t>
  </si>
  <si>
    <t>FRONT MAR SCI</t>
  </si>
  <si>
    <t>Front. Mar. Sci.</t>
  </si>
  <si>
    <t>OCT 3</t>
  </si>
  <si>
    <t>10.3389/fmars.2022.845965</t>
  </si>
  <si>
    <t>Environmental Sciences; Marine &amp; Freshwater Biology</t>
  </si>
  <si>
    <t>Environmental Sciences &amp; Ecology; Marine &amp; Freshwater Biology</t>
  </si>
  <si>
    <t>5M7SF</t>
  </si>
  <si>
    <t>gold</t>
  </si>
  <si>
    <t>WOS:000871296600001</t>
  </si>
  <si>
    <t>Xie, AH; Zhu, JP; Kang, SC; Qin, X; Xu, B; Wang, YC</t>
  </si>
  <si>
    <t>Xie, Aihong; Zhu, Jiangping; Kang, Shichang; Qin, Xiang; Xu, Bing; Wang, Yicheng</t>
  </si>
  <si>
    <t>Polar amplification comparison among Earth's three poles under different socioeconomic scenarios from CMIP6 surface air temperature</t>
  </si>
  <si>
    <t>SCIENTIFIC REPORTS</t>
  </si>
  <si>
    <t>ARCTIC AMPLIFICATION; TIBETAN PLATEAU; WARMING AMPLIFICATION; CLIMATE-CHANGE; ICE-SHEET; DEGREES-C; PRECIPITATION; SENSITIVITY; PROJECTIONS; TREND</t>
  </si>
  <si>
    <t>The polar amplification (PA) has become the focus of climate change. However, there are seldom comparisons of amplification among Earth's three poles of Arctic (latitude higher than 60 degrees N), Antarctica (Antarctic Ice Sheet) and the Third Pole (the High Mountain Asia with the elevation higher than 4000 m) under different socioeconomic scenarios. Based on CMIP6 multi-model ensemble, two types of PA index (PAI) have been defined to quantify the PA intensity and variations, and PAI1/PAI2 is defined as the ratio of the absolute value of surface air temperature linear trend over Earth's three poles and that for global mean/over other regions except Earth's three poles. Arctic warms fastest in winter and weakest in summer, followed by the Third Pole, and Antarctica warms least. The similar phenomenon proceeds when global warming of 1.5-2.0 degrees C, and 2.0-3.0 degrees C above pre-industrial levels. After removing the Earth's three poles self-influence, all the PAI2s increase much more obviously relative to the PAI1s, especially the Antarctic PAI. Earth's three poles warm faster than the other regions. With the forcing increasing, PA accelerates much more over Antarctica and the Third Pole, but becomes weaker over Arctic. This demonstrates that future warming rate might make a large difference among Earth's three poles under different scenarios.</t>
  </si>
  <si>
    <t>[Xie, Aihong; Zhu, Jiangping; Kang, Shichang; Qin, Xiang; Xu, Bing] Chinese Acad Sci, Northwest Inst Ecoenvironm &amp; Resources, State Key Lab Cryospher Sci, Lanzhou, Peoples R China; [Zhu, Jiangping; Xu, Bing] Univ Chinese Acad Sci, Beijing, Peoples R China; [Wang, Yicheng] Lanzhou Cent Meteorol Observ, Lanzhou, Peoples R China</t>
  </si>
  <si>
    <t>Chinese Academy of Sciences; Chinese Academy of Sciences; University of Chinese Academy of Sciences, CAS</t>
  </si>
  <si>
    <t>Zhu, JP (corresponding author), Chinese Acad Sci, Northwest Inst Ecoenvironm &amp; Resources, State Key Lab Cryospher Sci, Lanzhou, Peoples R China.;Zhu, JP (corresponding author), Univ Chinese Acad Sci, Beijing, Peoples R China.</t>
  </si>
  <si>
    <t>zhujiangping@nieer.ac.cn</t>
  </si>
  <si>
    <t>Xu, Bing/C-7732-2015; Shichang, Kang/AAB-5341-2020; Kang, Shichang/I-6830-2018</t>
  </si>
  <si>
    <t>Shichang, Kang/0000-0002-2344-9519; zhu, jiangping/0000-0003-0660-2443; Kang, Shichang/0000-0003-2115-9005</t>
  </si>
  <si>
    <t>Chinese Academy of Sciences [131B62KYSB20180003, QYZDY-SSW-DQC021]; second Tibetan Plateau Scientific Expedition and Research Program (STEP) [2019QZKK020103]; National Natural Science Foundation of China [41671073, 42276260]</t>
  </si>
  <si>
    <t>Chinese Academy of Sciences(Chinese Academy of Sciences); second Tibetan Plateau Scientific Expedition and Research Program (STEP); National Natural Science Foundation of China(National Natural Science Foundation of China (NSFC))</t>
  </si>
  <si>
    <t>This work was supported by the Chinese Academy of Sciences (131B62KYSB20180003, QYZDY-SSW-DQC021), the second Tibetan Plateau Scientific Expedition and Research Program (STEP) (2019QZKK020103), and the National Natural Science Foundation of China (41671073, 42276260). We gratefully acknowledge the Coupled Model Intercomparison Project who supplied the data used in this study.</t>
  </si>
  <si>
    <t>2045-2322</t>
  </si>
  <si>
    <t>SCI REP-UK</t>
  </si>
  <si>
    <t>Sci Rep</t>
  </si>
  <si>
    <t>10.1038/s41598-022-21060-3</t>
  </si>
  <si>
    <t>5D9WA</t>
  </si>
  <si>
    <t>WOS:000865282300010</t>
  </si>
  <si>
    <t>Dietz, S; Koninx, F</t>
  </si>
  <si>
    <t>Dietz, Simon; Koninx, Felix</t>
  </si>
  <si>
    <t>Economic impacts of melting of the Antarctic Ice Sheet</t>
  </si>
  <si>
    <t>SEA-LEVEL RISE; CLIMATE-CHANGE; SOCIAL COST; MODELS; DISINTEGRATION; SCENARIOS; IMPROVE; DRIVEN</t>
  </si>
  <si>
    <t>Melting of the Antarctic Ice Sheet is projected to impose severe costs on Small Island Developing States, and increase the worldwide social cost of carbon emissions, but costs could be reduced dramatically by efficient, proactive coastal planning. Melting of the Antarctic Ice Sheet (AIS) could contribute metres to global sea level rise (SLR) in the long run. We couple models of AIS melting due to rising temperatures, SLR, and economic impacts of SLR on coastlines worldwide. We report SLR projections close to the latest literature. Coastal impacts of AIS melting are very heterogeneous: they are large as a share of GDP in one to two dozen countries, primarily Small Island Developing States. Costs can be reduced dramatically by economically efficient, proactive coastal planning: relative to a no adaptation scenario, optimal adaptation reduces total costs by roughly an order of magnitude. AIS melting increases the social cost of carbon by an expected 7% on low to medium emissions scenarios and with moderate discounting. There is a tail risk of very large increases in the social cost of carbon, particularly on a high emissions scenario.</t>
  </si>
  <si>
    <t>[Dietz, Simon] London Sch Econ &amp; Polit Sci LSE, London, England; [Koninx, Felix] Arup, Bristol, Avon, England</t>
  </si>
  <si>
    <t>University of London; London School Economics &amp; Political Science</t>
  </si>
  <si>
    <t>Dietz, S (corresponding author), London Sch Econ &amp; Polit Sci LSE, London, England.</t>
  </si>
  <si>
    <t>s.dietz@lse.ac.uk</t>
  </si>
  <si>
    <t>Dietz, Simon/AAX-9362-2020</t>
  </si>
  <si>
    <t>Dietz, Simon/0000-0001-5002-018X; Koninx, Felix/0000-0002-2001-9863</t>
  </si>
  <si>
    <t>Grantham Foundation for the Protection of the Environment; ESRC Centre for Climate Change Economics and Policy; ESRC [ES/R009708/1] Funding Source: UKRI</t>
  </si>
  <si>
    <t>Grantham Foundation for the Protection of the Environment; ESRC Centre for Climate Change Economics and Policy(UK Research &amp; Innovation (UKRI)Economic &amp; Social Research Council (ESRC)); ESRC(UK Research &amp; Innovation (UKRI)Economic &amp; Social Research Council (ESRC))</t>
  </si>
  <si>
    <t>We are indebted to Julius Garbe and Anders Levermann for helping us apply their work. James Rising, Thomas Stoerk and Gernot Wagner co-developed the META IAM with S.D. We are grateful to Klaus Keller, Bill Nordhaus, James Rising, Glenn Rudebusch, and Thomas Stoerk for comments. S.D. gratefully acknowledges the financial support of the Grantham Foundation for the Protection of the Environment and the ESRC Centre for Climate Change Economics and Policy. F.K. contributed to this work while working at the Grantham Research Institute on Climate Change and the Environment and prior to joining Arup. This article should not be reported as representing the official views of Arup or its members. The opinions expressed and arguments employed are those of the authors.</t>
  </si>
  <si>
    <t>10.1038/s41467-022-33406-6</t>
  </si>
  <si>
    <t>5D9JS</t>
  </si>
  <si>
    <t>gold, Green Published, Green Accepted</t>
  </si>
  <si>
    <t>WOS:000865250300030</t>
  </si>
  <si>
    <t>Mellin, C; Hicks, CC; Fordham, DA; Golden, CD; Kjellevold, M; MacNeil, MA; Maire, E; Mangubhai, S; Mouillot, D; Nash, KL; Omukoto, JO; Robinson, JPW; Stuart-Smith, RD; Zamborain-Mason, J; Edgar, GJ; Graham, NAJ</t>
  </si>
  <si>
    <t>Mellin, Camille; Hicks, Christina C.; Fordham, Damien A.; Golden, Christopher D.; Kjellevold, Marian; MacNeil, M. Aaron; Maire, Eva; Mangubhai, Sangeeta; Mouillot, David; Nash, Kirsty L.; Omukoto, Johnstone O.; Robinson, James P. W.; Stuart-Smith, Rick D.; Zamborain-Mason, Jessica; Edgar, Graham J.; Graham, Nicholas A. J.</t>
  </si>
  <si>
    <t>Safeguarding nutrients from coral reefs under climate change</t>
  </si>
  <si>
    <t>NATURE ECOLOGY &amp; EVOLUTION</t>
  </si>
  <si>
    <t>REGIME SHIFTS; MARINE FISHERIES; OCEAN; FISH; BIODIVERSITY; IMPACTS; SUSTAINABILITY; DISTRIBUTIONS; UNDERSTAND; MANAGEMENT</t>
  </si>
  <si>
    <t>This Perspective discusses potential effects of ocean warming on human nutrition provision from coral reef fish, ranging from altered species compositions of fish populations through to changed fish nutrient profiles resulting from altered metabolism, microbiome composition and trophic interactions. The sustainability of coral reef fisheries is jeopardized by complex and interacting socio-ecological stressors that undermine their contribution to food and nutrition security. Climate change has emerged as one of the key stressors threatening coral reefs and their fish-associated services. How fish nutrient concentrations respond to warming oceans remains unclear but these responses are probably affected by both direct (metabolism and trophodynamics) and indirect (habitat and species range shifts) effects. Climate-driven coral habitat loss can cause changes in fish abundance and biomass, revealing potential winners and losers among major fisheries targets that can be predicted using ecological indicators and biological traits. A critical next step is to extend research focused on the quantity of available food (fish biomass) to also consider its nutritional quality, which is relevant to progress in the fields of food security and malnutrition. Biological traits are robust predictors of fish nutrient content and thus potentially indicate how climate-driven changes are expected to impact nutrient availability within future food webs on coral reefs. Here, we outline future research priorities and an anticipatory framework towards sustainable reef fisheries contributing to nutrition-sensitive food systems in a warming ocean.</t>
  </si>
  <si>
    <t>[Mellin, Camille; Fordham, Damien A.] Univ Adelaide, Environm Inst, Adelaide, SA, Australia; [Mellin, Camille; Fordham, Damien A.] Univ Adelaide, Sch Biol Sci, Adelaide, SA, Australia; [Hicks, Christina C.; Maire, Eva; Omukoto, Johnstone O.; Robinson, James P. W.; Graham, Nicholas A. J.] Univ Lancaster, Lancaster Environm Ctr, Lancaster, England; [Golden, Christopher D.; Zamborain-Mason, Jessica] Harvard TH Chan Sch Publ Hlth, Dept Nutr, Boston, MA USA; [Kjellevold, Marian] Inst Marine Res, Bergen, Norway; [MacNeil, M. Aaron] Dalhousie Univ, Ocean Frontier Inst, Dept Biol, Halifax, NS, Canada; [Mangubhai, Sangeeta] Talanoa Consulting, Suva, Fiji; [Mouillot, David] Univ Montpellier, MARBEC, CNRS, IFREMER,IRD, Montpellier, France; [Nash, Kirsty L.; Stuart-Smith, Rick D.; Edgar, Graham J.] Univ Tasmania, Inst Marine &amp; Antarctic Studies, Hobart, Tas, Australia; [Nash, Kirsty L.] Univ Tasmania, Ctr Marine Socioecol, Hobart, Tas, Australia; [Omukoto, Johnstone O.] Kenya Marine &amp; Fisheries Res Inst, Mombasa, Kenya; [Zamborain-Mason, Jessica] James Cook Univ, ARC Ctr Excellence Coral Reef Studies, Townsville, Qld, Australia; [Zamborain-Mason, Jessica] James Cook Univ, Coll Sci &amp; Engn, Townsville, Qld, Australia</t>
  </si>
  <si>
    <t>University of Adelaide; University of Adelaide; Lancaster University; Harvard University; Harvard T.H. Chan School of Public Health; Institute of Marine Research - Norway; Dalhousie University; Centre National de la Recherche Scientifique (CNRS); Institut de Recherche pour le Developpement (IRD); Universite de Montpellier; Ifremer; University of Tasmania; University of Tasmania; James Cook University; James Cook University</t>
  </si>
  <si>
    <t>Mellin, C (corresponding author), Univ Adelaide, Environm Inst, Adelaide, SA, Australia.;Mellin, C (corresponding author), Univ Adelaide, Sch Biol Sci, Adelaide, SA, Australia.</t>
  </si>
  <si>
    <t>camille.mellin@adelaide.edu.au</t>
  </si>
  <si>
    <t>Stuart-Smith, Rick/I-5214-2019; Maire, Eva/T-1934-2019; Edgar, Graham/AAY-3797-2020; Nash, Kirsty L/B-5456-2015; Golden, Christopher/JPA-5431-2023; Graham, Nicholas/C-8360-2014; Fordham, Damien/E-9255-2013; Hicks, Christina/M-6182-2015; Kjellevold, Marian/C-2973-2012; MacNeil, M. Aaron/E-8196-2017</t>
  </si>
  <si>
    <t>Stuart-Smith, Rick/0000-0002-8874-0083; Maire, Eva/0000-0002-1032-3394; Edgar, Graham/0000-0003-0833-9001; Nash, Kirsty L/0000-0003-0976-3197; Graham, Nicholas/0000-0002-0304-7467; Mouillot, David/0000-0003-0402-2605; Fordham, Damien/0000-0003-2137-5592; Hicks, Christina/0000-0002-7399-4603; Kjellevold, Marian/0000-0001-7070-5784; Mellin, Camille/0000-0002-7369-2349; Mangubhai, Sangeeta/0000-0002-4728-4421; MacNeil, M. Aaron/0000-0001-8406-325X; Golden, Christopher/0000-0002-2258-7493</t>
  </si>
  <si>
    <t>Australian Research Council [FT200100870, DE210100606, FT190100599]; Natural Sciences and Engineering Research Council Canada Research Chairs Program; Leverhulme Trust Early Career Fellowship; Royal Society [URF\R\201029]; European Union [820989]; European Research Council [820989, 759457]; Philip Leverhulme Prize; National Science Foundation [CNH-L 1826668]; John and Katie Hansen Family Foundation; BiodivERsA REEF-FUTURES project under the BiodivScen ERA-NET COFUND programme; ANR; European Research Council (ERC) [759457] Funding Source: European Research Council (ERC); Australian Research Council [FT190100599, DE210100606, FT200100870] Funding Source: Australian Research Council</t>
  </si>
  <si>
    <t>Australian Research Council(Australian Research Council); Natural Sciences and Engineering Research Council Canada Research Chairs Program; Leverhulme Trust Early Career Fellowship(Leverhulme Trust); Royal Society(Royal Society); European Union(European Union (EU)); European Research Council(European Research Council (ERC)); Philip Leverhulme Prize(Leverhulme Trust); National Science Foundation(National Science Foundation (NSF)); John and Katie Hansen Family Foundation; BiodivERsA REEF-FUTURES project under the BiodivScen ERA-NET COFUND programme; ANR(Agence Nationale de la Recherche (ANR)); European Research Council (ERC)(European Research Council (ERC)Spanish Government); Australian Research Council(Australian Research Council)</t>
  </si>
  <si>
    <t>C.M. (FT200100870), K.L.N. (DE210100606) and R.D.S.-S. (FT190100599) were supported by Australian Research Council funding. M.A.M. was supported by the Natural Sciences and Engineering Research Council Canada Research Chairs Program. J.P.W.R. received funding from a Leverhulme Trust Early Career Fellowship. N.A.J.G. received funding from the Royal Society (URF\R\201029) and from the European Union's Horizon 2020 research and innovation programme under grant agreement number 820989 (project COMFORT). C.C.H. receives funding from a European Research Council Starting Grant (759457) and a Philip Leverhulme Prize. C.D.G. and J.Z.-M. receive funding from the National Science Foundation CNH-L 1826668 and the John and Katie Hansen Family Foundation. D.M. is supported by the 2017-2018 Belmont Forum and BiodivERsA REEF-FUTURES project under the BiodivScen ERA-NET COFUND programme and with the funding organization ANR. The work reflects only our view; the European Commission and their executive agency are not responsible for any use that may be made of the information the work contains.</t>
  </si>
  <si>
    <t>2397-334X</t>
  </si>
  <si>
    <t>NAT ECOL EVOL</t>
  </si>
  <si>
    <t>Nat. Ecol. Evol.</t>
  </si>
  <si>
    <t>DEC</t>
  </si>
  <si>
    <t>10.1038/s41559-022-01878-w</t>
  </si>
  <si>
    <t>Ecology; Evolutionary Biology</t>
  </si>
  <si>
    <t>Environmental Sciences &amp; Ecology; Evolutionary Biology</t>
  </si>
  <si>
    <t>6T3OJ</t>
  </si>
  <si>
    <t>Green Published, Green Accepted, Green Submitted</t>
  </si>
  <si>
    <t>WOS:000865215400002</t>
  </si>
  <si>
    <t>Orheim, O; Giles, AB; Moholdt, G; Jacka, TH; Bjordal, A</t>
  </si>
  <si>
    <t>Orheim, Olav; Giles, A. Barry; Moholdt, Geir; Jacka, T. H. (Jo); Bjordal, Are</t>
  </si>
  <si>
    <t>Antarctic iceberg distribution revealed through three decades of systematic ship-based observations in the SCAR International Iceberg Database</t>
  </si>
  <si>
    <t>JOURNAL OF GLACIOLOGY</t>
  </si>
  <si>
    <t>Icebergs; Antarctica; Database; Southern Ocean</t>
  </si>
  <si>
    <t>ICE; OCEAN</t>
  </si>
  <si>
    <t>In 1981, the Scientific Committee on Antarctic Research endorsed a program for ship-based collection of Antarctic iceberg data, to be coordinated by the Norwegian Polar Institute (NPI). From the austral summers 1982/1983 to 1997/1998, icebergs were recorded from most, and up to 2009/10 by fewer research vessels. The NPI database makes up 80% of the SCAR International Iceberg Database presented here, the remainder being Australian National Antarctic Research Expedition observations. The database contains positions of 374 142 icebergs resulting from 34 662 observations. Within these, 298 235 icebergs are classified into different size categories. The ship-based data are particularly useful because they include systematic observations of smaller icebergs not covered by current satellite-based datasets. Here, we assess regional and seasonal variations in iceberg density and total quantities, we identify drift patterns and exit zones from the continent, and we discuss iceberg dissolution rates and calving rates. There are significant differences in the extent of icebergs observed over the 30 plus years of observations, but much of these can be ascribed to differences in observation density and location. In the summer, Antarctic icebergs &gt;10 m in length number similar to 130 000 of which 1000 are found north of the Southern Ocean boundary.</t>
  </si>
  <si>
    <t>[Orheim, Olav; Moholdt, Geir; Bjordal, Are] Norsk Polar Inst, N-9296 Tromso, Norway; [Giles, A. Barry] Univ Tasmania, Antarctic Climate &amp; Ecosyst Cooperat Res Ctr ACE, Inst Marine &amp; Antarctic Studies IMAS, Private Bag 80, Hobart, Tas 7001, Australia; [Jacka, T. H. (Jo)] Australian Antarctic Div, Antarctic Climate Program, 203 Channel Highway, Kingston, Tas 7050, Australia</t>
  </si>
  <si>
    <t>Norwegian Polar Institute; Antarctic Climate &amp; Ecosystems Cooperative Research Centre (ACE CRC); University of Tasmania; Australian Antarctic Division</t>
  </si>
  <si>
    <t>Orheim, O (corresponding author), Norsk Polar Inst, N-9296 Tromso, Norway.</t>
  </si>
  <si>
    <t>olav@polarviten.no</t>
  </si>
  <si>
    <t>Norwegian Polar Institute, Tromso, Norway; Institute for Marine and Antarctic Studies, University of Tasmania, Hobart; Australian Antarctic Division, Kingston, Tasmania</t>
  </si>
  <si>
    <t>This work has been financed by the Norwegian Polar Institute, Tromso, Norway and in Australia by the Institute for Marine and Antarctic Studies, University of Tasmania, Hobart and Australian Antarctic Division, Kingston, Tasmania.Y</t>
  </si>
  <si>
    <t>CAMBRIDGE UNIV PRESS</t>
  </si>
  <si>
    <t>CAMBRIDGE</t>
  </si>
  <si>
    <t>EDINBURGH BLDG, SHAFTESBURY RD, CB2 8RU CAMBRIDGE, ENGLAND</t>
  </si>
  <si>
    <t>0022-1430</t>
  </si>
  <si>
    <t>1727-5652</t>
  </si>
  <si>
    <t>J GLACIOL</t>
  </si>
  <si>
    <t>J. Glaciol.</t>
  </si>
  <si>
    <t>JUN</t>
  </si>
  <si>
    <t>10.1017/jog.2022.84</t>
  </si>
  <si>
    <t>Geography, Physical; Geosciences, Multidisciplinary</t>
  </si>
  <si>
    <t>H0HM1</t>
  </si>
  <si>
    <t>WOS:000863531800001</t>
  </si>
  <si>
    <t>Armbrecht, L; Weber, ME; Raymo, ME; Peck, VL; Williams, T; Warnock, J; Kato, YJ; Hernández-Almeida, I; Hoem, F; Reilly, B; Hemming, S; Bailey, I; Martos, YM; Gutjahr, M; Percuoco, V; Allen, C; Brachfeld, S; Cardillo, FG; Du, ZH; Fauth, G; Fogwill, C; Garcia, M; Glüder, A; Guitard, M; Hwang, JH; Iizuka, M; Kenlee, B; O'Connell, S; Pérez, LF; Ronge, TA; Seki, O; Tauxe, L; Tripathi, S; Zheng, XF</t>
  </si>
  <si>
    <t>Armbrecht, Linda; Weber, Michael E.; Raymo, Maureen E.; Peck, Victoria L.; Williams, Trevor; Warnock, Jonathan; Kato, Yuji; Hernandez-Almeida, Ivan; Hoem, Frida; Reilly, Brendan; Hemming, Sidney; Bailey, Ian; Martos, Yasmina M.; Gutjahr, Marcus; Percuoco, Vincent; Allen, Claire; Brachfeld, Stefanie; Cardillo, Fabricio G.; Du, Zhiheng; Fauth, Gerson; Fogwill, Chris; Garcia, Marga; Glueder, Anna; Guitard, Michelle; Hwang, Ji-Hwan; Iizuka, Mutsumi; Kenlee, Bridget; O'Connell, Suzanne; Perez, Lara F.; Ronge, Thomas A.; Seki, Osamu; Tauxe, Lisa; Tripathi, Shubham; Zheng, Xufeng</t>
  </si>
  <si>
    <t>Ancient marine sediment DNA reveals diatom transition in Antarctica</t>
  </si>
  <si>
    <t>SEA-ICE; SOUTHERN-OCEAN; SCOTIA SEA; DEEP; VARIABILITY; PROXY</t>
  </si>
  <si>
    <t>Antarctica is one of the most vulnerable regions to climate change on Earth and studying the past and present responses of this polar marine ecosystem to environmental change is a matter of urgency. Sedimentary ancient DNA (sedaDNA) analysis can provide such insights into past ecosystem-wide changes. Here we present authenticated (through extensive contamination control and sedaDNA damage analysis) metagenomic marine eukaryote sedaDNA from the Scotia Sea region acquired during IODP Expedition 382. We also provide a marine eukaryote sedaDNA record of similar to 1 Mio. years and diatom and chlorophyte sedaDNA dating back to similar to 540 ka (using taxonomic marker genes SSU, LSU, psbO). We find evidence of warm phases being associated with high relative diatom abundance, and a marked transition from diatoms comprising &lt;10% of all eukaryotes prior to similar to 14.5 ka, to similar to 50% after this time, i.e., following Meltwater Pulse 1A, alongside a composition change from sea-ice to open-ocean species. Our study demonstrates that sedaDNA tools can be expanded to hundreds of thousands of years, opening the pathway to the study of ecosystem-wide marine shifts and paleo-productivity phases throughout multiple glacial-interglacial cycles.</t>
  </si>
  <si>
    <t>[Armbrecht, Linda] Univ Tasmania, Ecol &amp; Biodivers Ctr, Inst Marine &amp; Antarctic Studies IMAS, Hobart, Tas 7004, Australia; [Armbrecht, Linda] Univ Adelaide, Fac Sci Engn &amp; Technol, Australian Ctr Ancient DNA, Adelaide, SA 5005, Australia; [Weber, Michael E.] Univ Bonn, Inst Geosci, Dept Geochem &amp; Petrol, D-53115 Bonn, Germany; [Raymo, Maureen E.; Hemming, Sidney] Columbia Univ, Lamont Doherty Earth Observ, Palisades, NY 10964 USA; [Peck, Victoria L.; Allen, Claire] British Antarctic Survey, Cambridge CB3 0ET, England; [Williams, Trevor; Percuoco, Vincent] Texas A&amp;M Univ, Int Ocean Discovery Program, College Stn, TX 77845 USA; [Warnock, Jonathan] Indiana Univ Penn, Dept Geog, Geol, Environm Planning, Indiana, PA 15705 USA; [Kato, Yuji] Univ Tsukuba, Fac Life &amp; Environm Sci, Tsukuba, Ibaraki 3058572, Japan; [Hernandez-Almeida, Ivan] Swiss Fed Inst Technol, Dept Earth Sci, Geol Inst, CH-8092 Zurich, Switzerland; [Hoem, Frida] Univ Utrecht, Earth Sci, Marine Palynol &amp; Paleoceanog, NL-3584 CB Utrecht, Netherlands; [Reilly, Brendan; Tauxe, Lisa] Univ Calif San Diego, Scripps Inst Oceanog, La Jolla, CA 92093 USA; [Bailey, Ian] Univ Exeter, Mborne Sch Mines, Exeter TR10 9FE, Cornwall, England; [Martos, Yasmina M.] NASA, Planetary Magne Tospheres Lab 695, Goddard Space Flight Ctr, Greenbelt, MD 20771 USA; [Martos, Yasmina M.] Univ Maryland, Dept Astron, College Pk, MD 20742 USA; [Gutjahr, Marcus] GEOMAR Helmholtz Ctr Ocean Res Kiel, D-24148 Kiel, Germany; [Brachfeld, Stefanie] Montclair State Univ, Earth &amp; Environm Studies, Montclair, NJ 07043 USA; [Cardillo, Fabricio G.] Serv Hid Rog Naval, Dept Oceanog, Buenos Aires, DF, Argentina; [Du, Zhiheng] Chinese Acad Sci, Northwest Inst Ecoenvironm &amp; Resources, State Key Lab Cryospher Sci, Lanzhou, Peoples R China; [Fauth, Gerson] Univ Vale Rio dos Sinos, Geol Program, Sao Leopoldo, RS, Brazil; [Fogwill, Chris] Cranfield Univ, Sch Water Energy &amp; Environm, Cranfield MK43 0AL, Beds, England; [Garcia, Marga] Cadiz Oceanog Ctr IEO CSIC, Cadiz 11006, Spain; [Glueder, Anna] Oregon State Univ, Coll Earth Ocean &amp; Atmospher Sci, Corvallis, OR 97331 USA; [Guitard, Michelle] Univ S Florida, Coll Marine Sci, St Petersburg, FL 33701 USA; [Hwang, Ji-Hwan] Korea Basic Sci Inst, Earth Environm Sci, Cheongju, South Korea; [Iizuka, Mutsumi] Tokyo City Univ, Knowledge Engn, Setagaya Ku, Tokyo 1588557, Japan; [Kenlee, Bridget] Univ Calif Riverside, Dept Earth Sci, Riverside, CA 92521 USA; [O'Connell, Suzanne] Wesleyan Univ, Dept Earth &amp; Environm Sci, Middletown, CT 06459 USA; [Perez, Lara F.] Geol Survey Denmark &amp; Greenland, Dept Marine Geol, DK-8000 Aarhus C, Denmark; [Ronge, Thomas A.] Helmholtz Ctr Polar &amp; Marine Res, Alfred Wegener Inst, D-27570 Bremerhaven, Germany; [Seki, Osamu] Hokkaido Univ, Inst Low Temp Sci, Sapporo, Hokkaido 0600819, Japan; [Tripathi, Shubham] Minist Earth Sci, Marine Stable Isotope Lab, Natl Ctr Polar &amp; Ocean Res, Vasco Da Gama, India; [Zheng, Xufeng] Hainan Univ, State Key Lab Marine Resource Utilizat South Chin, Haikou 570228, Hainan, Peoples R China</t>
  </si>
  <si>
    <t>University of Tasmania; University of Adelaide; University of Bonn; Columbia University; UK Research &amp; Innovation (UKRI); Natural Environment Research Council (NERC); NERC British Antarctic Survey; Texas A&amp;M University System; Texas A&amp;M University College Station; Pennsylvania State System of Higher Education (PASSHE); Indiana University of Pennsylvania; University of Tsukuba; Swiss Federal Institutes of Technology Domain; ETH Zurich; Utrecht University; University of California System; University of California San Diego; Scripps Institution of Oceanography; University of Exeter; National Aeronautics &amp; Space Administration (NASA); NASA Goddard Space Flight Center; University System of Maryland; University of Maryland College Park; Helmholtz Association; GEOMAR Helmholtz Center for Ocean Research Kiel; Montclair State University; Chinese Academy of Sciences; Universidade do Vale do Rio dos Sinos (Unisinos); Cranfield University; Oregon State University; State University System of Florida; University of South Florida; Korea Basic Science Institute (KBSI); Tokyo City University; University of California System; University of California Riverside; Wesleyan University; Geological Survey Of Denmark &amp; Greenland; Helmholtz Association; Alfred Wegener Institute, Helmholtz Centre for Polar &amp; Marine Research; Hokkaido University; Ministry of Earth Sciences (MoES) - India; National Centre for Polar and Ocean Research (NCPOR); Hainan University</t>
  </si>
  <si>
    <t>Armbrecht, L (corresponding author), Univ Tasmania, Ecol &amp; Biodivers Ctr, Inst Marine &amp; Antarctic Studies IMAS, Hobart, Tas 7004, Australia.;Armbrecht, L (corresponding author), Univ Adelaide, Fac Sci Engn &amp; Technol, Australian Ctr Ancient DNA, Adelaide, SA 5005, Australia.</t>
  </si>
  <si>
    <t>linda.armbrecht@utas.edu.au</t>
  </si>
  <si>
    <t>Gutjahr, Marcus/L-9158-2013; Fauth, Gerson/AAE-3353-2021; 郑, 旭/JAO-2624-2023; ALMEIDA, IVAN HERNANDEZ/G-3134-2015; Williams, Trevor/L-7670-2014; Zheng, Xufeng/HPC-4252-2023; Pérez, Lara F./H-3572-2015; Weber, Michael E/G-8707-2012; Armbrecht, Linda/GZB-0547-2022; Garcia, Marga/L-7410-2014</t>
  </si>
  <si>
    <t>Gutjahr, Marcus/0000-0003-2556-2619; ALMEIDA, IVAN HERNANDEZ/0000-0002-9329-8357; Pérez, Lara F./0000-0002-6229-4564; Garcia, Marga/0000-0003-2632-6132; Hoem, Frida/0000-0002-8834-6799; Ronge, Thomas/0000-0003-2625-719X; Weber, Michael E/0000-0003-2175-8980; Brachfeld, Stefanie/0000-0003-4612-2866; Fogwill, Christopher/0000-0002-6471-1106; Kato, Yuji/0000-0001-9420-487X</t>
  </si>
  <si>
    <t>Australian and New Zealand International Ocean Discovery Program Consortium (ANZIC) Post-Cruise Analytical Funding [PC_LArmbrecht_0120]; ANZIC; Australian Research Council (ARC) Discovery Early Career Researcher (DECRA) Fellowship [DE210100929]; University of Adelaide; Deutsche Forschungsgemeinschaft (DFG) [We2039/17-1]; NASA [80GSFC17M0002]; IODP US Science Support program via National Science Foundation (NSF) [OCE-1450528, GG009393]; Dutch Research Council (NWO) polar programme [ALW.2016.001]; European Union's Horizon 2020 research and innovation programme under the Marie SklodowskaCurie grant [792773]; Natural Environment Research Council (NERC) UK-IODP programme [NEB1782]; Marie Curie Actions (MSCA) [792773] Funding Source: Marie Curie Actions (MSCA); Australian Research Council [DE210100929] Funding Source: Australian Research Council</t>
  </si>
  <si>
    <t>Australian and New Zealand International Ocean Discovery Program Consortium (ANZIC) Post-Cruise Analytical Funding; ANZIC; Australian Research Council (ARC) Discovery Early Career Researcher (DECRA) Fellowship(Australian Research Council); University of Adelaide; Deutsche Forschungsgemeinschaft (DFG)(German Research Foundation (DFG)); NASA(National Aeronautics &amp; Space Administration (NASA)); IODP US Science Support program via National Science Foundation (NSF); Dutch Research Council (NWO) polar programme; European Union's Horizon 2020 research and innovation programme under the Marie SklodowskaCurie grant(SKA South Africa); Natural Environment Research Council (NERC) UK-IODP programme(UK Research &amp; Innovation (UKRI)Natural Environment Research Council (NERC)); Marie Curie Actions (MSCA)(Marie Curie Actions); Australian Research Council(Australian Research Council)</t>
  </si>
  <si>
    <t>This research used samples provided by the International Ocean Discovery Program (IODP). Funding for this research was provided by the Australian and New Zealand International Ocean Discovery Program Consortium (ANZIC) Post-Cruise Analytical Funding (PC_LArmbrecht_0120). L.A. was supported by ANZIC, The University of Adelaide, and an Australian Research Council (ARC) Discovery Early Career Researcher (DECRA) Fellowship (DE210100929). M.E.W. received funding by the Deutsche Forschungsgemeinschaft (DFG-Priority Programme 527, Grant We2039/17-1. Y.M.M. was supported by NASA under award number 80GSFC17M0002. US-based scientists M.R., T.W., J.P.W., B.R., S.H., Y.M.M., S.B., L.T., M.Guitard, A.G., B.L. and S.O.C. acknowledge post-expedition science awards from the IODP US Science Support program via National Science Foundation (NSF) grant OCE-1450528 and its subaward 97 (GG009393). F.H. acknowledges funding from the Dutch Research Council (NWO) polar programme (grant no. ALW.2016.001). L.F.P. had funding from the European Union's Horizon 2020 research and innovation programme under the Marie SklodowskaCurie grant agreement No. 792773 and the Natural Environment Research Council (NERC) UK-IODP programme under the grand NEB1782. We thank the IODP Exp. 382 crew and technical team for assistance during sampling, and Gustaaf Hallegraeff and Chris Bolch for their valuable feedback on the manuscript.</t>
  </si>
  <si>
    <t>OCT 2</t>
  </si>
  <si>
    <t>10.1038/s41467-022-33494-4</t>
  </si>
  <si>
    <t>5C6CC</t>
  </si>
  <si>
    <t>Green Published, gold, Green Accepted</t>
  </si>
  <si>
    <t>WOS:000864344500015</t>
  </si>
  <si>
    <t>Taylor, NC; Bekker, A; Kruger, K</t>
  </si>
  <si>
    <t>Taylor, N. C.; Bekker, A.; Kruger, K.</t>
  </si>
  <si>
    <t>MARINER 4.0: INTEGRATING SEAFARERS INTO A MARITIME 4.0 ENVIRONMENT</t>
  </si>
  <si>
    <t>INTERNATIONAL JOURNAL OF MARITIME ENGINEERING</t>
  </si>
  <si>
    <t>TECHNOLOGY</t>
  </si>
  <si>
    <t>Digitalisation of systems and processes in the maritime industry are spurring Maritime 4.0, a digital transformation promising enormous gains, including improved design processes and reduced operational costs. Gleaning inter-disciplinary proficiency from Operator 4.0 in manufacturing, the present work seeks to introduce the Mariner 4.0 - a seafaring passenger or crew member with technologically augmented skills. This research aims to realise Mariner 4.0 through a human digital twin solution - a virtual representation of the state and behaviour of a unique individual over time - for seafarers on South Africa's polar research and supply vessel, the SA Agulhas II. This paper presents human-related challenges identified on seafaring vessels, the expected value of human digital twin solutions for the maritime industry, the development of a human digital twin solution to integrate seafarers into a Maritime 4.0 environment (i.e. the development of Mariner 4.0), and an illustrative use case focussing on human comfort monitoring and management.</t>
  </si>
  <si>
    <t>[Taylor, N. C.; Bekker, A.; Kruger, K.] Stellenbosch Univ, Dept Mech &amp; Mechatron Engn, Stellenbosch, South Africa</t>
  </si>
  <si>
    <t>Stellenbosch University</t>
  </si>
  <si>
    <t>Taylor, NC (corresponding author), Stellenbosch Univ, Dept Mech &amp; Mechatron Engn, Stellenbosch, South Africa.</t>
  </si>
  <si>
    <t>Taylor, Nicole Catherine/0000-0002-1176-9021</t>
  </si>
  <si>
    <t>National Research Foundation (NRF) , through the South African National Antarctic Programme (SANAP) [110737]</t>
  </si>
  <si>
    <t>National Research Foundation (NRF) , through the South African National Antarctic Programme (SANAP)</t>
  </si>
  <si>
    <t>The financial assistance of the National Research Foundation (NRF) , through the South African National Antarctic Programme (SANAP Grant No.110737) , towards this research is hereby acknowledged. Opinions expressed and conclusions arrived at are those of the authors and not necessarily to be attributed to the NRF.</t>
  </si>
  <si>
    <t>UNIV BUCKINGHAM PRESS</t>
  </si>
  <si>
    <t>London</t>
  </si>
  <si>
    <t>51 Gower St, London, ENGLAND</t>
  </si>
  <si>
    <t>1479-8751</t>
  </si>
  <si>
    <t>1740-0716</t>
  </si>
  <si>
    <t>INT J MARIT ENG</t>
  </si>
  <si>
    <t>Int. J. Marit. Eng.</t>
  </si>
  <si>
    <t>OCT-DEC</t>
  </si>
  <si>
    <t>A4</t>
  </si>
  <si>
    <t>A373</t>
  </si>
  <si>
    <t>A384</t>
  </si>
  <si>
    <t>10.5750/ijme.v164iA4.773</t>
  </si>
  <si>
    <t>Engineering, Marine</t>
  </si>
  <si>
    <t>Engineering</t>
  </si>
  <si>
    <t>E4IK3</t>
  </si>
  <si>
    <t>Bronze</t>
  </si>
  <si>
    <t>WOS:000975193400003</t>
  </si>
  <si>
    <t>Satterthwaite, EV; Komyakova, V; Erazo, NG; Gammage, L; Juma, GA; Kelly, R; Kleinman, D; Lobelle, D; James, RS; Zanuri, NBM</t>
  </si>
  <si>
    <t>Satterthwaite, Erin, V; Komyakova, Valeriya; Erazo, Natalia G.; Gammage, Louise; Juma, Gabriel A.; Kelly, Rachel; Kleinman, Daniel; Lobelle, Delphine; James, Rachel Sapery; Zanuri, Norlaila Binti Mohd</t>
  </si>
  <si>
    <t>Five actionable pillars to engage the next generation of leaders in the co-design of transformative ocean solutions</t>
  </si>
  <si>
    <t>PLOS BIOLOGY</t>
  </si>
  <si>
    <t>DIVERSITY; KNOWLEDGE; SCIENCE; IMPACT; INNOVATION</t>
  </si>
  <si>
    <t>Solutions to complex and unprecedented global challenges are urgently needed. Overcoming these challenges requires input and innovative solutions from all experts, including Early Career Ocean Professionals (ECOPs). To achieve diverse inclusion from ECOPs, fundamental changes must occur at all levels-from individuals to organizations. Drawing on insights from across the globe, we propose 5 actionable pillars that support the engagement of ECOPs in co-design processes that address ocean sustainability: sharing knowledge through networks and mentorship, providing cross-boundary training and opportunities, incentivizing and celebrating knowledge co-design, creating inclusive and participatory governance structures, and catalyzing culture change for inclusivity. Foundational to all actions are the cross-cutting principles of justice, equity, diversity, and inclusivity. In addition, the pillars are cross-boundary in nature, including collaboration and innovation across sectors, disciplines, regions, generations, and backgrounds. Together, these recommendations provide an actionable and iterative path toward inclusive engagement and intergenerational exchange that can develop ocean solutions for a sustainable future.</t>
  </si>
  <si>
    <t>[Satterthwaite, Erin, V] Univ Calif San Diego, Scripps Inst Oceanog, Calif Sea Grant, San Diego, CA 92103 USA; [Komyakova, Valeriya; Kelly, Rachel] Univ Tasmania, Inst Marine &amp; Antarctic Studies, Hobart, Tas, Australia; [Komyakova, Valeriya; Kelly, Rachel] Univ Tasmania, Ctr Marine Socioecol, Hobart, Tas, Australia; [Erazo, Natalia G.] Univ Calif San Diego, Scripps Inst Oceanog, San Diego, CA 92103 USA; [Gammage, Louise] Univ Cape Town, Dept Biol Sci, Cape Town, South Africa; [Gammage, Louise] Univ Cape Town, Marine &amp; Antarctic Res Innovat &amp; Sustainabil MARI, Cape Town, South Africa; [Juma, Gabriel A.] Biol Anstalt Helgoland, Alfred Wegener Inst, Helmholtz Ctr Polar &amp; Marine Res, Helgoland, Germany; [Kleinman, Daniel] Seaworthy Collect, Miami, FL USA; [Lobelle, Delphine] Univ Utrecht, Inst Marine &amp; Atmospher Res, Utrecht, Netherlands; [James, Rachel Sapery] WWF Australia, Gubbi Gubbi Country, Sunshine Coast, Australia; [Zanuri, Norlaila Binti Mohd] Univ Sains Malaysia, Ctr Marine &amp; Coastal Studies CEMACS, Gelugor, Pulau Pinang, Malaysia</t>
  </si>
  <si>
    <t>University of California System; University of California San Diego; Scripps Institution of Oceanography; University of Tasmania; University of Tasmania; University of California System; University of California San Diego; Scripps Institution of Oceanography; University of Cape Town; University of Cape Town; Helmholtz Association; Alfred Wegener Institute, Helmholtz Centre for Polar &amp; Marine Research; Utrecht University; World Wildlife Fund; Universiti Sains Malaysia</t>
  </si>
  <si>
    <t>Satterthwaite, EV (corresponding author), Univ Calif San Diego, Scripps Inst Oceanog, Calif Sea Grant, San Diego, CA 92103 USA.</t>
  </si>
  <si>
    <t>esatterthwaite@ucsd.edu</t>
  </si>
  <si>
    <t>James, Rachel Sapery/ITT-0683-2023; Gammage, Louise C./V-7350-2019; Juma, Gabriel Akoko/IXN-1503-2023; Komyakova, Valeriya/H-4632-2013; zanuri, norlaila binti mohd/B-3269-2018</t>
  </si>
  <si>
    <t>James, Rachel Sapery/0000-0003-4176-2178; Gammage, Louise C./0000-0002-3751-0958; Juma, Gabriel Akoko/0000-0002-2670-3543; Satterthwaite, Erin/0000-0003-0177-7770; Erazo, Natalia/0000-0002-7498-0860</t>
  </si>
  <si>
    <t>California Sea Grant; California Cooperative Oceanic Fisheries Investigations (CalCOFI),; NOAA Southwest Fisheries Science Center; California Department of Fish and Wildlife (CDFW); National Research Foundation through the South African Research Chair in Marine Ecology and Fisheries [65238]; Eco-ACE project [136481]; TRIATLAS project from the European Union's Horizon 2020 research and innovation programme [817578]; Ministry of higher education, science, technology and innovation (SENESCYT) scholarship program in Ecuador; European Research Council (ERC) under the European Union [715386]; Deutscher Akademischer Austauschdienst (DAAD); H2020 Societal Challenges Programme [817578] Funding Source: H2020 Societal Challenges Programme</t>
  </si>
  <si>
    <t>California Sea Grant; California Cooperative Oceanic Fisheries Investigations (CalCOFI),; NOAA Southwest Fisheries Science Center(National Oceanic Atmospheric Admin (NOAA) - USA); California Department of Fish and Wildlife (CDFW); National Research Foundation through the South African Research Chair in Marine Ecology and Fisheries; Eco-ACE project; TRIATLAS project from the European Union's Horizon 2020 research and innovation programme; Ministry of higher education, science, technology and innovation (SENESCYT) scholarship program in Ecuador; European Research Council (ERC) under the European Union(European Research Council (ERC)); Deutscher Akademischer Austauschdienst (DAAD)(Deutscher Akademischer Austausch Dienst (DAAD)); H2020 Societal Challenges Programme(Horizon 2020European Union (EU)H2020 Societal Challenges Programme)</t>
  </si>
  <si>
    <t>EVS is supported by a collaborative agreement between California Sea Grant, the California Cooperative Oceanic Fisheries Investigations (CalCOFI), the NOAA Southwest Fisheries Science Center, and the California Department of Fish and Wildlife (CDFW). LCG is supported by the National Research Foundation through the South African Research Chair in Marine Ecology and Fisheries [65238], Eco-ACE project [136481] and the TRIATLAS project, which has received funding from the European Union's Horizon 2020 research and innovation programme under grant agreement No 817578. NGE is supported by the Ministry of higher education, science, technology and innovation (SENESCYT) scholarship program in Ecuador. DL is part of the Tracking Of Plastic In Our Seas (TOPIOS) project, supported through funding from the European Research Council (ERC) under the European Union's Horizon 2020 research and innovation program (grant agreement no. 715386). GAJ is supported by Deutscher Akademischer Austauschdienst (DAAD). The funders had no role in study design, data collection and analysis, decision to publish, or preparation of the manuscript.</t>
  </si>
  <si>
    <t>PUBLIC LIBRARY SCIENCE</t>
  </si>
  <si>
    <t>SAN FRANCISCO</t>
  </si>
  <si>
    <t>1160 BATTERY STREET, STE 100, SAN FRANCISCO, CA 94111 USA</t>
  </si>
  <si>
    <t>1544-9173</t>
  </si>
  <si>
    <t>1545-7885</t>
  </si>
  <si>
    <t>PLOS BIOL</t>
  </si>
  <si>
    <t>PLoS. Biol.</t>
  </si>
  <si>
    <t>OCT</t>
  </si>
  <si>
    <t>e3001832</t>
  </si>
  <si>
    <t>10.1371/journal.pbio.3001832</t>
  </si>
  <si>
    <t>Biochemistry &amp; Molecular Biology; Biology</t>
  </si>
  <si>
    <t>Biochemistry &amp; Molecular Biology; Life Sciences &amp; Biomedicine - Other Topics</t>
  </si>
  <si>
    <t>8M6YG</t>
  </si>
  <si>
    <t>WOS:000924607000022</t>
  </si>
  <si>
    <t>Golovin, PN; Antipov, NN; Klepikov, AV; Molchanov, MS; Kashin, SV; Chistyakov, IA</t>
  </si>
  <si>
    <t>Golovin, P. N.; Antipov, N. N.; Klepikov, A. V.; Molchanov, M. S.; Kashin, S. V.; Chistyakov, I. A.</t>
  </si>
  <si>
    <t>Spatial Patterns of Dense Water Runoff on the Antarctic Shelf and Continental Slope</t>
  </si>
  <si>
    <t>RUSSIAN METEOROLOGY AND HYDROLOGY</t>
  </si>
  <si>
    <t>Antarctic shelf; continental slope; dense water runoff (cascading); submesoscale hydrological polygon; thermohaline and density water structure; density currents; baroclinic instability; intrusions; eddies; the Prydz Bay</t>
  </si>
  <si>
    <t>BOTTOM WATER; DEEP; SEA</t>
  </si>
  <si>
    <t>Observational data from the submesoscale hydrological polygon confirm the presence of summer runoff of dense Antarctic shelf water (ASW) on the continental slope in the Commonwealth Sea. It is provided by a huge amount of ASW accumulated in shelf depressions during winter. The ASW overflows the shelf edge in the form of discrete meanders, which are formed as a result of baroclinic instability of a deep (similar to 150-250 m) ASW front. The estimated instability scale along the dense water front Rd(L) approximate to 1.5-3.2 km coincides with the observed spatial discreteness of ASW. At the same time, the distribution of near-bottom density currents affected by the bottom irregularities is noted on the shelf. The Antarctic Slope Front (ASF) is formed on the slope due to the interaction of ASW with warm Circumpolar Deep Water (CDW). Due to the continuity of motion in the near- slope area, 3D cascading is accompanied by compensatory upwelling of CDW, which complements its large-scale advection. These processes form the intrusive structure of water on the edge of the shelf and on the shelf. Depending on the bathymetric characteristics of the slope in different parts of the polygon, the cascading of ASW has a different regime.</t>
  </si>
  <si>
    <t>[Golovin, P. N.; Antipov, N. N.; Klepikov, A. V.; Molchanov, M. S.; Kashin, S. V.; Chistyakov, I. A.] Arctic &amp; Antarctic Res Inst, Ul Beringa 38, St Petersburg 199397, Russia</t>
  </si>
  <si>
    <t>Arctic &amp; Antarctic Research Institute</t>
  </si>
  <si>
    <t>Golovin, PN (corresponding author), Arctic &amp; Antarctic Res Inst, Ul Beringa 38, St Petersburg 199397, Russia.</t>
  </si>
  <si>
    <t>golovin@aari.ru</t>
  </si>
  <si>
    <t>Russian Science Foundation [22-27-00013]</t>
  </si>
  <si>
    <t>Russian Science Foundation(Russian Science Foundation (RSF))</t>
  </si>
  <si>
    <t>The re search was sup ported by the Russian Science Foundation (grant 22-27-00013)</t>
  </si>
  <si>
    <t>PLEIADES PUBLISHING INC</t>
  </si>
  <si>
    <t>NEW YORK</t>
  </si>
  <si>
    <t>PLEIADES HOUSE, 7 W 54 ST, NEW YORK, NY, UNITED STATES</t>
  </si>
  <si>
    <t>1068-3739</t>
  </si>
  <si>
    <t>1934-8096</t>
  </si>
  <si>
    <t>RUSS METEOROL HYDRO+</t>
  </si>
  <si>
    <t>Russ. Meteorol. Hydrol.</t>
  </si>
  <si>
    <t>10.3103/S1068373922110085</t>
  </si>
  <si>
    <t>Meteorology &amp; Atmospheric Sciences</t>
  </si>
  <si>
    <t>8K3KV</t>
  </si>
  <si>
    <t>WOS:000923005700008</t>
  </si>
  <si>
    <t>Ramzi, AB; Minggu, MM; Ruslan, US; Khairi, MHF; Abdul, PM</t>
  </si>
  <si>
    <t>Ramzi, Ahmad Bazli; Minggu, Matthlessa Matthew; Ruslan, Ummul Syafiqah; Khairi, Mohamad Hazwan Fikri; Abdul, Peer Mohamed</t>
  </si>
  <si>
    <t>Expression of Furfural Reductase Improved Furfural Tolerance in Antarctic Bacterium Pseudomonas extremaustralis</t>
  </si>
  <si>
    <t>SAINS MALAYSIANA</t>
  </si>
  <si>
    <t>Antarctic bacteria; biological engineering; furfural reductase; Pseudomonas extremaustralis; whole-cell biocatalysis</t>
  </si>
  <si>
    <t>BIOSYNTHESIS; ETHANOL; COLD; LIFE</t>
  </si>
  <si>
    <t>Whole-cell biocatalysis using Antarctic bacteria is presently hampered by a lack of genetic information, limited gene tools and critically, a poor range of cultivation conditions. In this work, biological engineering strategy was employed for developing Pseudomonas extremaustralis, a metabolically-versatile and biopolymer-producing Antarctic bacterium, as a new whole-cell biocatalytic host. For this purpose, gene cloning and plasmid construction were carried out for overexpression of furfural reductase (FucO), an industrially-important enzyme for degradation of toxic furfural compound commonly found in lignocellulosic biorefinery. FucO gene from Escherichia coli BL21 was cloned in pJM105 plasmid and transformed into competent cells of P. extremaustralis to generate a biologically-engineered pFucO strain. For functional characterization of the enzyme, furfural reductase activity was assayed, where the P. extremaustralis pFucO strain exhibited increased furfural reductase activity of about 15.6 U/mg, an 18.8-fold higher than empty plasmid-carrying control pJM105 strain (0.83 U/mg). Furfural detoxification activity using whole cells was also determined by which the overexpression of FucO led to increased tolerance and cell growth with an OD600 value of 5.3 as compared to the control pJM105 strain that was inhibited with 10 mM furfural during 48-hour cultivation. Therefore, the findings obtained in this study successfully demonstrated the development of P. extremaustralis as biocatalytic host for the production of recombinant furfural reductase. The bioengineering would serve as a modular biotechnological platform for polar strain and bioproduct development tailored towards industrial biotechnology applications.</t>
  </si>
  <si>
    <t>[Ramzi, Ahmad Bazli; Minggu, Matthlessa Matthew; Ruslan, Ummul Syafiqah; Khairi, Mohamad Hazwan Fikri] Univ Kebangsaan Malaysia, Inst Syst Biol INBIOSIS, Ukm Bangi 43600, Selangor Darul, Malaysia; [Abdul, Peer Mohamed] Univ Kebangsaan Malaysia, Fac Engn &amp; Built Environm, Res Ctr Sustainable Proc Technol, Ukm Bangi 43600, Selangor Darul, Malaysia; [Abdul, Peer Mohamed] Univ Kebangsaan Malaysia, Fac Engn &amp; Built Environm, Program Chem Engn, Ukm Bangi 43600, Selangor Darul, Malaysia</t>
  </si>
  <si>
    <t>Universiti Kebangsaan Malaysia; Universiti Kebangsaan Malaysia; Universiti Kebangsaan Malaysia</t>
  </si>
  <si>
    <t>Ramzi, AB (corresponding author), Univ Kebangsaan Malaysia, Inst Syst Biol INBIOSIS, Ukm Bangi 43600, Selangor Darul, Malaysia.</t>
  </si>
  <si>
    <t>bazliramzi@ukm.edu.my</t>
  </si>
  <si>
    <t>Matthew Minggu, Matthlessa/HOH-1834-2023</t>
  </si>
  <si>
    <t>Ministry of Higher Education Malaysia [FRGS/1/2018/STG05/UKM/02/4)]; Universiti Kebangsaan Malaysia [GUP-2019-065]</t>
  </si>
  <si>
    <t>Ministry of Higher Education Malaysia(Ministry of Education, Malaysia); Universiti Kebangsaan Malaysia</t>
  </si>
  <si>
    <t>This work was supported by the Fundamental Research Grant Scheme (FRGS/1/2018/STG05/UKM/02/4) from the Ministry of Higher Education Malaysia and Geran Universiti Penyelidikan (GUP-2019-065) from Universiti Kebangsaan Malaysia.</t>
  </si>
  <si>
    <t>UNIV KEBANGSAAN MALAYSIA</t>
  </si>
  <si>
    <t>SELANGOR</t>
  </si>
  <si>
    <t>FACULTY SCIENCE &amp; TECHNOLOGY, BANGI, SELANGOR, 43600, MALAYSIA</t>
  </si>
  <si>
    <t>0126-6039</t>
  </si>
  <si>
    <t>SAINS MALAYS</t>
  </si>
  <si>
    <t>Sains Malays.</t>
  </si>
  <si>
    <t>10.17576/jsm-2022-5110-04</t>
  </si>
  <si>
    <t>7T4DC</t>
  </si>
  <si>
    <t>gold, Green Accepted</t>
  </si>
  <si>
    <t>WOS:000911393200004</t>
  </si>
  <si>
    <t>Bergami, E; Emerenciano, AK; Pinto, LP; Joviano, WR; Font, A; de Godoy, TA; Silva, JRMC; González-Aravena, M; Corsi, I</t>
  </si>
  <si>
    <t>Bergami, E.; Emerenciano, A. Krupinski; Pinto, L. Palmeira; Joviano, W. Reina; Font, A.; de Godoy, T. Almeida; Silva, J. R. M. C.; Gonzalez-Aravena, M.; Corsi, I</t>
  </si>
  <si>
    <t>Behavioural, physiological and molecular responses of the Antarctic fairy shrimp Branchinecta gaini (Daday, 1910) to polystyrene nanoplastics</t>
  </si>
  <si>
    <t>NANOIMPACT</t>
  </si>
  <si>
    <t>Antarctica; Plastic pollution; Freshwater microcrustacean; South Shetland Islands; Ecotoxicity; Polystyrene nanoparticles</t>
  </si>
  <si>
    <t>OXIDATIVE STRESS; ARTEMIA-FRANCISCANA; TOXICITY; MICROPLASTICS; NANOPARTICLES; BIODIVERSITY; BIOMARKERS; ECOLOGY; ISLAND; HSP70</t>
  </si>
  <si>
    <t>Plastic pollution represents an emerging environmental issue in terrestrial Antarctica, especially in the Antarctic Peninsula and Maritime Antarctica, which have been recently recognized as hot spots for plastic litter. In these regions, freshwater (FW) environments such as lakes host isolated ecosystems and species that can be severely affected by increasing environmental and anthropogenic stressors, which include plastics that are still overlooked. In this study, we investigated for the first time the impact of nanoplastics on adults of the fairy shrimp Branchinecta gaini (Order Anostraca) populating Antarctic FW ecosystems, using surface charged polystyrene nanoparticles (PS NPs) as a proxy. Short-term acute toxicity (48 h) was investigated by exposing adults to carboxyl (-COOH, 60 nm) and amino-modified (-NH2, 50 nm) PS NPs at 1 and 5 mu g mL-1. Biodisposition of PS NPs and lethal and sub-lethal effects (i.e., swimming, moulting, histology, gene expression) were assessed. Behaviour of PS NPs in Antarctic FW media was monitored through 48 h of exposure showing that both PS NPs kept their nanoscale size in the Antarctic FW media. Survival of fairy shrimp adults over short-term exposure was not affected, on the other hand an increase in moulting rate and alterations in the gut epithelium were observed upon exposure to both PS NPs. Significant alterations at the behavioural (ventilation rate) and molecular (upregulation of Hsp70mit, Hsp83, Sod, P450) levels were related to PS NP surface charge and associated with PSNH2 exposure only. Nanoplastics could represent a threat for Antarctic FW biodiversity and the Antarctic fairy shrimp could be a valuable model for assessing their impact on such remote and pristine aquatic ecosystems.</t>
  </si>
  <si>
    <t>[Bergami, E.; Corsi, I] Univ Siena, Dept Phys Earth &amp; Environm Sci, Via Mattioli 4, I-53100 Siena, Italy; [Bergami, E.] Univ Modena &amp; Reggio Emilia, Dept Life Sci, Via Campi 213-D, I-41125 Modena, Italy; [Emerenciano, A. Krupinski; Pinto, L. Palmeira; Joviano, W. Reina; de Godoy, T. Almeida; Silva, J. R. M. C.] Univ Sao Paulo, Inst Biomed Sci, Dept Cell &amp; Dev Biol, Av Prof L Prestes 1524, BR-05508000 Sao Paulo, SP, Brazil; [Font, A.; Gonzalez-Aravena, M.] Chilean Antarctic Inst, Sci Dept, Plaza Munoz Gamero 1055, Punta Arenas 6200965, Chile</t>
  </si>
  <si>
    <t>University of Siena; Universita di Modena e Reggio Emilia; Universidade de Sao Paulo</t>
  </si>
  <si>
    <t>Bergami, E (corresponding author), Univ Modena &amp; Reggio Emilia, Dept Life Sci, Via Campi 213-D, I-41125 Modena, Italy.</t>
  </si>
  <si>
    <t>elisa.bergami@unimore.it</t>
  </si>
  <si>
    <t>Corsi, Ilaria/D-3795-2012; Bergami, Elisa/JFJ-1703-2023; Almeida de Godoy, Thais/GYV-2972-2022; Silva, Jamile/IRZ-4804-2023</t>
  </si>
  <si>
    <t>Corsi, Ilaria/0000-0002-1811-3041; Bergami, Elisa/0000-0001-8149-9584; Almeida de Godoy, Thais/0000-0003-0792-732X;</t>
  </si>
  <si>
    <t>Italian National Antarctic Program [PNRA 16_00075]; Brazilian Antarctic program [PROANTAR 407904/2013-1]; CNPq-National Council for Scientific and Technological Development and the Chilean Antarctic Institute (INACH); ANID-Chile [Fondecyt 11190802]</t>
  </si>
  <si>
    <t>Italian National Antarctic Program; Brazilian Antarctic program; CNPq-National Council for Scientific and Technological Development and the Chilean Antarctic Institute (INACH)(Fundacao de Apoio a Pesquisa do Distrito Federal (FAPDF)); ANID-Chile</t>
  </si>
  <si>
    <t>y This study was performed within the Nanopolymers in the Antarctic marine environment and biota project, founded by the Italian National Antarctic Program (PNRA 16_00075), in collaboration with the Brazilian Antarctic program (PROANTAR 407904/2013-1) and CNPq-National Council for Scientific and Technological Development and the Chilean Antarctic Institute (INACH). The gene expression analysis was financially supported by ANID-Chile (Fondecyt 11190802). We thank all the workers of the Profesor Julio Escudero station for their logistical support. Dynamic Light Scattering and Electrophoretic Mobility analyses were conducted at the Centro Ricerca Energia e Ambiente (CREA; University of Siena, Italy: www.crea.unisi.it).</t>
  </si>
  <si>
    <t>ELSEVIER</t>
  </si>
  <si>
    <t>AMSTERDAM</t>
  </si>
  <si>
    <t>RADARWEG 29, 1043 NX AMSTERDAM, NETHERLANDS</t>
  </si>
  <si>
    <t>2452-0748</t>
  </si>
  <si>
    <t>NanoImpact</t>
  </si>
  <si>
    <t>10.1016/j.impact.2022.100437</t>
  </si>
  <si>
    <t>Environmental Sciences; Nanoscience &amp; Nanotechnology</t>
  </si>
  <si>
    <t>Environmental Sciences &amp; Ecology; Science &amp; Technology - Other Topics</t>
  </si>
  <si>
    <t>7J6HC</t>
  </si>
  <si>
    <t>WOS:000904681600003</t>
  </si>
  <si>
    <t>Kay, E; Young, MJ; Muller, C; Howe, L; Roe, W; Gartrell, BD</t>
  </si>
  <si>
    <t>Kay, Emily; Young, Melanie J.; Muller, Chris; Howe, Laryssa; Roe, Wendi; Gartrell, Brett D.</t>
  </si>
  <si>
    <t>PREVALENCE AND PATHOGEN LOAD OF EIMERIA IN WILD YELLOW-EYED PENGUINS (MEGADYPTES ANTIPODES) AND THE MORPHOLOGIC CHARACTERIZATION OF A NOVEL EIMERIA SPECIES</t>
  </si>
  <si>
    <t>JOURNAL OF WILDLIFE DISEASES</t>
  </si>
  <si>
    <t>Apicomplexa; coccidiosis; host-pathogen evolution; seabirds; Sphenisciformes; wild birds</t>
  </si>
  <si>
    <t>KING GEORGE ISLAND; EUDYPTULA-MINOR; PARASITES; APICOMPLEXA; MORTALITY; OOCYSTS</t>
  </si>
  <si>
    <t>Coccidia infections in wild birds rarely cause clinical signs; however, disease and mortality can occur with predisposing environmental and host conditions. The Yellow-eyed Penguin (Megadyptes antipodes) is an endangered species endemic to New Zealand that has seen significant ongoing population decline. The aim of this study was to examine the host-pathogen dynamics of coccidian parasites in two wild populations of Yellow-eyed Penguin: the mainland (South Island) population and the sub-Antarctic (Enderby Island) population. There was weak evidence for a difference in the prevalence of the Eimeria sp. in birds from Enderby Island (76.6%; 36/47; 95% confidence interval [CI] 62.78-86.4%) and the South Island of New Zealand (58.54%; 24/41; 95% CI 43.37-72.24%). The mean pathogen load in penguins on Enderby Island was 9,723 oocysts/g of feces (SE=5831 oocysts/g) and from the South Island of New Zealand was 1,050 oocysts/g (SE=398 oocysts/g). No evidence of an association was found between pathogen load and body weight in either study population. The morphology of the sporulated coccidial oocysts was consistent with a novel species of Eimeria. There was statistically significant variation between the oocysts collected from the two sites in all measurements apart from the oocyst wall thickness. However, the standard technique of assessing linear regressions of the length and width of oocysts from both sampling sites was 0.80, and therefore above the standard R-2 &gt;0.5 used to indicate variation within a single population of oocysts, suggesting that only a single species of Eimeria was present at both sampling locations. The prevalence and pathogen load of Eimeria sp. was substantially higher than previous reports of coccidial oocysts in Yellow-eyed Penguins and free-living Sphenisciformes globally. This host-parasite relationship deserves further investigation, as the impact of this novel organism on the population remains unclear.</t>
  </si>
  <si>
    <t>[Kay, Emily; Muller, Chris; Howe, Laryssa; Roe, Wendi; Gartrell, Brett D.] Massey Univ, Tawharau Ora, Wildbase, Sch Vet Sci, Private Bag 11222, Palmerston North 4410, New Zealand; [Young, Melanie J.] Univ Otago, Dept Zool, POB 56, Dunedin 9054, New Zealand; [Kay, Emily] Australia Zoo Wildlife Hosp, Steve Irwin Way, Beerwah, Qld 4519, Australia</t>
  </si>
  <si>
    <t>Massey University; University of Otago</t>
  </si>
  <si>
    <t>Kay, E (corresponding author), Massey Univ, Tawharau Ora, Wildbase, Sch Vet Sci, Private Bag 11222, Palmerston North 4410, New Zealand.;Kay, E (corresponding author), Australia Zoo Wildlife Hosp, Steve Irwin Way, Beerwah, Qld 4519, Australia.</t>
  </si>
  <si>
    <t>emilykay.vet@gmail.com</t>
  </si>
  <si>
    <t>roe, wendi d/K-4110-2012</t>
  </si>
  <si>
    <t>Howe, Laryssa/0000-0002-2594-2008</t>
  </si>
  <si>
    <t>WILDLIFE DISEASE ASSOC, INC</t>
  </si>
  <si>
    <t>LAWRENCE</t>
  </si>
  <si>
    <t>810 EAST 10TH ST, LAWRENCE, KS 66044-8897 USA</t>
  </si>
  <si>
    <t>0090-3558</t>
  </si>
  <si>
    <t>1943-3700</t>
  </si>
  <si>
    <t>J WILDLIFE DIS</t>
  </si>
  <si>
    <t>J. Wildl. Dis.</t>
  </si>
  <si>
    <t>10.7589/JWD-D-21-00146</t>
  </si>
  <si>
    <t>Veterinary Sciences</t>
  </si>
  <si>
    <t>6Q6UX</t>
  </si>
  <si>
    <t>WOS:000891748500013</t>
  </si>
  <si>
    <t>Jinsheng, S; Zonglun, W; Jingping, L; Kaihe, L; Xianbin, H; Xianfa, Z; Zihua, S; Ning, H</t>
  </si>
  <si>
    <t>Jinsheng, Sun; Zonglun, Wang; Jingping, Liu; Kaihe, Lyu; Xianbin, Huang; Xianfa, Zhang; Zihua, Shao; Ning, Huang</t>
  </si>
  <si>
    <t>Research progress and development direction of low-temperature drilling fluid for Antarctic region</t>
  </si>
  <si>
    <t>PETROLEUM EXPLORATION AND DEVELOPMENT</t>
  </si>
  <si>
    <t>Antarctic region; snow and ice formation; subglacial rock formation; low-temperature drilling fluid; drilling fluid system; working mechanism; regulation method; construction specification</t>
  </si>
  <si>
    <t>BUTYL ACETATE; ICE SHEETS; DOME; PERFORMANCE; DESIGN</t>
  </si>
  <si>
    <t>By combing the characteristics of drilling in Antarctic region, performance requirements on drilling fluid for Ant-arctic low temperature conditions, and research progress of low temperature drilling fluid, current problems of the drilling fluid have been sorted out, and the development direction of the drilling fluid has been pointed out. Drilling in the Antarctic region mainly includes drilling in snow, ice and subglacial rock formations, and drilling in Antarctic low temperature condi-tions will face problems in four aspects: (1) low temperature and large temperature changes in the drilling area; (2) likely well leakage and drillstring-sticking in the snow layer, creep in the ice layer, ice chip gathering jamming in the warm ice layer, well wall collapse in the subglacial rock formations; (3) lack of infrastructure and difficulty in logistical support; (4) fragile envi-ronment and low carrying capacity. After years of development, progresses have been made on low-temperature drilling fluids for the Antarctic region. Low-temperature petroleum-based drilling fluid, ethanol/ethylene glycol-based drilling fluid, es-ter-based drilling fluid and silicone oil-based drilling fluid have been developed. However, these drilling fluids have problems such as insufficient low-temperature tolerance, low environmental performance and weak wellbore stability, etc. In order to meet the performance requirements of drilling fluid under low-temperature conditions in Antarctic region, the working mechanisms of low-temperature drilling fluid must be examined in depth; environment-friendly low-temperature base fluid of drilling fluid and related additives must be developed to prepare environmentally friendly low temperature drilling fluid sys-tems; multi-functional integrated adjustment method for drilling fluid must be worked out to ensure well wall stability and improve cutting-carry capacity when drilling ice formations and ice-rock interlayers; and on-site support operation codes must be established to provide technical support for Antarctic drilling.</t>
  </si>
  <si>
    <t>[Jinsheng, Sun; Zonglun, Wang; Jingping, Liu; Kaihe, Lyu; Xianbin, Huang; Xianfa, Zhang; Zihua, Shao; Ning, Huang] China Univ Petr East China, Sch Petr Engn, Qingdao 266580, Peoples R China; [Jinsheng, Sun] CNPC Engn Technol R&amp;D Co Ltd, Beijing 102206, Peoples R China</t>
  </si>
  <si>
    <t>China University of Petroleum</t>
  </si>
  <si>
    <t>Jingping, L (corresponding author), China Univ Petr East China, Sch Petr Engn, Qingdao 266580, Peoples R China.</t>
  </si>
  <si>
    <t>20160038@upc.edu.cn</t>
  </si>
  <si>
    <t>National Key R D Program; [2021YFA0719102]</t>
  </si>
  <si>
    <t>National Key R D Program;</t>
  </si>
  <si>
    <t>Foundation item: Supported by National Key R &amp; D Program (NO. 2021YFA0719102) .</t>
  </si>
  <si>
    <t>KEAI PUBLISHING LTD</t>
  </si>
  <si>
    <t>BEIJING</t>
  </si>
  <si>
    <t>16 DONGHUANGCHENGGEN NORTH ST, Building 5, Room 411, BEIJING, DONGCHENG DISTRICT 100009, PEOPLES R CHINA</t>
  </si>
  <si>
    <t>2096-4803</t>
  </si>
  <si>
    <t>1876-3804</t>
  </si>
  <si>
    <t>PETROL EXPLOR DEV+</t>
  </si>
  <si>
    <t>Petroleum Explor. Dev.</t>
  </si>
  <si>
    <t>10.1016/S1876-3804(22)60340-9</t>
  </si>
  <si>
    <t>Energy &amp; Fuels; Engineering, Petroleum; Geosciences, Multidisciplinary</t>
  </si>
  <si>
    <t>Energy &amp; Fuels; Engineering; Geology</t>
  </si>
  <si>
    <t>6L6TA</t>
  </si>
  <si>
    <t>WOS:000888315300001</t>
  </si>
  <si>
    <t>Metelkin, DV; Vinogradov, EV; Shcherbakova, VV; Vernikovsky, VA; Zakharov, SM; Nagovitsin, KE</t>
  </si>
  <si>
    <t>Metelkin, D. V.; Vinogradov, E. V.; Shcherbakova, V. V.; Vernikovsky, V. A.; Zakharov, S. M.; Nagovitsin, K. E.</t>
  </si>
  <si>
    <t>Concerning Paleogeographic Reconstructions and the State of the Geomagnetic Field at the Precambrian-Paleozoic Boundary: New Paleomagnetic Data for the Olenek Uplift (Siberian Craton)</t>
  </si>
  <si>
    <t>DOKLADY EARTH SCIENCES</t>
  </si>
  <si>
    <t>paleomagnetism; paleointensity; Thellier method; anomalous geomagnetic field; paleogeographic reconstructions; Ediacaran-early Cambrian; Olenek uplift; Siberian craton</t>
  </si>
  <si>
    <t>PLATFORM</t>
  </si>
  <si>
    <t>We report results of paleomagnetic studies of mafic dikes and sills from the Tas-Yuryakh magmatic complex on the Olenek uplift in the northeast of the Siberian platform. The paleomagnetic record in the rocks corresponds to an episode of anomalous state of the geomagnetic field that persisted from the Ediacaran period (similar to 580 Ma and younger) to the end of the Fortunian age. Paleointensity measurements indicate an extremely low value of the virtual dipole moment during this time. This presumably caused a disruption of the normal Geocentric Axial Dipole model, so much so that the world magnetic anomalies made a substantial contribution. We propose that the Antarctic anomaly influenced the magnetization of the Siberian craton rocks during this period of very low dipole moment. The high latitudes corresponding to the observed paleopole do not correspond to the actual paleogeography of Siberia and can be used for paleoreconstructions only after adjusting for this anomaly. The true position of the Olenek uplift at the Precambrian-Paleozoic boundary was close to 30 degrees S above the southeastern periphery of the African (Tuzo) mantle hot field.</t>
  </si>
  <si>
    <t>[Metelkin, D. V.; Vinogradov, E. V.; Vernikovsky, V. A.; Zakharov, S. M.; Nagovitsin, K. E.] Novosibirsk State Univ, Novosibirsk 630090, Russia; [Metelkin, D. V.; Vinogradov, E. V.; Vernikovsky, V. A.; Nagovitsin, K. E.] RAS, Trofimuk Inst Petr Geol &amp; Geophys, SB, Novosibirsk 630090, Russia; [Shcherbakova, V. V.] RAS, Borok Geophys Observ, Dept Schmidt, Inst Phys Earth, Borok 152742, Yaroslavl Oblas, Russia</t>
  </si>
  <si>
    <t>Novosibirsk State University; Russian Academy of Sciences; Trofimuk Institute of Petroleum Geology &amp; Geophysics; Russian Academy of Sciences; Schmidt Institute of Physics of the Earth of the Russian Academy of Sciences</t>
  </si>
  <si>
    <t>Metelkin, DV (corresponding author), Novosibirsk State Univ, Novosibirsk 630090, Russia.;Metelkin, DV (corresponding author), RAS, Trofimuk Inst Petr Geol &amp; Geophys, SB, Novosibirsk 630090, Russia.</t>
  </si>
  <si>
    <t>metelkindv@ipgg.sbras.ru</t>
  </si>
  <si>
    <t>Zakharov, Sergei M/M-6979-2015; Vinogradov, Evgeny/KHW-5369-2024; Metelkin, Dmitry/E-2413-2014</t>
  </si>
  <si>
    <t>Vinogradov, Evgeny/0000-0002-1902-9730</t>
  </si>
  <si>
    <t>Russian Science Foundation [19-17-00091-P, 21-17-00052, 22-27-00505]; Ministry of Science and Higher Education [FSUS-2020-0039]</t>
  </si>
  <si>
    <t>Russian Science Foundation(Russian Science Foundation (RSF)); Ministry of Science and Higher Education(Ministry of Science and Higher Education, Poland)</t>
  </si>
  <si>
    <t>This work was financially supported by the Russian Science Foundation (projects 19-17-00091-P, 21-17-00052, and 22-27-00505), and by the Ministry of Science and Higher Education (project no. FSUS-2020-0039).</t>
  </si>
  <si>
    <t>MAIK NAUKA/INTERPERIODICA/SPRINGER</t>
  </si>
  <si>
    <t>233 SPRING ST, NEW YORK, NY 10013-1578 USA</t>
  </si>
  <si>
    <t>1028-334X</t>
  </si>
  <si>
    <t>1531-8354</t>
  </si>
  <si>
    <t>DOKL EARTH SCI</t>
  </si>
  <si>
    <t>Dokl. Earth Sci.</t>
  </si>
  <si>
    <t>10.1134/S1028334X22600414</t>
  </si>
  <si>
    <t>6D0QK</t>
  </si>
  <si>
    <t>WOS:000882406400002</t>
  </si>
  <si>
    <t>Morozov, EG</t>
  </si>
  <si>
    <t>Morozov, E. G.</t>
  </si>
  <si>
    <t>Deep Flow of Antarctic Bottom Water in the Atlantic and Internal Waves</t>
  </si>
  <si>
    <t>Antarctic Bottom Water; abyssal channels; internal waves; Vema Fracture Zone; Romanche Fracture Zone</t>
  </si>
  <si>
    <t>BOUNDARY CURRENT; VARIABILITY; CIRCULATION; TRANSPORT; RIDGE</t>
  </si>
  <si>
    <t>Transport of Antarctic Bottom Water in the deep-water channels of the Atlantic based on the author's measurements in 2002-2022 is considered. Bottom water is formed in the Weddell Sea and spreads north into the Atlantic Ocean. Near the equator, the flow splits into the equatorial branch through the Romanche and Chain fracture zones and the branch to the northwest into the North American Basin. Further, the flow is directed to the Northeast Atlantic through the Vema Fracture Zone (11 degrees N). This flow fills the deep Cape Verde and Canary basins. The flow through the Romanche Fracture Zone does not penetrate beyond the Kane Gap (9 degrees N) due to strong mixing caused by internal tidal waves.</t>
  </si>
  <si>
    <t>[Morozov, E. G.] Russian Acad Sci, Shirshov Inst Oceanol, Moscow 117218, Russia</t>
  </si>
  <si>
    <t>Russian Academy of Sciences; Shirshov Institute of Oceanology</t>
  </si>
  <si>
    <t>Morozov, EG (corresponding author), Russian Acad Sci, Shirshov Inst Oceanol, Moscow 117218, Russia.</t>
  </si>
  <si>
    <t>egmorozov@mail.ru</t>
  </si>
  <si>
    <t>Morozov, Eugene G/L-3023-2018</t>
  </si>
  <si>
    <t>Russian Science Foundation [21-77-20004]; [FMWE-2021-0002]</t>
  </si>
  <si>
    <t>Russian Science Foundation(Russian Science Foundation (RSF));</t>
  </si>
  <si>
    <t>This work was carried out within the framework of a State Assignment, project no. FMWE-2021-0002. Data analysis was supported by the Russian Science Foundation, grant no. 21-77-20004.</t>
  </si>
  <si>
    <t>10.1134/S1028334X2270026X</t>
  </si>
  <si>
    <t>WOS:000882406400022</t>
  </si>
  <si>
    <t>Moreira, LM; Meyer, W; Chame, M; Brandao, ML; Vivoni, AM; Portugal, J; Wanke, B; Trilles, L</t>
  </si>
  <si>
    <t>Moreira, Lucas Machado; Meyer, Wieland; Chame, Marcia; Brandao, Martha Lima; Vivoni, Adriana Marcos; Portugal, Juana; Wanke, Bodo; Trilles, Luciana</t>
  </si>
  <si>
    <t>Molecular Detection of Histoplasma capsulatum in Antarctica</t>
  </si>
  <si>
    <t>EMERGING INFECTIOUS DISEASES</t>
  </si>
  <si>
    <t>IMPACTS</t>
  </si>
  <si>
    <t>We detected Histoplasma capsulatum in soil and penguin excreta in the Antarctic Peninsula by sequencing after per-forming species-specific PCR, confirming previous obser-vations that this pathogen occurs more broadly than sus-pected. This finding highlights the need for surveillance of emerging agents of systemic mycoses and their transmis-sion among regions, animals, and humans in Antarctica.</t>
  </si>
  <si>
    <t>[Moreira, Lucas Machado; Chame, Marcia; Brandao, Martha Lima; Vivoni, Adriana Marcos; Portugal, Juana; Wanke, Bodo; Trilles, Luciana] Fundacao Oswaldo Cruz, Rio De Janeiro, Brazil; [Meyer, Wieland] Univ Sydney, Sydney, NSW, Australia; [Meyer, Wieland] Curtin Univ, Perth, WA, Australia; [Trilles, Luciana] Inst Nacl Infectol Evandro Chagas, FIOCRUZ, INI, Pavilhao Maria Deane Ave Brasil, 4365, BR-21040900 Rio De Janeiro, Brazil</t>
  </si>
  <si>
    <t>Fundacao Oswaldo Cruz; University of Sydney; Curtin University; Fundacao Oswaldo Cruz</t>
  </si>
  <si>
    <t>Trilles, L (corresponding author), Fundacao Oswaldo Cruz, Rio De Janeiro, Brazil.;Trilles, L (corresponding author), Inst Nacl Infectol Evandro Chagas, FIOCRUZ, INI, Pavilhao Maria Deane Ave Brasil, 4365, BR-21040900 Rio De Janeiro, Brazil.</t>
  </si>
  <si>
    <t>luciana.trilles@ini.fiocruz.br</t>
  </si>
  <si>
    <t>Meyer, Wieland/G-1204-2015</t>
  </si>
  <si>
    <t>CNPQ/MCTIC/CAPES/FNDCT [21/2018-PROANTAR (442646/2018-6)]; Inova Fiocruz/Fundacao Oswaldo Cruz [4720463444]</t>
  </si>
  <si>
    <t>CNPQ/MCTIC/CAPES/FNDCT; Inova Fiocruz/Fundacao Oswaldo Cruz</t>
  </si>
  <si>
    <t>This project was partially funded by CNPQ/MCTIC/CAPES/FNDCT N? 21/2018-PROANTAR (442646/2018-6) and Inova Fiocruz/Fundacao Oswaldo Cruz (project no. 4720463444) . The funders had no role in study design, data collection and interpretation, or the decision to submit the work for publication.</t>
  </si>
  <si>
    <t>CENTERS DISEASE CONTROL &amp; PREVENTION</t>
  </si>
  <si>
    <t>ATLANTA</t>
  </si>
  <si>
    <t>1600 CLIFTON RD, ATLANTA, GA 30333 USA</t>
  </si>
  <si>
    <t>1080-6040</t>
  </si>
  <si>
    <t>1080-6059</t>
  </si>
  <si>
    <t>EMERG INFECT DIS</t>
  </si>
  <si>
    <t>Emerg. Infect. Dis</t>
  </si>
  <si>
    <t>10.3201/eid2810.220046</t>
  </si>
  <si>
    <t>Immunology; Infectious Diseases</t>
  </si>
  <si>
    <t>6D1LO</t>
  </si>
  <si>
    <t>WOS:000882461400021</t>
  </si>
  <si>
    <t>Silva, DCP; Neto, AA; Vieira, R</t>
  </si>
  <si>
    <t>Ceddia Porto Silva, Diogo; Ayres Neto, Arthur; Vieira, Rosemary</t>
  </si>
  <si>
    <t>A comparison of different acoustic methods for sedimentary classification of King George Bay, Antarctica</t>
  </si>
  <si>
    <t>MARINE GEORESOURCES &amp; GEOTECHNOLOGY</t>
  </si>
  <si>
    <t>Multibeam bathymetry; high-resolution seismic; echo-characterization; multibeam backscatter; glaciomarine environment; seismic amplitude</t>
  </si>
  <si>
    <t>CONTINENTAL-MARGIN; BACKSCATTER; CHARACTER; SHELF</t>
  </si>
  <si>
    <t>Multibeam sonar and high-resolution seismic mapping are marine geophysical techniques frequently employed to map the distribution and type of marine sediments. Both techniques involve the transmission and reception of acoustic pulses reflected by the seafloor and typically generate consistent and satisfactory results at a relatively low-cost relative to direct sampling. However, mainly due to their operational peculiarities (frequency range, beam width, etc.), each method generates some discrepancies regarding sedimentary distribution for the same area. Here, we compare three well-established marine geophysical techniques (Multibeam Echosounder (MBES) bathymetry and backscatter intensity, Sub-Bottom Profiler (SBP) echo-characterization, defined as the acoustic response of marine sediments as a function of its sedimentological properties, and seismic amplitude) applied to characterize seabed geology, analyzing comparing the results observed from each method. The study area is the glaciomarine environment of King George Bay, South Shetland Islands, Antarctica. We demonstrate that each method responds to specific characteristics of the seafloor, mainly because of divergent interactions between the acoustic signal and morphological features at different scales and sedimentological interfaces. Despite some consistencies, considerable mismatches in terms of classification approaches are apparent. Nevertheless, we show how these different classification approaches can be interpreted together to enable more precise geological understandings.</t>
  </si>
  <si>
    <t>[Ceddia Porto Silva, Diogo] Fed Fluminense Univ, Dept Geol &amp; Geophys, Marine Geol Lab LAGEMAR, Rio De Janeiro, Brazil; [Ceddia Porto Silva, Diogo] Fed Fluminense Univ, Dept Geol &amp; Geophys, Sedimentary &amp; Environm Proc Lab LAPSA, Rio De Janeiro, Brazil</t>
  </si>
  <si>
    <t>Universidade Federal Fluminense; Universidade Federal Fluminense</t>
  </si>
  <si>
    <t>Silva, DCP (corresponding author), Fed Fluminense Univ, Dept Geol &amp; Geophys, Marine Geol Lab LAGEMAR, Rio De Janeiro, Brazil.;Silva, DCP (corresponding author), Fed Fluminense Univ, Dept Geol &amp; Geophys, Sedimentary &amp; Environm Proc Lab LAPSA, Rio De Janeiro, Brazil.</t>
  </si>
  <si>
    <t>diogoceddia@id.uff.br</t>
  </si>
  <si>
    <t>Vieira, Rosemary/0000-0003-0312-2890</t>
  </si>
  <si>
    <t>Ministry of Science and Technology and Innovation (MCTI)/Research National Council (CNPq)/National Fund for the Development of Science and Technology (FNDCT)), Brazilian Antarctic Program - PROANTAR</t>
  </si>
  <si>
    <t>The research was funded by the Ministry of Science and Technology and Innovation (MCTI)/Research National Council (CNPq)/National Fund for the Development of Science and Technology (FNDCT), Brazilian Antarctic Program - PROANTAR Call No. 64/2013.</t>
  </si>
  <si>
    <t>TAYLOR &amp; FRANCIS INC</t>
  </si>
  <si>
    <t>PHILADELPHIA</t>
  </si>
  <si>
    <t>530 WALNUT STREET, STE 850, PHILADELPHIA, PA 19106 USA</t>
  </si>
  <si>
    <t>1064-119X</t>
  </si>
  <si>
    <t>1521-0618</t>
  </si>
  <si>
    <t>MAR GEORESOUR GEOTEC</t>
  </si>
  <si>
    <t>Mar. Geores. Geotechnol.</t>
  </si>
  <si>
    <t>NOV 2</t>
  </si>
  <si>
    <t>10.1080/1064119X.2022.2131486</t>
  </si>
  <si>
    <t>Engineering, Ocean; Engineering, Geological; Oceanography; Mining &amp; Mineral Processing</t>
  </si>
  <si>
    <t>Engineering; Oceanography; Mining &amp; Mineral Processing</t>
  </si>
  <si>
    <t>W5TO3</t>
  </si>
  <si>
    <t>WOS:000882305100001</t>
  </si>
  <si>
    <t>Shu, Q; Song, ZY; Bao, Y; Yang, XD; Song, YJ; Li, XF; Wei, M; Qiao, FL</t>
  </si>
  <si>
    <t>Shu, Qi; Song, Zhenya; Bao, Ying; Yang, Xiaodan; Song, Yajuan; Li, Xinfang; Wei, Meng; Qiao, Fangli</t>
  </si>
  <si>
    <t>FIO-ESM v2.0 CORE2-forced experiment for the CMIP6 Ocean Model Intercomparison Project</t>
  </si>
  <si>
    <t>ACTA OCEANOLOGICA SINICA</t>
  </si>
  <si>
    <t>FIO-ESM; OMIP; CMIP6; OGCM</t>
  </si>
  <si>
    <t>NORTH-ATLANTIC SIMULATIONS; FRESH-WATER DISCHARGE; MIXED-LAYER DEPTH; SEA-ICE; ARCTIC-OCEAN; ATMOSPHERE; TEMPERATURE; IMPACT; SUITE</t>
  </si>
  <si>
    <t>We introduced the Coupled Model Intercomparison Project Phase 6 (CMIP6) Ocean Model Intercomparison Project CORE2-forced (OMIP-1) experiment by using the First Institute of Oceanography Earth System Model version 2.0 (FIO-ESM v2.0), and comprehensively evaluated the simulation results. Unlike other OMIP models, FIO-ESM v2.0 includes a coupled ocean surface wave component model that takes into account non-breaking surface wave-induced vertical mixing in the ocean and effect of surface wave Stokes drift on air-sea momentum and heat fluxes in the climate system. A sub-layer sea surface temperature (SST) diurnal cycle parameterization was also employed to take into account effect of SST diurnal cycle on air-sea heat fluxes to improve simulations of air-sea interactions. Evaluations show that mean values and long-term trends of significant wave height were adequately reproduced in the FIO-ESM v2.0 OMIP-1 simulations, and there is a reasonable fit between the SST diurnal cycle obtained from in situ observations and that parameterized by FIO-ESM v2.0. Evaluations of model drift, temperature, salinity, mixed layer depth, and the Atlantic Meridional Overturning Circulation show that the model performs well in the FIO-ESM v2.0 OMIP-1 simulation. However, the summer sea ice extent of the Arctic and Antarctic is underestimated.</t>
  </si>
  <si>
    <t>[Shu, Qi; Song, Zhenya; Bao, Ying; Yang, Xiaodan; Song, Yajuan; Li, Xinfang; Wei, Meng; Qiao, Fangli] Minist Nat Resources, Inst Oceanog 1, Qingdao 266061, Peoples R China; [Shu, Qi; Song, Zhenya; Bao, Ying; Yang, Xiaodan; Song, Yajuan; Li, Xinfang; Wei, Meng; Qiao, Fangli] Minist Nat Resources, Key Lab Marine Sci &amp; Numer Modeling, Qingdao 266061, Peoples R China; [Shu, Qi; Song, Zhenya; Bao, Ying; Yang, Xiaodan; Song, Yajuan; Wei, Meng; Qiao, Fangli] Pilot Natl Lab Marine Sci &amp; Technol Qingdao, Lab Reg Oceanog &amp; Numer Modeling, Qingdao 266237, Peoples R China; [Shu, Qi; Song, Zhenya; Bao, Ying; Yang, Xiaodan; Song, Yajuan; Wei, Meng; Qiao, Fangli] Shandong Key Lab Marine Sci &amp; Numer Modeling, Qingdao 266061, Peoples R China</t>
  </si>
  <si>
    <t>Ministry of Natural Resources of the People's Republic of China; First Institute of Oceanography, Ministry of Natural Resources; Ministry of Natural Resources of the People's Republic of China; Laoshan Laboratory</t>
  </si>
  <si>
    <t>Qiao, FL (corresponding author), Minist Nat Resources, Inst Oceanog 1, Qingdao 266061, Peoples R China.;Qiao, FL (corresponding author), Minist Nat Resources, Key Lab Marine Sci &amp; Numer Modeling, Qingdao 266061, Peoples R China.;Qiao, FL (corresponding author), Pilot Natl Lab Marine Sci &amp; Technol Qingdao, Lab Reg Oceanog &amp; Numer Modeling, Qingdao 266237, Peoples R China.;Qiao, FL (corresponding author), Shandong Key Lab Marine Sci &amp; Numer Modeling, Qingdao 266061, Peoples R China.</t>
  </si>
  <si>
    <t>qiaofl@fio.org.cn</t>
  </si>
  <si>
    <t>National Key R&amp;D Program of China [2018YFA0605701, 2016YFB0201100]; National Natural Science Foundation of China [41941012, 41821004]; Basic Scientific Fund for National Public Research Institute of China [2019S06]</t>
  </si>
  <si>
    <t>National Key R&amp;D Program of China; National Natural Science Foundation of China(National Natural Science Foundation of China (NSFC)); Basic Scientific Fund for National Public Research Institute of China</t>
  </si>
  <si>
    <t>The National Key R&amp;D Program of China under contract Nos 2018YFA0605701 and 2016YFB0201100; the National Natural Science Foundation of China under contract Nos 41941012 and 41821004; the Basic Scientific Fund for National Public Research Institute of China (ShuXingbei Young Talent Program) under contract No. 2019S06.</t>
  </si>
  <si>
    <t>ONE NEW YORK PLAZA, SUITE 4600, NEW YORK, NY, UNITED STATES</t>
  </si>
  <si>
    <t>0253-505X</t>
  </si>
  <si>
    <t>1869-1099</t>
  </si>
  <si>
    <t>ACTA OCEANOL SIN</t>
  </si>
  <si>
    <t>Acta Oceanol. Sin.</t>
  </si>
  <si>
    <t>10.1007/s13131-022-2000-x</t>
  </si>
  <si>
    <t>Oceanography</t>
  </si>
  <si>
    <t>5Y1IV</t>
  </si>
  <si>
    <t>WOS:000879044400003</t>
  </si>
  <si>
    <t>Ryan, PG; Ward, VL; Miller, SM</t>
  </si>
  <si>
    <t>Ryan, Peter G.; Ward, Vincent L.; Miller, Susan M.</t>
  </si>
  <si>
    <t>FIRST RECORD OF A COMMON DIVING PETREL PELECANOIDES URINATRIX FROM CONTINENTAL AFRICA, AND A SUMMARY OF DIVING PETREL DISTRIBUTION IN THE SOUTHERN OCEAN</t>
  </si>
  <si>
    <t>MARINE ORNITHOLOGY</t>
  </si>
  <si>
    <t>Cape Town; non-breeding distribution; dispersal</t>
  </si>
  <si>
    <t>Tracking studies show that diving petrels regularly disperse thousands of kilometres from their colonies during the non-breeding season, yet there are relatively few vagrant records of diving petrels. We report the first record of a diving petrel from continental Africa. A Common Diving Petrel Pelecanoides urinatrix was found dead near Cape Town, South Africa, on 03 March 2021. It appeared to be from the subAntarctic subspecies P. u.exsul, which is supported by sightings at sea; P. u. dacunhae is not recorded away from Tristan da Cunha and Gough Islands. However, diving petrels are common similar to 1 500-2 000 km southwest of Cape Town in March, in an area where diving petrels from South Georgia winter. In April, diving petrels-presumably from colonies at islands in the southwest Indian Ocean-are common in Antarctic waters 2 100-2 600 km south of Africa and have been seen within 1 200 km of Africa. The Cape Town bird may have come from either of these populations. At-sea and tracking data show that diving petrels are widespread from ca. 45-60 degrees S throughout the Southern Ocean, possibly excluding the southeast Pacific sector.</t>
  </si>
  <si>
    <t>[Ryan, Peter G.; Miller, Susan M.] Univ Cape Town, FitzPatrick Inst African Ornithol, ZA-7700 Rondebosch, South Africa; [Ward, Vincent L.] Birding Africa, Cape Town Pelag, 57 Hill Top St, ZA-7975 Scarborough, South Africa</t>
  </si>
  <si>
    <t>University of Cape Town</t>
  </si>
  <si>
    <t>Ryan, PG (corresponding author), Univ Cape Town, FitzPatrick Inst African Ornithol, ZA-7700 Rondebosch, South Africa.</t>
  </si>
  <si>
    <t>pryan31@gmail.com</t>
  </si>
  <si>
    <t>Miller, Susan/Q-5837-2017</t>
  </si>
  <si>
    <t>Miller, Susan/0000-0002-5976-2742</t>
  </si>
  <si>
    <t>AFRICAN SEABIRD GROUP</t>
  </si>
  <si>
    <t>RHODES GIFT</t>
  </si>
  <si>
    <t>P. O. BOX 34113, RHODES GIFT, SOUTH AFRICA</t>
  </si>
  <si>
    <t>1018-3337</t>
  </si>
  <si>
    <t>2074-1235</t>
  </si>
  <si>
    <t>MAR ORNITHOL</t>
  </si>
  <si>
    <t>Mar. Ornithol.</t>
  </si>
  <si>
    <t>Marine &amp; Freshwater Biology; Ornithology</t>
  </si>
  <si>
    <t>Marine &amp; Freshwater Biology; Zoology</t>
  </si>
  <si>
    <t>5U9QS</t>
  </si>
  <si>
    <t>WOS:000876875100014</t>
  </si>
  <si>
    <t>Borovik, AI; Rybakova, EI; Galkin, SV; Mikhailov, DN; Konoplin, AY</t>
  </si>
  <si>
    <t>Borovik, A., I; Rybakova, E., I; Galkin, S., V; Mikhailov, D. N.; Konoplin, A. Yu</t>
  </si>
  <si>
    <t>Experience of Using the Autonomous Underwater Vehicle MMT-3000 for Research on Benthic Communities in Antartica</t>
  </si>
  <si>
    <t>OCEANOLOGY</t>
  </si>
  <si>
    <t>photo analysis; photo transects; seafloor photographs; megabenthos; marine research equipment; Powell Basin; benthic fauna; benthos distribution</t>
  </si>
  <si>
    <t>TRANSECTS; MEGAFAUNA; DENSITY</t>
  </si>
  <si>
    <t>The article describes the features and results of using the autonomous underwater vehicle (AUV) MMT-3000 for research of Antarctic ecosystems and deep-sea biological resources of the South Seas. The methodology for working with an AUV in the extreme conditions of Antarctica and the technical solutions used to visually assess the distribution of bottom animals are discussed. The results of processing the data obtained by AUV during deep-sea missions in the Atlantic sector of the Antarctic during the expedition of the RV Akademik Mstislav Keldysh (cruise 79) in 2020 are presented. At the same time, the data of image analysis and trawl catch were compared. Based on the experience gained, the requirements to be implemented in the new AUV MMT-3500, which is designed and manufactured to effectively carry out deep-sea research in subsequent expeditions in the Southern Ocean, are determined.</t>
  </si>
  <si>
    <t>[Borovik, A., I; Mikhailov, D. N.; Konoplin, A. Yu] Russian Acad Sci, Inst Marine Technol Problems, Far East Branch, Vladivostok, Russia; [Rybakova, E., I; Galkin, S., V] Russian Acad Sci, Shirshov Inst Oceanol, Moscow, Russia</t>
  </si>
  <si>
    <t>Institute of Marine Technology Problems, Far Eastern Branch of the Russian Academy of Sciences; Russian Academy of Sciences; Russian Academy of Sciences; Shirshov Institute of Oceanology</t>
  </si>
  <si>
    <t>Rybakova, EI (corresponding author), Russian Acad Sci, Shirshov Inst Oceanol, Moscow, Russia.</t>
  </si>
  <si>
    <t>gorolen@mail.ru</t>
  </si>
  <si>
    <t>Konoplin, Alaksandr Yu./E-6482-2014; Rybakova, Elena/AAD-1922-2019</t>
  </si>
  <si>
    <t>Rybakova, Elena/0000-0001-9695-149X</t>
  </si>
  <si>
    <t>IMTP FEB RAS [FWFG-2022-0003]; IO RAS [FMWE-2022-0001]</t>
  </si>
  <si>
    <t>IMTP FEB RAS; IO RAS</t>
  </si>
  <si>
    <t>The finalization of the hardware and software of the AUV MMT-3000 and the expeditionary use of AUV were carried out by A. I. Borovik, D.N. Mikhailov and A.Yu. Konoplin as part of the state assignment to the IMTP FEB RAS (project No. FWFG-2022-0003). Trawling during the cruise, processing the trawl samples, image analysis and biological analysis were carried out by E.I. Rybakova and S.V. Galkin as part of the state assignment to the IO RAS (project No. FMWE-2022-0001).</t>
  </si>
  <si>
    <t>0001-4370</t>
  </si>
  <si>
    <t>1531-8508</t>
  </si>
  <si>
    <t>OCEANOLOGY+</t>
  </si>
  <si>
    <t>Oceanology</t>
  </si>
  <si>
    <t>10.1134/S0001437022050034</t>
  </si>
  <si>
    <t>5Z2CP</t>
  </si>
  <si>
    <t>WOS:000879784900011</t>
  </si>
  <si>
    <t>Morozov, EG; Flint, MV; Orlov, AM; Frey, DI; Molodtsova, TN; Krechik, VA; Latushkin, AA; Salyuk, PA; Murzina, SA; Minin, KV; Mishin, AV; Mosharov, SA; Seliverstova, AM; Borzykh, OG; Melnik, AV; Mikhailov, DN; Chukmasov, PV; Zamshin, VV; Bitiutskii, DG</t>
  </si>
  <si>
    <t>Morozov, E. G.; Flint, M., V; Orlov, A. M.; Frey, D., I; Molodtsova, T. N.; Krechik, V. A.; Latushkin, A. A.; Salyuk, P. A.; Murzina, S. A.; Minin, K., V; Mishin, A., V; Mosharov, S. A.; Seliverstova, A. M.; Borzykh, O. G.; Melnik, A., V; Mikhailov, D. N.; Chukmasov, P., V; Zamshin, V. V.; Bitiutskii, D. G.</t>
  </si>
  <si>
    <t>Oceanographic and Ecosystem Studies in the Atlantic Sector of Antarctica (Cruise 87 of the Research Vessel Akademik Mstislav Keldysh)</t>
  </si>
  <si>
    <t>Antarctic; Bransfield Strait; Weddell Sea; Powell Basin; ecosystem; biological productivity; krill</t>
  </si>
  <si>
    <t>An expedition to study the ecosystems of the Atlantic sector of the Antarctic was carried out in cruise 87 of R/V Akademik Mstislav Keldysh between January 19 and February 14, 2022. The studies were carried out in the key regions for understanding modern processes in the ecosystem of the Southern Ocean and in the regions of interest for Russian fisheries, namely, the Powell Basin of the Weddell Sea, the Bransfield Strait, Antarctic Sound, and at the test site east of the South Orkney Islands. Materials characterizing the state of the environment, pelagic communities, including the population of the Antarctic krill and mesopelagic fish, benthic fauna, and the spatial and temporal variability of the most important components of ecosystems, were obtained.</t>
  </si>
  <si>
    <t>[Morozov, E. G.; Flint, M., V; Orlov, A. M.; Frey, D., I; Molodtsova, T. N.; Krechik, V. A.; Minin, K., V; Mishin, A., V; Mosharov, S. A.; Seliverstova, A. M.] Russian Acad Sci, Shirshov Inst Oceanol, Moscow, Russia; [Latushkin, A. A.] Russian Acad Sci, Marine Hydrophys Inst, Sevastopol, Russia; [Salyuk, P. A.] Russian Acad Sci, Ilichev Pacific Oceanol Inst, Far East Branch, Vladivostok, Russia; [Murzina, S. A.] Russian Acad Sci, Inst Biol, Karelian Res Ctr, Petrozavodsk, Russia; [Borzykh, O. G.] Russian Acad Sci, Zhirmunsky Natl Sci Ctr Marine Biol, Far East Branch, Vladivostok, Russia; [Melnik, A., V] Russian Acad Sci, Kovalevsky Inst Biol Southern Seas, Sevastopol, Russia; [Mikhailov, D. N.] Russian Acad Sci, Inst Marine Technol Problems, Far East Branch, Vladivostok, Russia; [Chukmasov, P., V] Russian Acad Sci, Severtsov Inst Ecol &amp; Evolut, Moscow, Russia; [Zamshin, V. V.] AEROCOSMOS Res Inst Aerosp Monitoring, Moscow, Russia; [Bitiutskii, D. G.] Russian Fed Res Inst Fisheries &amp; Oceanog, Fed State Budget Sci Inst, Kerch Dept, Azov Black Sea Branch, Kerch, Russia</t>
  </si>
  <si>
    <t>Russian Academy of Sciences; Shirshov Institute of Oceanology; Marine Hydrophysical Institute of RAS; Russian Academy of Sciences; Russian Academy of Sciences; Russian Academy of Sciences; Karelian Research Centre of the Russian Academy of Sciences; Institute of Biology of Karelian Research Centre RAS; Russian Academy of Sciences; National Scientific Center of Marine Biology, Far East Branch of the Russian Academy of Sciences; Russian Academy of Sciences; AO Kovalevsky Institute of Biology of the Southern Seas of RAS (IBSS); Russian Academy of Sciences; Institute of Marine Technology Problems, Far Eastern Branch of the Russian Academy of Sciences; Russian Academy of Sciences; Saratov Scientific Center of the Russian Academy of Sciences; Severtsov Institute of Ecology &amp; Evolution; AEROCOSMOS Research Institute for Aerospace Monitoring</t>
  </si>
  <si>
    <t>Morozov, EG (corresponding author), Russian Acad Sci, Shirshov Inst Oceanol, Moscow, Russia.</t>
  </si>
  <si>
    <t>Murzina, Svetlana A./A-7624-2014; Mosharov, Sergey A/O-2565-2013; Molodtsova, Tina N/E-1838-2015; Borzykh, Oleg/N-3993-2015; Bitiutskii, Dmitrii/GRS-3239-2022; Melnik, Alexsandr/X-1393-2019; Salyuk, Pavel/E-8592-2014; Morozov, Eugene G/L-3023-2018; Krechik, Viktor A./J-9941-2016; Orlov, Alexei M./E-2036-2012; Zamshin, Viktor/G-3224-2014</t>
  </si>
  <si>
    <t>Bitiutskii, Dmitrii/0000-0002-8396-9620; Melnik, Alexsandr/0000-0002-4371-384X; Orlov, Alexei M./0000-0002-0877-2553; Zamshin, Viktor/0000-0003-4285-172X</t>
  </si>
  <si>
    <t>Russian Science Foundation [21-77-20004]; Ministry of Science and Higher Education of the Russian Federation; [FMWE-2022-0001]; [FNEE-2022-0006]; [AAAAA19-119122390017-4]; [FNNN-2022-0001]; [AAAA-A19119111190013-2]; [0208-2019-0013]; [13.1902.21.0012]; [02112019-0007]; [0089-2019-0021]; [FFER-2019-0021]; [075-03-2021-535/2]; [121090800137-6]; [FWFG-2022-0003zh]</t>
  </si>
  <si>
    <t>Russian Science Foundation(Russian Science Foundation (RSF)); Ministry of Science and Higher Education of the Russian Federation; ; ; ; ; ; ; ; ; ; ; ; ;</t>
  </si>
  <si>
    <t>The work was carried out as part of the state assignments FMWE-2022-0001, FNEE-2022-0006; AAAAA19-119122390017-4, FNNN-2022-0001;AAAA-A19119111190013-2; 0208-2019-0013, 13.1902.21.0012, 02112019-0007; 0089-2019-0021, FFER-2019-0021; 075-03-2021-535/2; 121090800137-6, FWFG-2022-0003zh. The field research was carried out with targeted financial support from the Ministry of Science and Higher Education of the Russian Federation and the Russian Science Foundation (grant 21-77-20004).</t>
  </si>
  <si>
    <t>10.1134/S0001437022050150</t>
  </si>
  <si>
    <t>WOS:000879784900012</t>
  </si>
  <si>
    <t>Jackson, AC; Jorna, J; Chaston, JM; Adams, BJ</t>
  </si>
  <si>
    <t>Jackson, Abigail C.; Jorna, Jesse; Chaston, John M.; Adams, Byron J.</t>
  </si>
  <si>
    <t>Glacial Legacies: Microbial Communities of Antarctic Refugia</t>
  </si>
  <si>
    <t>BIOLOGY-BASEL</t>
  </si>
  <si>
    <t>Antarctica; microbial communities; refugia; metabarcoding; McMurdo Dry Valleys; soil biodiversity</t>
  </si>
  <si>
    <t>MCMURDO DRY VALLEYS; SOIL ORGANIC-MATTER; VICTORIA LAND; ICE-SHEET; DIVERSITY; LANDSCAPE; ORIGIN; LAKE; AREA; INVERTEBRATES</t>
  </si>
  <si>
    <t>Simple Summary Microbial communities in Antarctica have only recently been described with the increasing popularity and ease of genome sequencing. Using these methods, we aimed to test hypotheses of refugia using microbial communities in the McMurdo Dry Valleys of Victoria Land, Antarctica. Refugia are habitable areas that remain undisturbed during cycles of glacial expansions throughout Earth's history. They may contain ancient lineages and unique communities worthy of conservation, as well as provide insight into the biotic history of Antarctica. We found unique microbial community assemblages from putative refugia in the McMurdo Dry Valleys indicating long-lived climax-communities in one of the harshest environments in the world. This finding corroborates the importance of glacial legacies in structuring not just the physical and geochemical environment, but also the soil microbial communities in this landscape. In the cold deserts of the McMurdo Dry Valleys (MDV) the suitability of soil for microbial life is determined by both contemporary processes and legacy effects. Climatic changes and accompanying glacial activity have caused local extinctions and lasting geochemical changes to parts of these soil ecosystems over several million years, while areas of refugia may have escaped these disturbances and existed under relatively stable conditions. This study describes the impact of historical glacial and lacustrine disturbance events on microbial communities across the MDV to investigate how this divergent disturbance history influenced the structuring of microbial communities across this otherwise very stable ecosystem. Soil bacterial communities from 17 sites representing either putative refugia or sites disturbed during the Last Glacial Maximum (LGM) (22-17 kya) were characterized using 16 S metabarcoding. Regardless of geographic distance, several putative refugia sites at elevations above 600 m displayed highly similar microbial communities. At a regional scale, community composition was found to be influenced by elevation and geographic proximity more so than soil geochemical properties. These results suggest that despite the extreme conditions, diverse microbial communities exist in these putative refugia that have presumably remained undisturbed at least through the LGM. We suggest that similarities in microbial communities can be interpreted as evidence for historical climate legacies on an ecosystem-wide scale.</t>
  </si>
  <si>
    <t>[Jackson, Abigail C.; Jorna, Jesse; Adams, Byron J.] Brigham Young Univ, Dept Biol, Provo, UT 84602 USA; [Chaston, John M.] Brigham Young Univ, Dept Plant &amp; Wildlife Sci, Provo, UT 84602 USA; [Adams, Byron J.] Brigham Young Univ, Monte L Bean Museum, Provo, UT 84602 USA</t>
  </si>
  <si>
    <t>Brigham Young University; Brigham Young University; Brigham Young University</t>
  </si>
  <si>
    <t>Jackson, AC; Jorna, J (corresponding author), Brigham Young Univ, Dept Biol, Provo, UT 84602 USA.</t>
  </si>
  <si>
    <t>ajackson260@gmail.com; jjgjorna@outlook.com</t>
  </si>
  <si>
    <t>Adams, Byron/C-3808-2009</t>
  </si>
  <si>
    <t>Adams, Byron/0000-0002-7815-3352; Jackson, Abigail C./0000-0002-7807-8524; Jorna, Jesse/0000-0001-8826-9191</t>
  </si>
  <si>
    <t>National Science Foundation [OPP-1637708]; College of Life Sciences</t>
  </si>
  <si>
    <t>National Science Foundation(National Science Foundation (NSF)); College of Life Sciences</t>
  </si>
  <si>
    <t>This research was funded by the National Science Foundation, grant number OPP-1637708 for Long Term Ecological Research. Additional funding was provided by the College of Life Sciences to the Department of Plant and Wildlife Sciences and the Department of Biology, Brigham Young University, Provo, Utah.</t>
  </si>
  <si>
    <t>MDPI</t>
  </si>
  <si>
    <t>BASEL</t>
  </si>
  <si>
    <t>ST ALBAN-ANLAGE 66, CH-4052 BASEL, SWITZERLAND</t>
  </si>
  <si>
    <t>2079-7737</t>
  </si>
  <si>
    <t>Biology-Basel</t>
  </si>
  <si>
    <t>10.3390/biology11101440</t>
  </si>
  <si>
    <t>Biology</t>
  </si>
  <si>
    <t>Life Sciences &amp; Biomedicine - Other Topics</t>
  </si>
  <si>
    <t>5O0OK</t>
  </si>
  <si>
    <t>Green Published, Green Submitted, gold</t>
  </si>
  <si>
    <t>WOS:000872183000001</t>
  </si>
  <si>
    <t>Farias, TC; de Souza, TSP; Fai, AEC; Koblitz, MGB</t>
  </si>
  <si>
    <t>Farias, Ticiane Carvalho; Pinheiro de Souza, Thaiza Serrano; Cavalcante Fai, Ana Elizabeth; Bello Koblitz, Maria Gabriela</t>
  </si>
  <si>
    <t>Critical Review for the Production of Antidiabetic Peptides by a Bibliometric Approach</t>
  </si>
  <si>
    <t>NUTRIENTS</t>
  </si>
  <si>
    <t>hypoglycemic bioactive peptides; protein hydrolysis; DPP-IV; alpha-amylase; alpha-glucosidase; inhibitory peptides</t>
  </si>
  <si>
    <t>IV INHIBITORY PEPTIDES; ANGIOTENSIN-CONVERTING ENZYME; PROTEIN ISOLATE MPI; SALMON SALMO-SALAR; BIOACTIVE PEPTIDES; ANTARCTIC KRILL; ALPHA-AMYLASE; DIPEPTIDYL; GLUCOSIDASE; IDENTIFICATION</t>
  </si>
  <si>
    <t>The current bibliometric review evaluated recent papers that researched dietary protein sources to generate antidiabetic bioactive peptides/hydrolysates for the management of diabetes. Scopus and PubMed databases were searched to extract bibliometric data and, after a systematic four-step process was performed to select the articles, 75 papers were included in this review. The countries of origin of the authors who published the most were China (67%); Ireland (59%); and Spain (37%). The journals that published most articles on the subject were Food Chemistry (n = 12); Food &amp; Function (n = 8); and Food Research International (n = 6). The most used keywords were 'bioactive peptides' (occurrence 28) and 'antidiabetic' (occurrence 10). The most used enzymes were Alcalase (R) (17%), Trypsin (17%), Pepsin, and Flavourzyme (R) (15% each). It was found that different sources of protein have been used to generate dipeptidyl peptidase IV (DPP-IV), alpha-amylase, and alpha-glucosidase inhibitory peptides. In addition to antidiabetic properties, some articles (n = 30) carried out studies on multifunctional bioactive peptides, and the most cited were reported to have antioxidant and antihypertensive activities (n = 19 and 17, respectively). The present review intended to offer bibliometric data on the most recent research on the production of antidiabetic peptides from dietary proteins to those interested in their obtention to act as hypoglycemic functional ingredients. The studies available in this period, compiled, are not yet enough to point out the best strategies for the production of antidiabetic peptides from food proteins and a more systematic effort in this direction is necessary to allow a future scale-up for the production of these possible functional ingredients.</t>
  </si>
  <si>
    <t>[Farias, Ticiane Carvalho; Pinheiro de Souza, Thaiza Serrano; Cavalcante Fai, Ana Elizabeth; Bello Koblitz, Maria Gabriela] Fed Univ State Rio de Janeiro UNIRIO, Grad Program Food Sci &amp; Nutr, BR-22290240 Rio De Janeiro, RJ, Brazil; [Pinheiro de Souza, Thaiza Serrano; Cavalcante Fai, Ana Elizabeth] Rio de Janeiro State Univ UERJ, Inst Nutr, Dept Basic &amp; Expt Nutr, BR-20550013 Rio De Janeiro, RJ, Brazil</t>
  </si>
  <si>
    <t>Universidade Federal do Estado do Rio de Janeiro; Universidade do Estado do Rio de Janeiro</t>
  </si>
  <si>
    <t>Koblitz, MGB (corresponding author), Fed Univ State Rio de Janeiro UNIRIO, Grad Program Food Sci &amp; Nutr, BR-22290240 Rio De Janeiro, RJ, Brazil.</t>
  </si>
  <si>
    <t>maria.koblitz@unirio.br</t>
  </si>
  <si>
    <t>; Cavalcante Fai, Ana Elizabeth/G-1336-2015</t>
  </si>
  <si>
    <t>Farias, Ticiane/0000-0002-9629-9582; Cavalcante Fai, Ana Elizabeth/0000-0002-8594-2667; Serrano Pinheiro de Souza, Thaiza/0000-0002-1996-2846</t>
  </si>
  <si>
    <t>UERJ; UNIRIO; CAPES [001]; FAPERJ [E-26/201.428/2022]</t>
  </si>
  <si>
    <t>UERJ; UNIRIO; CAPES(Coordenacao de Aperfeicoamento de Pessoal de Nivel Superior (CAPES)); FAPERJ(Fundacao Carlos Chagas Filho de Amparo a Pesquisa do Estado do Rio De Janeiro (FAPERJ))</t>
  </si>
  <si>
    <t>This work was funded by UERJ and UNIRIO. TSPS was granted a scholarship from UERJ and TCF received a scholarship from CAPES (code 001). AECF is grateful to FAPERJ for its financial support (code E-26/201.428/2022).</t>
  </si>
  <si>
    <t>2072-6643</t>
  </si>
  <si>
    <t>Nutrients</t>
  </si>
  <si>
    <t>10.3390/nu14204275</t>
  </si>
  <si>
    <t>Nutrition &amp; Dietetics</t>
  </si>
  <si>
    <t>5T6EY</t>
  </si>
  <si>
    <t>WOS:000875958400001</t>
  </si>
  <si>
    <t>Eich, C; Biggs, TEG; van de Poll, WH; van Manen, M; Tian, HA; Jung, J; Lee, Y; Middag, R; Brussaard, CPD</t>
  </si>
  <si>
    <t>Eich, Charlotte; Biggs, Tristan E. G.; van de Poll, Willem H.; van Manen, Mathijs; Tian, Hung-An; Jung, Jinyoung; Lee, Youngju; Middag, Rob; Brussaard, Corina P. D.</t>
  </si>
  <si>
    <t>Ecological Importance of Viral Lysis as a Loss Factor of Phytoplankton in the Amundsen Sea</t>
  </si>
  <si>
    <t>MICROORGANISMS</t>
  </si>
  <si>
    <t>Antarctic phytoplankton; Amundsen Sea Polynya; carbon flux; viral lysis; microzooplankton grazing; Southern Ocean</t>
  </si>
  <si>
    <t>MELTING GLACIERS FUELS; SOUTHERN-OCEAN; COMMUNITY STRUCTURE; EUPHAUSIA-CRYSTALLOROPHIAS; ANTARCTIC PENINSULA; PHAEOCYSTIS-GLOBOSA; INDUCED MORTALITY; THWAITES GLACIER; SEASONAL CYCLE; PINE ISLAND</t>
  </si>
  <si>
    <t>Whether phytoplankton mortality is caused by grazing or viral lysis has important implications for phytoplankton dynamics and biogeochemical cycling. The ecological relevance of viral lysis for Antarctic phytoplankton is still under-studied. The Amundsen Sea is highly productive in spring and summer, especially in the Amundsen Sea Polynya (ASP), and very sensitive to global warming-induced ice-melt. This study reports on the importance of the viral lysis, compared to grazing, of pico- and nanophytoplankton, using the modified dilution method (based on apparent growth rates) in combination with flow cytometry and size fractionation. Considerable viral lysis was shown for all phytoplankton populations, independent of sampling location and cell size. In contrast, the average grazing rate was 116% higher for the larger nanophytoplankton, and grazing was also higher in the ASP (0.45 d(-1) vs. 0.30 d(-1) outside). Despite average specific viral lysis rates being lower than grazing rates (0.17 d(-1) vs. 0.29 d(-1)), the average amount of phytoplankton carbon lost was similar (0.6 mu g C L-1 d(-1) each). The viral lysis of the larger-sized phytoplankton populations (including diatoms) and the high lysis rates of the abundant P. antarctica contributed substantially to the carbon lost. Our results demonstrate that viral lysis is a principal loss factor to consider for Southern Ocean phytoplankton communities and ecosystem production.</t>
  </si>
  <si>
    <t>[Eich, Charlotte; Biggs, Tristan E. G.; Brussaard, Corina P. D.] NIOZ Royal Netherlands Inst Sea Res, Dept Marine Microbiol &amp; Biogeochem, NL-1797 SZ T Horntje, Netherlands; [Eich, Charlotte; Brussaard, Corina P. D.] Univ Amsterdam, Inst Biodivers &amp; Ecosyst Dynam IBED, NL-1098 XH Amsterdam, Netherlands; [van de Poll, Willem H.] RUG Rijksuniv Groningen, Fac Sci &amp; Engn, NL-9712 CP Groningen, Netherlands; [van Manen, Mathijs; Tian, Hung-An; Middag, Rob] NIOZ Royal Netherlands Inst Sea Res, Dept Ocean Syst, NL-1797 SZ T Horntje, Netherlands; [van Manen, Mathijs; Tian, Hung-An; Middag, Rob] Univ Groningen, Fac Sci &amp; Engn, Ctr Isotope Res Oceans, Energy &amp; Sustainabil Res Inst Groningen, NL-9712 CP Groningen, Netherlands; [Jung, Jinyoung; Lee, Youngju] Korea Polar Res Inst, Div Polar Ocean Sci, 26 Songdomirae Ro, Incheon 21990, South Korea</t>
  </si>
  <si>
    <t>Utrecht University; Royal Netherlands Institute for Sea Research (NIOZ); University of Amsterdam; Utrecht University; Royal Netherlands Institute for Sea Research (NIOZ); University of Groningen; Korea Polar Research Institute (KOPRI)</t>
  </si>
  <si>
    <t>Eich, C; Brussaard, CPD (corresponding author), NIOZ Royal Netherlands Inst Sea Res, Dept Marine Microbiol &amp; Biogeochem, NL-1797 SZ T Horntje, Netherlands.;Eich, C; Brussaard, CPD (corresponding author), Univ Amsterdam, Inst Biodivers &amp; Ecosyst Dynam IBED, NL-1098 XH Amsterdam, Netherlands.</t>
  </si>
  <si>
    <t>charlotte.eich@nioz.nl; corina.brussaard@nioz.nl</t>
  </si>
  <si>
    <t>; Middag, Rob/D-6423-2013</t>
  </si>
  <si>
    <t>Brussaard, Corina/0000-0002-6320-9229; van de Poll, Willem/0000-0003-4095-4338; Middag, Rob/0000-0002-3326-530X; Tian, Hung-An/0000-0001-5778-5273; Biggs, Tristan/0000-0002-7078-2787</t>
  </si>
  <si>
    <t>Netherlands Polar Programme (NPP) [ALWPP.2016.020]; Dutch Research Council (NWO); Korea Polar Research Institute [KOPRI PE22110]</t>
  </si>
  <si>
    <t>Netherlands Polar Programme (NPP); Dutch Research Council (NWO)(Netherlands Organization for Scientific Research (NWO)); Korea Polar Research Institute(Korea Polar Research Institute of Marine Research Placement (KOPRI))</t>
  </si>
  <si>
    <t>This work was part of the FePhyrus project (ALWPP.2016.020), which was supported by the Netherlands Polar Programme (NPP), with financial aid from the Dutch Research Council (NWO). The cruise was supported by the Korea Polar Research Institute grant KOPRI PE22110.</t>
  </si>
  <si>
    <t>2076-2607</t>
  </si>
  <si>
    <t>Microorganisms</t>
  </si>
  <si>
    <t>10.3390/microorganisms10101967</t>
  </si>
  <si>
    <t>5P0CM</t>
  </si>
  <si>
    <t>WOS:000872829900001</t>
  </si>
  <si>
    <t>Lucci, JJ; Alegre, M; Vigna, L</t>
  </si>
  <si>
    <t>Lucci, Juan Jose; Alegre, Maria; Vigna, Leandro</t>
  </si>
  <si>
    <t>Renewables in Antarctica: an assessment of progress to decarbonize the energy matrix of research facilities</t>
  </si>
  <si>
    <t>ANTARCTIC SCIENCE</t>
  </si>
  <si>
    <t>Antarctic facilities; Madrid Protocol; renewable energy; solar power; wind power</t>
  </si>
  <si>
    <t>BASE; CONTAMINATION</t>
  </si>
  <si>
    <t>This paper tracks the progress of renewable energy deployment at Antarctic facilities, introducing an interactive database and map specifically created for this purpose. Goals, challenges and lessons learnt from these operations are also reported. The data and assessments presented are based on a literature review of government reports, academic articles, online resources, news outlets and interviews conducted with personnel of Antarctic stations. As of 2021, 29 facilities have incorporated renewables in their energy systems, but only one permanent and four summer stations use renewables to meet more than 50% of their energy needs. Four main goals behind the development of renewable energy systems have been identified: fuel cost savings; reduction of the greenhouse gas emissions footprint in alignment with national decarbonization targets; electricity supply for scientific equipment during the winter months; and the development and/or testing of new technologies. The extreme weather conditions and complex logistics of Antarctica put both solar and wind systems under huge stress, which generates operational, technological and budgetary challenges that are also explored in this work.</t>
  </si>
  <si>
    <t>[Lucci, Juan Jose] Univ Cambridge, Cambridge, England; [Alegre, Maria] European Climate Fdn, The Hague, Netherlands; [Vigna, Leandro] World Resources Inst, Washington, DC 20006 USA</t>
  </si>
  <si>
    <t>University of Cambridge</t>
  </si>
  <si>
    <t>Lucci, JJ (corresponding author), Univ Cambridge, Cambridge, England.</t>
  </si>
  <si>
    <t>jjl65@cam.uc.uk</t>
  </si>
  <si>
    <t>Lucci, Juan Jose/HJP-5740-2023</t>
  </si>
  <si>
    <t>Lucci, Juan Jose/0000-0002-9685-5534</t>
  </si>
  <si>
    <t>32 AVENUE OF THE AMERICAS, NEW YORK, NY 10013-2473 USA</t>
  </si>
  <si>
    <t>0954-1020</t>
  </si>
  <si>
    <t>1365-2079</t>
  </si>
  <si>
    <t>ANTARCT SCI</t>
  </si>
  <si>
    <t>Antarct. Sci.</t>
  </si>
  <si>
    <t>PII S095410202200030X</t>
  </si>
  <si>
    <t>10.1017/S095410202200030X</t>
  </si>
  <si>
    <t>Environmental Sciences; Geography, Physical; Geosciences, Multidisciplinary</t>
  </si>
  <si>
    <t>Environmental Sciences &amp; Ecology; Physical Geography; Geology</t>
  </si>
  <si>
    <t>5V1GC</t>
  </si>
  <si>
    <t>hybrid</t>
  </si>
  <si>
    <t>WOS:000876984000006</t>
  </si>
  <si>
    <t>Bacior, M; Haranczyk, H; Nowak, P; Kijak, P; Marzec, M; Fitas, J; Olech, M</t>
  </si>
  <si>
    <t>Bacior, Magdalena; Haranczyk, Hubert; Nowak, Piotr; Kijak, Paulina; Marzec, Monika; Fitas, Jakub; Olech, Maria</t>
  </si>
  <si>
    <t>Low-temperature investigation of residual water bound in free-living Antarctic Prasiola crispa</t>
  </si>
  <si>
    <t>alga; drought resistance; DSC; freezing resistance; NMR; phase growth</t>
  </si>
  <si>
    <t>TURGIDOSCULUM-COMPLICATULUM; PHOTOSYNTHETIC MEMBRANES; SUPERCOOLED WATER; ICE; NUCLEATION; CHLOROPHYTA; RELAXATION; PROLINE; LIQUID; NMR</t>
  </si>
  <si>
    <t>Antarctic algae are extremophilic organisms capable of surviving harsh environmental conditions such as low temperatures and deep dehydration. Although these algae have various adaptations for life in extreme environments, the majority of the molecular mechanisms behind their resistance to dehydration and freezing are not yet fully understood. The aim of our research was to observe the behaviour of bound water freezing in the free-living Antarctic alga Prasiola crispa. One way to avoid frost damage involves deep dehydration of the algal thallus. For that reason, a detailed analysis of water freezing at different sample hydration levels was carried out. Nuclear magnetic resonance investigation revealed two types of water immobilization: cooperative bound water freezing for samples with sample hydration levels above Delta m/m(0) = 0.40 and non-cooperative bound water immobilization for lower thallus hydration levels. In the differential scanning calorimetry experiment, 2-h incubation at -20 degrees C suggested the diffusion and final binding of supercooled water to the ice nuclei and a lower hydration level threshold, at which ice formation could be observed (Delta m/m(0) = 0.21). Our research provides a new perspective on water sorption and freezing in Antarctic algae, which may be important not only in biological systems, but also in such novel materials as metal-organic frameworks or covalent organic frameworks.</t>
  </si>
  <si>
    <t>[Bacior, Magdalena] Agr Univ Krakow, Dept Soil Sci &amp; Agrophys, Al Mickiewicza 21, PL-31120 Krakow, Poland; [Haranczyk, Hubert; Kijak, Paulina; Marzec, Monika] Jagiellonian Univ, Inst Phys, Ul Prof Stanislawa Lojasiewicza 11, PL-30348 Krakow, Poland; [Nowak, Piotr] AGH Univ Sci &amp; Technol, Fac Comp Sci Elect &amp; Telecommun, Al Mickiewicza 30, PL-30059 Krakow, Poland; [Fitas, Jakub] Agr Univ Krakow, Dept Mech Engn &amp; Agrophys, Al Mickiewicza 21, PL-31120 Krakow, Poland; [Olech, Maria] Jagiellonian Univ, Inst Bot, Ul Kopernika 27, PL-31501 Krakow, Poland; [Olech, Maria] Polish Acad Sci, Inst Biochem &amp; Biophys, Ul Pawinskiego 5a, PL-02106 Warsaw, Poland</t>
  </si>
  <si>
    <t>Agricultural University Krakow; Jagiellonian University; AGH University of Krakow; Agricultural University Krakow; Jagiellonian University; Polish Academy of Sciences; Institute of Biochemistry &amp; Biophysics - Polish Academy of Sciences</t>
  </si>
  <si>
    <t>Bacior, M (corresponding author), Agr Univ Krakow, Dept Soil Sci &amp; Agrophys, Al Mickiewicza 21, PL-31120 Krakow, Poland.</t>
  </si>
  <si>
    <t>magdalena.bacior@urk.edu.pl</t>
  </si>
  <si>
    <t>Bacior, Magdalena/JNR-7147-2023</t>
  </si>
  <si>
    <t>Bacior, Magdalena/0000-0003-4615-9458</t>
  </si>
  <si>
    <t>European Regional Development Fund in the framework of the Polish Innovation Economy Operational Program [POIG.02.01.00-12-023/08]; Polish Ministry of Science and Higher Education (MNiSW) [7150/E-338/M/2015, 7150/E-338/M/2016]</t>
  </si>
  <si>
    <t>European Regional Development Fund in the framework of the Polish Innovation Economy Operational Program; Polish Ministry of Science and Higher Education (MNiSW)(Ministry of Science and Higher Education, Poland)</t>
  </si>
  <si>
    <t>The research was carried out with equipment purchased thanks to the financial support of the European Regional Development Fund in the framework of the Polish Innovation Economy Operational Program (contract no. POIG.02.01.00-12-023/08) and financed by the Polish Ministry of Science and Higher Education (MNiSW, contract no. 7150/E-338/M/2015 and 7150/E-338/M/2016).</t>
  </si>
  <si>
    <t>PII S0954102022000335</t>
  </si>
  <si>
    <t>10.1017/S0954102022000335</t>
  </si>
  <si>
    <t>WOS:000876984000007</t>
  </si>
  <si>
    <t>Allison, I</t>
  </si>
  <si>
    <t>Allison, Ian</t>
  </si>
  <si>
    <t>The Dawning of Antarctica: Through Exploration to Occupation</t>
  </si>
  <si>
    <t>Book Review</t>
  </si>
  <si>
    <t>[Allison, Ian] Univ Tasmania, Inst Marine &amp; Antarctic Studies, Hobart, Tas, Australia</t>
  </si>
  <si>
    <t>University of Tasmania</t>
  </si>
  <si>
    <t>Allison, I (corresponding author), Univ Tasmania, Inst Marine &amp; Antarctic Studies, Hobart, Tas, Australia.</t>
  </si>
  <si>
    <t>ian.allison@utas.edu.au</t>
  </si>
  <si>
    <t>Allison, Ian/0000-0001-9599-0251</t>
  </si>
  <si>
    <t>10.1017/S0954102022000311</t>
  </si>
  <si>
    <t>WOS:000876984000008</t>
  </si>
  <si>
    <t>Lucini, F; de Andrade, GAK; Victoria, FD; de Albuquerque, MP</t>
  </si>
  <si>
    <t>Lucini, Fabiola; Kessler de Andrade, Guilherme Afonso; Victoria, Filipe de Carvalho; de Albuquerque, Margeli Pereira</t>
  </si>
  <si>
    <t>Impact of the Temperature in Endophytic Ascomycota Isolated from Antarctic Hair-Grass</t>
  </si>
  <si>
    <t>LIFE-BASEL</t>
  </si>
  <si>
    <t>endophitic fungi Phylogeny; biodiversity; antarctic ecology; molecular biology; ITS; nLSU</t>
  </si>
  <si>
    <t>KING GEORGE ISLAND; DESCHAMPSIA-ANTARCTICA; FUNGAL ENDOPHYTES; IN-VITRO; W TEST; DIVERSITY; LEAVES; PHOMA; BIODIVERSITY; SUGARCANE</t>
  </si>
  <si>
    <t>Antarctica is one of the most inhospitable continents on the planet, with lichens and mosses being the most common terrestrial organisms in ice-free areas. Antarctica is represented by only two species of Angiosperms, Deschampsia antarctica Desv. (Poaceae) and Colobanthus quitensis (Kunth) Bartl. (Caryophyllaceae). In this study, we characterized fungi isolated from the fresh leaves of this grass species. The fungi were isolated from four individual plants from Half Moon Island (246 leaf fragments investigated), and seven from King George Island-Keller Peninsula (with 111 leaf fragments investigated) Antarctica. Neoascochyta paspali, Septoriella elongata, Pyrenophora cf. chaetomioides and Alternaria sp. were associated with the plant and identified through analysis of the sequences of the internal transcribed spacer region (ITS) of the rDNA and nuclear ribosomal large subunit rRNA gene (LSU) as well as through macro and micro-morphological characteristics. The isolates showed higher growth rate ranging from 10 to 20 degrees C. An interesting result was that the aforementioned fungi are already recognized as both plant pathogens and endophytic fungi. The results demonstrate that D. antarctica is an interesting fungal source. Those species might provide important information about the relationship on the endemic Antarctic biota.</t>
  </si>
  <si>
    <t>[Lucini, Fabiola; Kessler de Andrade, Guilherme Afonso; Victoria, Filipe de Carvalho] Fed Univ Pampa UNIPAMPA, Nucleo Estudos Vegetacao Antartica NEVA, St Aluizio Barros Macedo Br 290, BR-97300000 Sao Gabriel, Brazil; [Victoria, Filipe de Carvalho; de Albuquerque, Margeli Pereira] Programa Antartico Brasileiro PROANTAR, BR-70055900 Brasilia, DF, Brazil</t>
  </si>
  <si>
    <t>Universidade Federal do Pampa</t>
  </si>
  <si>
    <t>Victoria, FD (corresponding author), Fed Univ Pampa UNIPAMPA, Nucleo Estudos Vegetacao Antartica NEVA, St Aluizio Barros Macedo Br 290, BR-97300000 Sao Gabriel, Brazil.;Victoria, FD (corresponding author), Programa Antartico Brasileiro PROANTAR, BR-70055900 Brasilia, DF, Brazil.</t>
  </si>
  <si>
    <t>filipevictoria@unipampa.edu.br</t>
  </si>
  <si>
    <t>Victoria, Filipe/F-6066-2013</t>
  </si>
  <si>
    <t>Victoria, Filipe/0000-0002-8580-1813</t>
  </si>
  <si>
    <t>Coordenacao de Aperfeicoamento de Pessoal de Nivel Superior (CAPES) [001]; Conselho Nacional de Desenvolvimento Cientifico (CNPq) [446234/2015-0, 574018/2008, 442675/2018-6]; Research Foundation of the State of Rio de Janeiro (FAPERJ) [E-26/170.023/2008]</t>
  </si>
  <si>
    <t>Coordenacao de Aperfeicoamento de Pessoal de Nivel Superior (CAPES)(Coordenacao de Aperfeicoamento de Pessoal de Nivel Superior (CAPES)); Conselho Nacional de Desenvolvimento Cientifico (CNPq)(Conselho Nacional de Desenvolvimento Cientifico e Tecnologico (CNPQ)); Research Foundation of the State of Rio de Janeiro (FAPERJ)(Fundacao Carlos Chagas Filho de Amparo a Pesquisa do Estado do Rio De Janeiro (FAPERJ))</t>
  </si>
  <si>
    <t>This stydy was funded by Coordenacao de Aperfeicoamento de Pessoal de Nivel Superior (CAPES-Finance Code 001), Conselho Nacional de Desenvolvimento Cientifico (CNPq, grant number 446234/2015-0, grant number 574018/2008 and 442675/2018-6), as well for the Research Foundation of the State of Rio de Janeiro (FAPERJ; process E-26/170.023/2008).</t>
  </si>
  <si>
    <t>2075-1729</t>
  </si>
  <si>
    <t>Life-Basel</t>
  </si>
  <si>
    <t>10.3390/life12101501</t>
  </si>
  <si>
    <t>Biology; Microbiology</t>
  </si>
  <si>
    <t>Life Sciences &amp; Biomedicine - Other Topics; Microbiology</t>
  </si>
  <si>
    <t>5R1BL</t>
  </si>
  <si>
    <t>gold, Green Submitted, Green Published</t>
  </si>
  <si>
    <t>WOS:000874253400001</t>
  </si>
  <si>
    <t>Sancho-Balsells, A; García-García, E; Flotta, F; Chen, WQ; Alberch, J; Rodríguez, MJ; Avila, C; Giralt, A</t>
  </si>
  <si>
    <t>Sancho-Balsells, Anna; Garcia-Garcia, Esther; Flotta, Francesca; Chen, Wanqi; Alberch, Jordi; Rodriguez, Manuel J.; Avila, Conxita; Giralt, Albert</t>
  </si>
  <si>
    <t>Meridianins Inhibit GSK3β In Vivo and Improve Behavioral Alterations Induced by Chronic Stress</t>
  </si>
  <si>
    <t>MARINE DRUGS</t>
  </si>
  <si>
    <t>GSK3 beta; PKA; PKC; Akt; GluR1; memory; synaptic activity</t>
  </si>
  <si>
    <t>GLYCOGEN-SYNTHASE KINASE-3; ANTARCTIC COLONIAL ASCIDIANS; CHRONIC MILD STRESS; NATURAL-PRODUCTS; PREFRONTAL CORTEX; CONCISE SYNTHESES; MOOD DISORDERS; PHOSPHORYLATION; DEPRESSION; APLIDIUM</t>
  </si>
  <si>
    <t>Major depression disorder (MDD) is a severe mental alteration with a multifactorial origin, and chronic stress is one of the most relevant environmental risk factors associated with MDD. Although there exist some therapeutical options, 30% of patients are still resistant to any type of treatment. GSK3 beta inhibitors are considered very promising therapeutic tools to counteract stress-related affectations. However, they are often associated with excessive off-target effects and undesired secondary alterations. Meridianins are alkaloids with an indole framework linked to an aminopyrimidine ring from Antarctic marine ascidians. Meridianins could overcome several of the aforementioned limitations since we previously demonstrated that they can inhibit GSK3 beta activity without the associated neurotoxic or off-target effects in rodents. Here, we show that meridianins delivered into the lateral ventricle inhibited GSK3 beta in several brain regions involved with stress-related symptoms. We also observed changes in major signaling pathways in the prefrontal cortex (Akt and PKA) and hippocampus (PKC and GluR1). Moreover, meridianins increased synaptic activity, specifically in the CA1 but not in the CA3 or other hippocampal subfields. Finally, we chronically treated the mice subjected to an unpredictable mild chronic stress (CUMS) paradigm with meridianins. Our results showed improvements produced by meridianins in behavioral alterations provoked by CUMS. In conclusion, meridianins could be of therapeutic interest to patients with stress-related disorders such as MDD.</t>
  </si>
  <si>
    <t>[Sancho-Balsells, Anna; Garcia-Garcia, Esther; Flotta, Francesca; Chen, Wanqi; Alberch, Jordi; Rodriguez, Manuel J.; Giralt, Albert] Univ Barcelona, Fac Med, Inst Neurociencies UBneuro, Dept Biomed, Barcelona 08036, Spain; [Sancho-Balsells, Anna; Garcia-Garcia, Esther; Flotta, Francesca; Chen, Wanqi; Alberch, Jordi; Rodriguez, Manuel J.; Giralt, Albert] Inst Invest Biomed August Pi &amp; Sunyer IDIBAPS, Barcelona 08036, Spain; [Sancho-Balsells, Anna; Garcia-Garcia, Esther; Flotta, Francesca; Chen, Wanqi; Alberch, Jordi; Rodriguez, Manuel J.; Giralt, Albert] Ctr Invest Biomed Red Enfermedades Neurodegenerat, Barcelona 08036, Spain; [Alberch, Jordi; Giralt, Albert] Univ Barcelona, Fac Med &amp; Hlth Sci, Prod &amp; Validat Ctr Adv Therapies Creatio, Barcelona 08036, Spain; [Avila, Conxita] Univ Barcelona, Dept Evolutionary Biol Ecol &amp; Environm Sci, Fac Biol, Catalonia 08028, Spain; [Avila, Conxita] Univ Barcelona, Biodivers Res Inst IRBio, Catalonia 08028, Spain</t>
  </si>
  <si>
    <t>University of Barcelona; University of Barcelona; Hospital Clinic de Barcelona; IDIBAPS; CIBERNED; University of Barcelona; University of Barcelona; University of Barcelona</t>
  </si>
  <si>
    <t>Giralt, A (corresponding author), Univ Barcelona, Fac Med, Inst Neurociencies UBneuro, Dept Biomed, Barcelona 08036, Spain.;Giralt, A (corresponding author), Inst Invest Biomed August Pi &amp; Sunyer IDIBAPS, Barcelona 08036, Spain.;Giralt, A (corresponding author), Ctr Invest Biomed Red Enfermedades Neurodegenerat, Barcelona 08036, Spain.;Giralt, A (corresponding author), Univ Barcelona, Fac Med &amp; Hlth Sci, Prod &amp; Validat Ctr Adv Therapies Creatio, Barcelona 08036, Spain.</t>
  </si>
  <si>
    <t>albertgiralt@ub.edu</t>
  </si>
  <si>
    <t>Rodriguez, Manuel/L-2212-2014; Giralt, Albert/M-7672-2015</t>
  </si>
  <si>
    <t>Rodriguez, Manuel/0000-0002-4476-004X; Giralt, Albert/0000-0001-5334-0963; Garcia, Esther/0000-0003-3997-493X; Flotta, Francesca/0009-0001-3190-8332; Sancho-Balsells, Anna/0000-0003-2053-7211</t>
  </si>
  <si>
    <t>1660-3397</t>
  </si>
  <si>
    <t>MAR DRUGS</t>
  </si>
  <si>
    <t>Mar. Drugs</t>
  </si>
  <si>
    <t>10.3390/md20100648</t>
  </si>
  <si>
    <t>Chemistry, Medicinal; Pharmacology &amp; Pharmacy</t>
  </si>
  <si>
    <t>Pharmacology &amp; Pharmacy</t>
  </si>
  <si>
    <t>5S8GS</t>
  </si>
  <si>
    <t>WOS:000875421900001</t>
  </si>
  <si>
    <t>Kholmogorov, A; Syrbu, N; Shakirov, R</t>
  </si>
  <si>
    <t>Kholmogorov, Andrei; Syrbu, Nadezhda; Shakirov, Renat</t>
  </si>
  <si>
    <t>Influence of Hydrological Factors on the Distribution of Methane Fields in the Water Column of the Bransfield Strait: Cruise 87 of the R/V Academik Mstislav Keldysh, 7 December 2021-5 April 2022</t>
  </si>
  <si>
    <t>WATER</t>
  </si>
  <si>
    <t>methane; temperature; salinity; current system; the Bransfield Strait; South Ocean</t>
  </si>
  <si>
    <t>COASTAL WATERS; ACIDIFICATION; HYDROGEN; CURRENTS; SEA</t>
  </si>
  <si>
    <t>Within the framework of the expedition research Complex studies of the Antarctic marine ecosystem in the areas of the transport and interaction of water masses in the Atlantic sector of Antarctica, the Scotia Sea and the Drake Strait (cruise 87 of the R/V Academik Mstislav Keldysh, 7 December 2021-5 April 2022), the distribution of gas-geochemical fields of methane in the Bransfield Strait was studied in detail for the first time. The connection of the methane distribution in water with the complex hydrological regime of the strait has been revealed. Elevated values of methane concentrations brought to the Bransfield Strait in the warm current flow from the Bellingshausen Sea have been established. Low concentrations of methane also mark the cold waters of the Weddell Sea, which carry out the transit of water masses into the Atlantic Ocean. The research was carried out within the framework of the theme FWMM-2022-033 Integrated environmental studies of the Southern Ocean AAAA17-117030110035-4 and international obligations of the Russian Federation as a party to the Antarctic Treaty and the Convention on the Conservation of Antarctic Marine Living Resources.</t>
  </si>
  <si>
    <t>[Kholmogorov, Andrei; Syrbu, Nadezhda; Shakirov, Renat] VI Ilichev Pacific Oceanol Inst FEB RAS, Vladivostok 690041, Russia</t>
  </si>
  <si>
    <t>Russian Academy of Sciences; Ilichev Pacific Oceanological Institute</t>
  </si>
  <si>
    <t>Syrbu, N (corresponding author), VI Ilichev Pacific Oceanol Inst FEB RAS, Vladivostok 690041, Russia.</t>
  </si>
  <si>
    <t>syrbu@poi.dvo.ru</t>
  </si>
  <si>
    <t>Syrbu, Nadezhda/0000-0002-1441-6133</t>
  </si>
  <si>
    <t>theme FWMM-2022-033 Integrated environmental studies of the Southern Ocean [AAAA17-117030110035-4]; United Nations Decade of Ocean Science for Sustainable Development GEOMIR project [164]</t>
  </si>
  <si>
    <t>theme FWMM-2022-033 Integrated environmental studies of the Southern Ocean; United Nations Decade of Ocean Science for Sustainable Development GEOMIR project</t>
  </si>
  <si>
    <t>The work was carried out within the framework of the theme FWMM-2022-033 Integrated environmental studies of the Southern Ocean AAAA17-117030110035-4. Research for this paper was carried out according to the goals of the United Nations Decade of Ocean Science for Sustainable Development GEOMIR project (ID 164, the head is R.B. Shakirov).</t>
  </si>
  <si>
    <t>2073-4441</t>
  </si>
  <si>
    <t>WATER-SUI</t>
  </si>
  <si>
    <t>Water</t>
  </si>
  <si>
    <t>10.3390/w14203311</t>
  </si>
  <si>
    <t>Environmental Sciences; Water Resources</t>
  </si>
  <si>
    <t>Environmental Sciences &amp; Ecology; Water Resources</t>
  </si>
  <si>
    <t>5S2DL</t>
  </si>
  <si>
    <t>WOS:000875007300001</t>
  </si>
  <si>
    <t>Salzano, M; Lessard, MR; Noh, S; Kim, H; Waters, C; Engebretson, MJ; Horne, R; Clilverd, M; Kadokura, A; Tanaka, Y; Kim, KH; Matzka, J; Fromm, T; Goldstein, J; Kim, MJ</t>
  </si>
  <si>
    <t>Salzano, Michelle; Lessard, Marc R.; Noh, Sungjun; Kim, Hyomin; Waters, Colin; Engebretson, Mark J.; Horne, Richard; Clilverd, Mark; Kadokura, Akira; Tanaka, Yoshimasa; Kim, Khan-Hyuk; Matzka, Juergen; Fromm, Tanja; Goldstein, Jerry; Kim, Myeong Joon</t>
  </si>
  <si>
    <t>Modeling the Effects of Drift Shell Splitting in Two Case Studies of Simultaneous Observations of Substorm-Driven Pi1B and IPDP-Type EMIC Waves</t>
  </si>
  <si>
    <t>JOURNAL OF GEOPHYSICAL RESEARCH-SPACE PHYSICS</t>
  </si>
  <si>
    <t>ULF waves; EMIC waves; IPDPs; Pi1B waves; drift shell splitting; modeling</t>
  </si>
  <si>
    <t>PC 1; PLASMA; POLARIZATION; PULSATIONS</t>
  </si>
  <si>
    <t>Intervals of pulsations of diminishing periods (IPDPs) are a subtype of electromagnetic ion cyclotron (EMIC) waves that can be triggered by substorm onset. Pi1B waves are ultralow frequency (ULF) broadband bursts that are well correlated with substorm onset. IPDPs are associated with increased fluxes of 40-60 keV substorm-injected protons which undergo gradient-curvature drifting and interact with the cold plasmasphere population. While particle trajectories and the generation of IPDPs have been modeled in the past, those models neglect the role that drift shell splitting plays in the process. This research investigates the different pathways that Pi1B and IPDPs take from their shared origin in substorm onset to their distinct observations on the ground, including the effects of drift shell splitting en route. This paper presents two case studies using data from an array of four ground-based Antarctic magnetometers that cover the evening sector, as well as in situ magnetometer data, proton fluxes, and proton pitch angles from the Van Allen Probes spacecraft. These observations identify a separation in geomagnetic latitude between Pi1Bs and IPDPs, and pinpoint a separation in magnetic local time (MLT). From these observations we model the drift shell splitting which injected particles undergo post-onset. This study shows that simulations that incorporate drift shell splitting across a full injection front are dominated by injection boundary effects, and that the inclusion of drift shell splitting introduces a slight horizontal component to the time axis of the time-frequency dependence of the IPDPs.</t>
  </si>
  <si>
    <t>[Salzano, Michelle; Lessard, Marc R.] Univ New Hampshire, Space Sci Ctr, Durham, NH 03824 USA; [Noh, Sungjun; Kim, Hyomin] New Jersey Inst Technol, Ctr Solar Terr Res, Newark, NJ 07102 USA; [Noh, Sungjun] Los Alamos Natl Lab, Los Alamos, NM USA; [Waters, Colin] Univ Newcastle, Callaghan, NSW, Australia; [Engebretson, Mark J.] Augsburg Coll, Phys Dept, Minneapolis, MN USA; [Horne, Richard; Clilverd, Mark] British Antarctic Survey UKRI NERC, Cambridge, England; [Kadokura, Akira; Tanaka, Yoshimasa] Natl Inst Polar Res, Midori Cho, Tachikawa, Tokyo, Japan; [Kadokura, Akira; Tanaka, Yoshimasa] Res Org Informat &amp; Syst, Joint Support Ctr Data Sci Res, Polar Environm Data Sci Ctr, Midori Cho, Tachikawa, Tokyo, Japan; [Kadokura, Akira; Tanaka, Yoshimasa] Grad Univ Adv Studies SOKENDAI, Midori Cho, Tachikawa, Tokyo, Japan; [Kim, Khan-Hyuk] Kyung Hee Univ, Sch Space Res, Yongin, South Korea; [Matzka, Juergen] GFZ German Res Ctr Geosci, Potsdam, Germany; [Fromm, Tanja] Alfred Wegener Inst, Bremerhaven, Germany; [Goldstein, Jerry] Southwest Res Inst, Space Sci &amp; Engn Div, San Antonio, TX USA; [Goldstein, Jerry; Kim, Myeong Joon] Univ Texas San Antonio, Dept Phys &amp; Astron, San Antonio, TX USA</t>
  </si>
  <si>
    <t>University System Of New Hampshire; University of New Hampshire; New Jersey Institute of Technology; United States Department of Energy (DOE); Los Alamos National Laboratory; University of Newcastle; Augsburg University; UK Research &amp; Innovation (UKRI); Natural Environment Research Council (NERC); NERC British Antarctic Survey; Research Organization of Information &amp; Systems (ROIS); National Institute of Polar Research (NIPR) - Japan; Research Organization of Information &amp; Systems (ROIS); Graduate University for Advanced Studies - Japan; Kyung Hee University; Helmholtz Association; Helmholtz-Center Potsdam GFZ German Research Center for Geosciences; Helmholtz Association; Alfred Wegener Institute, Helmholtz Centre for Polar &amp; Marine Research; Southwest Research Institute; University of Texas System; University of Texas at San Antonio (UTSA)</t>
  </si>
  <si>
    <t>Salzano, M; Lessard, MR (corresponding author), Univ New Hampshire, Space Sci Ctr, Durham, NH 03824 USA.</t>
  </si>
  <si>
    <t>michelle.salzano@unh.edu; marc.lessard@unh.edu</t>
  </si>
  <si>
    <t>Matzka, Jürgen/J-9420-2014; Horne, Richard B/U-3764-2019</t>
  </si>
  <si>
    <t>Horne, Richard B/0000-0002-0412-6407; KADOKURA, AKIRA/0000-0002-6105-9562; Salzano, Michelle/0000-0002-0537-1682; Kim, Khan-Hyuk/0000-0001-8872-6065; Noh, Sung-Jun/0000-0002-8032-7833</t>
  </si>
  <si>
    <t>NSF [AGS-2013648, 2133897, 2129040, 1745041, AGS-2133837]; JHU/APL under NASA [131803, NNN06AA01C]; project PE22020 of the Korea Polar Research Institute; MEXT; UK Research and Innovation (UKRI-NERC) through National Capability Space Weather Observatory funding (NC-SS SWO); Directorate For Geosciences; Div Atmospheric &amp; Geospace Sciences [2133897] Funding Source: National Science Foundation; Directorate For Geosciences; Office of Polar Programs (OPP) [1745041] Funding Source: National Science Foundation; Grants-in-Aid for Scientific Research [22KK0049] Funding Source: KAKEN</t>
  </si>
  <si>
    <t>NSF(National Science Foundation (NSF)); JHU/APL under NASA; project PE22020 of the Korea Polar Research Institute; MEXT(Ministry of Education, Culture, Sports, Science and Technology, Japan (MEXT)); UK Research and Innovation (UKRI-NERC) through National Capability Space Weather Observatory funding (NC-SS SWO)(UK Research &amp; Innovation (UKRI)Natural Environment Research Council (NERC)); Directorate For Geosciences; Div Atmospheric &amp; Geospace Sciences(National Science Foundation (NSF)NSF - Directorate for Geosciences (GEO)); Directorate For Geosciences; Office of Polar Programs (OPP)(National Science Foundation (NSF)NSF - Directorate for Geosciences (GEO)); Grants-in-Aid for Scientific Research(Ministry of Education, Culture, Sports, Science and Technology, Japan (MEXT)Japan Society for the Promotion of ScienceGrants-in-Aid for Scientific Research (KAKENHI))</t>
  </si>
  <si>
    <t>The work at the University of New Hampshire was supported by NSF under grants NSF awards 2133897, 2129040, and 1745041. The work at the New Jersey Institute of Technology (NJIT) was supported by NSF under grant AGS-2133837 and the NASA Van Allen Probes RBSPICE instrument project, as supported by JHU/APL Subcontract No. 131803 to NJIT under NASA Prime Contract No. NNN06AA01C. The work of K.-H. Kim was supported by project PE22020 of the Korea Polar Research Institute. The work at Augsburg University was supported by NSF under grant AGS-2013648. The database construction for the ground-based observational data at Syowa has been partly supported by the IUGONET (Inter-university Upper atmosphere Global Observation NETwork) project (http://www.iugonet.org/index.jsp) funded by the MEXT. RBH and MAC would like to acknowledge support from the UK Research and Innovation (UKRI-NERC) through National Capability Space Weather Observatory funding (NC-SS SWO). Neumayer III and Kohnen Station in Antarctica are operated by the Alfred Wegener Institute (Alfred-Wegener-Institut Helmholtz-Zentrum fur Polar-und Meeresforschung. (2016). Journal of large-scale research facilities, 2, A85. https://jlsrf.org/index.php/lsf/article/view/152).</t>
  </si>
  <si>
    <t>AMER GEOPHYSICAL UNION</t>
  </si>
  <si>
    <t>2000 FLORIDA AVE NW, WASHINGTON, DC 20009 USA</t>
  </si>
  <si>
    <t>2169-9380</t>
  </si>
  <si>
    <t>2169-9402</t>
  </si>
  <si>
    <t>J GEOPHYS RES-SPACE</t>
  </si>
  <si>
    <t>J. Geophys. Res-Space Phys.</t>
  </si>
  <si>
    <t>e2022JA030600</t>
  </si>
  <si>
    <t>10.1029/2022JA030600</t>
  </si>
  <si>
    <t>Astronomy &amp; Astrophysics</t>
  </si>
  <si>
    <t>5Q8ZA</t>
  </si>
  <si>
    <t>WOS:000874111700001</t>
  </si>
  <si>
    <t>Cho, SE; Kang, JM; Ma, HJ; Cho, SJ; Kang, SG</t>
  </si>
  <si>
    <t>Cho, S-E; Kang, J. M.; Ma, H-J; Cho, S-J; Kang, S-G</t>
  </si>
  <si>
    <t>Differences in status of mental disorders and changes in sleep and mood during prolonged winter-over residence in two korean antarctic bases in different lattitude</t>
  </si>
  <si>
    <t>JOURNAL OF SLEEP RESEARCH</t>
  </si>
  <si>
    <t>[Cho, S-E; Kang, J. M.; Ma, H-J; Cho, S-J; Kang, S-G] Gachon Univ, Coll Med, Incheon, South Korea</t>
  </si>
  <si>
    <t>Gachon University</t>
  </si>
  <si>
    <t>0962-1105</t>
  </si>
  <si>
    <t>1365-2869</t>
  </si>
  <si>
    <t>J SLEEP RES</t>
  </si>
  <si>
    <t>J. Sleep Res.</t>
  </si>
  <si>
    <t>P735</t>
  </si>
  <si>
    <t>Clinical Neurology; Neurosciences</t>
  </si>
  <si>
    <t>Neurosciences &amp; Neurology</t>
  </si>
  <si>
    <t>5L5DH</t>
  </si>
  <si>
    <t>WOS:000870433500564</t>
  </si>
  <si>
    <t>Frey, DI; Krechik, VA; Morozov, EG; Drozd, ID; Gordey, AS; Latushkin, AA; Mekhova, OS; Mukhametianov, RZ; Murzina, SA; Ostroumova, SA; Ponomarev, VI; Salyuk, PA; Smirnova, DA; Shutov, SA; Zuev, OA</t>
  </si>
  <si>
    <t>Frey, Dmitry, I; Krechik, Viktor A.; Morozov, Eugene G.; Drozd, Ilya D.; Gordey, Alexandra S.; Latushkin, Alexander A.; Mekhova, Olga S.; Mukhametianov, Rinat Z.; Murzina, Svetlana A.; Ostroumova, Sofia A.; Ponomarev, Vladimir, I; Salyuk, Pavel A.; Smirnova, Daria A.; Shutov, Sergey A.; Zuev, Oleg A.</t>
  </si>
  <si>
    <t>Water Exchange between Deep Basins of the Bransfield Strait</t>
  </si>
  <si>
    <t>Bransfield Strait; deep overflow; CTD; LADCP; bottom circulation</t>
  </si>
  <si>
    <t>EUPHAUSIA-SUPERBA; BOTTOM-WATER; WEDDELL SEA; VARIABILITY; CIRCULATION; ANTARCTICA; EASTERN; REGION; MASSES</t>
  </si>
  <si>
    <t>The Bransfield Strait is a relatively deep and narrow channel between the South Shetland Islands and the Antarctic Peninsula contributing to the water transport between the Pacific and Atlantic sectors of the Southern Ocean. The strait can be divided into three deep separate basins, namely, the western, central, and eastern basins. The sources of deep waters in the three basins are different, leading to differences in thermohaline properties and water density between the basins. The difference in water density should in turn cause intense deep currents from one basin to another through narrow passages over the sills separating the basins. However, there are still no works dedicated to such possible overflows in the Bransfield Strait. In this study, we report our new CTD and LADCP measurements performed in 2022 over the watersheds between the basins. Quasisimultaneous observations of the main circulation patterns carried out at several sections allowed us to analyze the evolution of thermohaline and kinematic structures along the Bransfield Strait. Volume transports of waters in the strait were estimated on the basis of direct velocity observations. These new data also indicate the existence of intense and variable deep current between the central and eastern basins of the strait. The analysis of historical data shows that the mean flow is directed from the central to the eastern basin. In addition, LADCP data suggest the intensification of the flow in the narrow part of the sill between the basins, and the possible mixing of deep waters at this location.</t>
  </si>
  <si>
    <t>[Frey, Dmitry, I; Krechik, Viktor A.; Morozov, Eugene G.; Drozd, Ilya D.; Gordey, Alexandra S.; Mekhova, Olga S.; Mukhametianov, Rinat Z.; Murzina, Svetlana A.; Ostroumova, Sofia A.; Smirnova, Daria A.; Zuev, Oleg A.] Russian Acad Sci, Shirshov Inst Oceanol, Moscow 117997, Russia; [Frey, Dmitry, I; Morozov, Eugene G.; Latushkin, Alexander A.; Shutov, Sergey A.] Russian Acad Sci, Marine Hydrophys Inst, Kapitanskaya Str 2, Sevastopol 299011, Russia; [Krechik, Viktor A.] Immanuel Kant Baltic Fed Univ, Lab Marine Environm Management, Ulitsa Aleksandra Nevskogo 14, Kaliningrad 236041, Russia; [Drozd, Ilya D.; Smirnova, Daria A.] Moscow MV Lomonosov State Univ, Fac Geog, Leninskie Gory 1, Moscow 119991, Russia; [Drozd, Ilya D.] Russian Acad Sci, Obukhov Inst Atmospher Phys, Pyzhevskiy Pereulok 3, Moscow 119017, Russia; [Mekhova, Olga S.; Ostroumova, Sofia A.] Russian State Hydrometeorol Univ, Lab Marine Environm Management, Malookhtinskiy Prospekt 98, St Petersburg 195196, Russia; [Mukhametianov, Rinat Z.] Moscow Inst Phys &amp; Technol, Inst Per 9, Dolgoprudnyi 141700, Russia; [Murzina, Svetlana A.] Russian Acad Sci, Karelian Res Ctr, Inst Biol, Ulitsa Pushkinskaya 11, Petrozavodsk 185910, Russia; [Ponomarev, Vladimir, I; Salyuk, Pavel A.] Russian Acad Sci, Ilichev Pacific Oceanol Inst, Far Eastern Branch, Baltiyskaya St 43, Vladivostok 690041, Russia</t>
  </si>
  <si>
    <t>Russian Academy of Sciences; Shirshov Institute of Oceanology; Marine Hydrophysical Institute of RAS; Russian Academy of Sciences; Immanuel Kant Baltic Federal University; Lomonosov Moscow State University; Russian Academy of Sciences; Obukhov Institute of Atmospheric Physics of Russian Academy of Sciences; Russian State Hydrometeorological University; Moscow Institute of Physics &amp; Technology; Russian Academy of Sciences; Karelian Research Centre of the Russian Academy of Sciences; Institute of Biology of Karelian Research Centre RAS; Russian Academy of Sciences</t>
  </si>
  <si>
    <t>Frey, DI (corresponding author), Russian Acad Sci, Shirshov Inst Oceanol, Moscow 117997, Russia.;Frey, DI (corresponding author), Russian Acad Sci, Marine Hydrophys Inst, Kapitanskaya Str 2, Sevastopol 299011, Russia.</t>
  </si>
  <si>
    <t>dima.frey@gmail.com</t>
  </si>
  <si>
    <t>Drozd, Ilya/JNS-8343-2023; Morozov, Eugene G/L-3023-2018; Krechik, Viktor/J-9941-2016; Salyuk, Pavel/E-8592-2014; Murzina, Svetlana/A-7624-2014</t>
  </si>
  <si>
    <t>Drozd, Ilya/0000-0002-6830-1446; Shutov, Sergey/0009-0004-4743-687X; Krechik, Viktor/0000-0001-6440-060X; Salyuk, Pavel/0000-0002-3224-710X; Morozov, Eugene/0000-0002-0251-3454; Zuev, Oleg/0000-0001-6856-4783; Frey, Dmitry/0000-0001-8141-9513; Latushkin, Aleksandr/0000-0002-3412-7339; Smirnova, Daria/0000-0001-5944-9134; Murzina, Svetlana/0000-0002-9705-2741</t>
  </si>
  <si>
    <t>State Task of Russia [FMWE-2022-0001, 0211-2019-0007, FNNN-2022-0001]; Russian Science Foundation [22-77-10004]; Russian Federation [MK-1492.2021.1.5]</t>
  </si>
  <si>
    <t>State Task of Russia; Russian Science Foundation(Russian Science Foundation (RSF)); Russian Federation(Russian Federation)</t>
  </si>
  <si>
    <t>This work was supported by the State Task of Russia FMWE-2022-0001 (ship operations and expenses), 0211-2019-0007 (field studies), and FNNN-2022-0001 (bio-optical measurements). The LADCP data processing and analysis of circulation in the strait were supported with Russian Science Foundation grant 22-77-10004. CTD data processing by DIF was supported by a grant of the President of the Russian Federation for the state support of young Russian scientists-candidates of science, research project MK-1492.2021.1.5.</t>
  </si>
  <si>
    <t>10.3390/w14203193</t>
  </si>
  <si>
    <t>5S5HZ</t>
  </si>
  <si>
    <t>WOS:000875222100001</t>
  </si>
  <si>
    <t>Grinsted, A; Bamber, J; Bingham, R; Buzzard, S; Nias, I; Ng, K; Weeks, J</t>
  </si>
  <si>
    <t>Grinsted, Aslak; Bamber, Jonathan; Bingham, Rory; Buzzard, Sammie; Nias, Isabel; Ng, Kelvin; Weeks, Jennifer</t>
  </si>
  <si>
    <t>The Transient Sea Level Response to External Forcing in CMIP6 Models</t>
  </si>
  <si>
    <t>EARTHS FUTURE</t>
  </si>
  <si>
    <t>sea level rise; ice loss; thermosteric; model validation; sensitivity; projections</t>
  </si>
  <si>
    <t>SURFACE MASS-BALANCE; ANTARCTIC ICE LOSS; CLIMATE; SHEET; RISE; 20TH-CENTURY; GREENLAND; VARIABILITY; DRIVEN</t>
  </si>
  <si>
    <t>Earth is warming and sea levels are rising as land-based ice is lost to melt, and oceans expand due to accumulation of heat. The pace of ice loss and steric expansion is linked to the intensity of warming. How much faster sea level will rise as climate warms is, however, highly uncertain and difficult to model. Here, we quantify the transient sea level sensitivity of the sea level budget in both models and observations. Models show little change in sensitivity to warming between the first and second half of the twenty-first century for most contributors. The exception is glaciers and ice caps (GIC) that have a greater sensitivity pre-2050 (2.8 +/- 0.4 mm/yr/K) compared to later (0.7 +/- 0.1 mm/yr/K). We attribute this change to the short response time of glaciers and their changing area over time. Model sensitivities of steric expansion (1.5 +/- 0.2 mm/yr/K), and Greenland Ice Sheet mass loss (0.8 +/- 0.2 mm/yr/K) are greater than, but still compatible with, corresponding estimates from historical data (1.4 +/- 0.5 and 0.4 +/- 0.2 mm/yr/K). Antarctic Ice Sheet (AIS) models tends to show lower rates of sea level rise (SLR) with warming (-0.0 +/- 0.3 mm/yr/K) in contrast to historical estimates (0.4 +/- 0.2 mm/yr/K). This apparent low bias in AIS sensitivity is only partly able to account for a similar low bias identified in the sensitivity of global mean sea level excluding GIC (3.1 +/- 0.4 vs. 2.3 +/- 0.4 mm/yr/K). The balance temperature, where SLR is zero, lies close to the pre-industrial value, implying that SLR can only be mitigated by substantial global cooling.</t>
  </si>
  <si>
    <t>[Grinsted, Aslak] Univ Copenhagen, Phys Ice Climate &amp; Earth, Copenhagen, Denmark; [Bamber, Jonathan; Bingham, Rory] Univ Bristol, Sch Geog Sci, Bristol, Avon, England; [Bamber, Jonathan] Tech Univ Munich, Dept Aerosp &amp; Geodest Data Sci Earth Observat, Munich, Germany; [Buzzard, Sammie] Cardiff Univ, Sch Earth &amp; Environm Sci, Cardiff, Wales; [Nias, Isabel] Univ Liverpool, Sch Environm Sci, Liverpool, Merseyside, England; [Ng, Kelvin] Univ Birmingham, Sch Geog Earth &amp; Environm Sci, Birmingham, W Midlands, England; [Weeks, Jennifer] Met Off, Exeter, Devon, England</t>
  </si>
  <si>
    <t>University of Copenhagen; University of Bristol; Technical University of Munich; Cardiff University; University of Liverpool; University of Birmingham; Met Office - UK</t>
  </si>
  <si>
    <t>Bamber, J (corresponding author), Univ Bristol, Sch Geog Sci, Bristol, Avon, England.;Bamber, J (corresponding author), Tech Univ Munich, Dept Aerosp &amp; Geodest Data Sci Earth Observat, Munich, Germany.</t>
  </si>
  <si>
    <t>j.bamber@bristol.ac.uk</t>
  </si>
  <si>
    <t>Buzzard, Sammie/IQV-2637-2023; Ng, Kelvin S./AAE-8671-2022</t>
  </si>
  <si>
    <t>Buzzard, Sammie/0000-0003-0722-2549; Ng, Kelvin S./0000-0002-1464-1701; Grinsted, Aslak/0000-0003-1634-6009; Weeks, Jennifer/0000-0002-9929-8147; Nias, Isabel/0000-0002-5657-8691</t>
  </si>
  <si>
    <t>Met Office; Villum experiment Old Noble [28024]; European Research Council (ERC) under the European Union's Horizon 2020 Research and Innovation programme [694188]; German Federal Ministry of Education and Research (BMBF) [01DD20001]; Villum Investigator Project IceFlow Grant [16572]; University at Buffalo</t>
  </si>
  <si>
    <t>Met Office; Villum experiment Old Noble; European Research Council (ERC) under the European Union's Horizon 2020 Research and Innovation programme(European Research Council (ERC)); German Federal Ministry of Education and Research (BMBF)(Federal Ministry of Education &amp; Research (BMBF)); Villum Investigator Project IceFlow Grant; University at Buffalo</t>
  </si>
  <si>
    <t>We thank the Bristol CMIP6 Data Hackathon for providing the opportunity and support to make this project possible. The 2021 Climate Data Challenge hackathon series, including the events hosted by Met Office Academic Partnership (MOAP) universities, was supported by the Met Office. Aslak Grinsted was supported by Villum experiment Old Noble Grant Nos. 28024 and Villum Investigator Project IceFlow Grant No. 16572. JLB was supported by the European Research Council (ERC) under the European Union's Horizon 2020 Research and Innovation programme (grant agreement no. 694188; GlobalMass) and German Federal Ministry of Education and Research (BMBF) international future AI lab AI4EO-Artificial Intelligence for Earth Observation (Grant number: 01DD20001). We thank Helene Seroussi for providing SMB data from the ISMIP6 Antarctic projections. This work used JASMIN, the UK collaborative data analysis facility. We are grateful for the coordinated model intercomparison efforts of CMIP6, GlacierMIP, and ISMIP6. We thank the Climate and Cryosphere (CliC) effort, which provided support for ISMIP6 through sponsoring of workshops, hosting the ISMIP6 website and wiki, and promoted ISMIP6. We acknowledge the World Climate Research Programme, which, through its Working Group on Coupled Modelling, coordinated and promoted CMIP5 and CMIP6. We thank the climate modeling groups for producing and making available their model output, the Earth System Grid Federation (ESGF) for archiving the CMIP data and providing access, the University at Buffalo for ISMIP6 data distribution and upload, and the multiple funding agencies who support CMIP5 and CMIP6 and ESGF. We thank the ISMIP6 steering committee, the ISMIP6 model selection group and ISMIP6 data set preparation group for their continuous engagement in defining ISMIP6.</t>
  </si>
  <si>
    <t>2328-4277</t>
  </si>
  <si>
    <t>Earth Future</t>
  </si>
  <si>
    <t>e2022EF002696</t>
  </si>
  <si>
    <t>10.1029/2022EF002696</t>
  </si>
  <si>
    <t>Environmental Sciences; Geosciences, Multidisciplinary; Meteorology &amp; Atmospheric Sciences</t>
  </si>
  <si>
    <t>Environmental Sciences &amp; Ecology; Geology; Meteorology &amp; Atmospheric Sciences</t>
  </si>
  <si>
    <t>5P8LK</t>
  </si>
  <si>
    <t>Green Accepted, Green Published</t>
  </si>
  <si>
    <t>WOS:000873395800001</t>
  </si>
  <si>
    <t>Zalesny, VB</t>
  </si>
  <si>
    <t>Zalesny, V. B.</t>
  </si>
  <si>
    <t>Variational Method for Solving the Quasi-Geostrophic Circulation Problem in a Two-Layer Ocean</t>
  </si>
  <si>
    <t>IZVESTIYA ATMOSPHERIC AND OCEANIC PHYSICS</t>
  </si>
  <si>
    <t>quasi-geostrophic circulation; two-layer ocean model; variational method; 4DVAR algorithm; steady flow regime</t>
  </si>
  <si>
    <t>DATA ASSIMILATION; MODEL</t>
  </si>
  <si>
    <t>A new variational formulation and a method for solving the problem of quasi-geostrophic dynamics in a two-layer periodic channel are considered. The area imitates the zone of the Antarctic Circumpolar Current lying in the Southern Ocean. One feature of the problem is the doubly connected region of its solution (periodicity in latitude). Using the expansion in Fourier series, the problem is reduced to a nonlinear system of ordinary differential equations (ODE) in time. The doubly connected region leads to the fact that, together with the ODE solution, it is required to satisfy the stationary integral relation that determines the total flow transport. A variational numerical algorithm for solving the problem is proposed which is close to the technique of four-dimensional data assimilation (4DVAR). The basis of the cost function is the stationary integral relation. With the help of a series of computational experiments, the stationary regimes of flows depending on model parameters are studied. Calculations show that the presence of high harmonics in the bottom relief can cause the formation of a undercurrent in the lower layer. The undercurrent is stable to small variations in relief disturbances and the turbulent viscosity coefficient.</t>
  </si>
  <si>
    <t>[Zalesny, V. B.] Russian Acad Sci, Marchuk Inst Numer Math, Moscow 119333, Russia</t>
  </si>
  <si>
    <t>Russian Academy of Sciences</t>
  </si>
  <si>
    <t>Zalesny, VB (corresponding author), Russian Acad Sci, Marchuk Inst Numer Math, Moscow 119333, Russia.</t>
  </si>
  <si>
    <t>vzalesny@yandex.ru</t>
  </si>
  <si>
    <t>Russian Science Foundation [18-11-00163]</t>
  </si>
  <si>
    <t>This work was supported by the Russian Science Foundation, grant no. 18-11-00163.</t>
  </si>
  <si>
    <t>0001-4338</t>
  </si>
  <si>
    <t>1555-628X</t>
  </si>
  <si>
    <t>IZV ATMOS OCEAN PHY+</t>
  </si>
  <si>
    <t>Izv. Atmos. Ocean. Phys.</t>
  </si>
  <si>
    <t>10.1134/S0001433822050139</t>
  </si>
  <si>
    <t>Meteorology &amp; Atmospheric Sciences; Oceanography</t>
  </si>
  <si>
    <t>5Q2FX</t>
  </si>
  <si>
    <t>WOS:000873654000001</t>
  </si>
  <si>
    <t>Mukhametyanov, RZ; Frei, DI; Morozov, EG</t>
  </si>
  <si>
    <t>Mukhametyanov, R. Z.; Frei, D., I; Morozov, E. G.</t>
  </si>
  <si>
    <t>Currents in the Bransfield Strait Based on Geostrophic Calculations and Data of Instrumental Measurements</t>
  </si>
  <si>
    <t>Antarctica; Bransfield Strait; geostrophic velocities; LADCP velocity profiles</t>
  </si>
  <si>
    <t>WATER MASSES; CIRCULATION; EASTERN; OCEAN</t>
  </si>
  <si>
    <t>In January 2022, several sections were made across the Bransfield Strait during an Antarctic expedition on the R/V Akademik Mstislav Keldysh. Calculations of geostrophic velocities and transports in the strait were performed based on the measured data on vertical salinity and temperature profiles. The geostrophic velocities and transports were compared with the data of direct instrumental measurements using a lowered acoustic current profiler. It was shown that it is quite justified to apply estimates of geostrophic velocities and transports to the Bransfield Current. The agreement between calculations and measurements for the water flow from the Weddell Sea is less satisfactory.</t>
  </si>
  <si>
    <t>[Mukhametyanov, R. Z.; Frei, D., I; Morozov, E. G.] Russian Acad Sci, Shirshov Inst Oceanol, Moscow 117997, Russia; [Mukhametyanov, R. Z.] Moscow Inst Phys &amp; Technol, Dolgoprudnyi 141700, Moscow Oblast, Russia</t>
  </si>
  <si>
    <t>Russian Academy of Sciences; Shirshov Institute of Oceanology; Moscow Institute of Physics &amp; Technology</t>
  </si>
  <si>
    <t>Morozov, EG (corresponding author), Russian Acad Sci, Shirshov Inst Oceanol, Moscow 117997, Russia.</t>
  </si>
  <si>
    <t>Russian Science Foundation [21-77-20004]; Russian Federation [MK-1492.2021.1.5]; Russian Foundation for Basic Research [20-08-00246]; [FMWE-2021-0002]</t>
  </si>
  <si>
    <t>Russian Science Foundation(Russian Science Foundation (RSF)); Russian Federation(Russian Federation); Russian Foundation for Basic Research(Russian Foundation for Basic Research (RFBR)Spanish Government);</t>
  </si>
  <si>
    <t>This work was carried out as part of State Task FMWE-2021-0002 and supported by the Russian Science Foundation, grant 21-77-20004 (ship measurements). Field data processing was supported by Grant from the President of the Russian Federation no. MK-1492.2021.1.5 and by the Russian Foundation for Basic Research, grant no. 20-08-00246.</t>
  </si>
  <si>
    <t>10.1134/S0001433822050061</t>
  </si>
  <si>
    <t>WOS:000873654000010</t>
  </si>
  <si>
    <t>Liu, L; Xue, HJ</t>
  </si>
  <si>
    <t>Liu, Lei; Xue, Huijie</t>
  </si>
  <si>
    <t>Estimating the Ocean Interior from Satellite Observations in the Kerguelen Area (Southern Ocean): A Combined Investigation Using High-Resolution CTD Data from Animal-Borne Instruments</t>
  </si>
  <si>
    <t>JOURNAL OF PHYSICAL OCEANOGRAPHY</t>
  </si>
  <si>
    <t>Southern Ocean; Mesoscale processes; Vertical motion; In situ oceanic observations; Satellite observations</t>
  </si>
  <si>
    <t>SURFACE-WATER; VERTICAL VELOCITIES; BAROCLINIC MODES; SEA; DYNAMICS; RECONSTRUCTION; HEAT; CIRCULATION; VALIDATION; ALTIMETER</t>
  </si>
  <si>
    <t>Observational surface data are utilized to reconstruct the subsurface density and geostrophic velocity fields via the interior + surface quasigeostrophic (isQG) method in a subdomain of the Antarctic Circumpolar Current (ACC). The input variables include the satellite-derived sea surface height (SSH), satellite-derived sea surface temperature (SST), satellite-derived or Argo-based sea surface salinity (SSS), and a monthly estimate of the stratification. The density reconstruction is assessed against a newly released high-resolution in situ dataset that is collected by a southern elephant seal. The results show that the observed mesoscale structures are reasonably reconstructed. In the Argo-SSS-based experiment, pattern correlations between the reconstructed and observed density mostly exceed 0.8 in the upper 300 m. Uncertainties in the SSS products notably influence the isQG performance, and the Argo-SSS-based experiment yields better density reconstruction than the satellite-SSS-based one. Through the two-dimensional (2D) omega equation, we further employ the isQG reconstructions to diagnose the upper-ocean vertical velocities (denoted w(isQG2D)), which are then compared against the seal-data-based 2D diagnosis of w(seal). Notable discrepancies are found between w(isQG2D) and w(seal), primarily because the density reconstruction does not capture the seal-observed smaller-scale signals. Within several subtransects, the Argo-SSS-based w(isQG2D) reasonably reproduce the spatial structures of w(seal), but present smaller magnitude. We also apply the isQG reconstructions to the 3D omega equation, and the 3D diagnosis of w(isQG3D) is very different from w(isQG2D), indicating the limitations of the 2D diagnostic equation. With reduced uncertainties in satellite-derived products in the future, we expect the isQG framework to achieve better subsurface estimations.</t>
  </si>
  <si>
    <t>[Liu, Lei] Chinese Acad Sci, South China Sea Inst Oceanol, State Key Lab Trop Oceanog, Guangzhou, Peoples R China; [Liu, Lei] Southern Marine Sci &amp; Engn Guangdong Lab Guangzhou, Guangzhou, Peoples R China; [Xue, Huijie] Xiamen Univ, State Key Lab Marine Environm Sci, Xiamen, Peoples R China; [Xue, Huijie] Xiamen Univ, Coll Ocean &amp; Earth Sci, Dept Phys Oceanog, Xiamen, Peoples R China</t>
  </si>
  <si>
    <t>Chinese Academy of Sciences; South China Sea Institute of Oceanology, CAS; Southern Marine Science &amp; Engineering Guangdong Laboratory; Southern Marine Science &amp; Engineering Guangdong Laboratory (Guangzhou); Xiamen University; Xiamen University</t>
  </si>
  <si>
    <t>Xue, HJ (corresponding author), Xiamen Univ, State Key Lab Marine Environm Sci, Xiamen, Peoples R China.;Xue, HJ (corresponding author), Xiamen Univ, Coll Ocean &amp; Earth Sci, Dept Phys Oceanog, Xiamen, Peoples R China.</t>
  </si>
  <si>
    <t>hjxue@xmu.edu.cn</t>
  </si>
  <si>
    <t>Xue, Huijie/0000-0003-0738-4978</t>
  </si>
  <si>
    <t>Strategic Priority Research Program of Chinese Academy of Sciences [XDB42000000]; Chinese Academy of Sciences [XDA15020901]; National Natural Science Foundation of China [41806036]; Independent Research Project Program of State Key Laboratory of Tropical Oceanography [LTOZZ2203]; Key Special Project for Introduced Talents Team of Southern Marine Science and Engineering Guangdong Laboratory (Guangzhou) [GML2019ZD0303]</t>
  </si>
  <si>
    <t>Strategic Priority Research Program of Chinese Academy of Sciences(Chinese Academy of Sciences); Chinese Academy of Sciences(Chinese Academy of Sciences); National Natural Science Foundation of China(National Natural Science Foundation of China (NSFC)); Independent Research Project Program of State Key Laboratory of Tropical Oceanography; Key Special Project for Introduced Talents Team of Southern Marine Science and Engineering Guangdong Laboratory (Guangzhou)</t>
  </si>
  <si>
    <t>We thank Lia Siegelman, Rui Xin Huang, Shiqiu Peng, Bo Qiu, Bruno Buongiorno Nardelli, and Yu-Kun Qian for helpful discussions. We also thank the editor Joseph LaCasce, and both reviewers for their valuable and constructive comments. This work was supported by the Strategic Priority Research Program of Chinese Academy of Sciences (Project XDB42000000), Key Special Project for Introduced Talents Team of Southern Marine Science and Engineering Guangdong Laboratory (Guangzhou) (GML2019ZD0303), the Strategic Priority Program on Space Science, the Chinese Academy of Sciences (XDA15020901), the National Natural Science Foundation of China (Grants 41806036), and the Independent Research Project Program of State Key Laboratory of Tropical Oceanography (LTOZZ2203). We are grateful to the freely available data for this study: the marine mammal data were collected by the International MEOP Consortium and the national programs that contribute to it (http://www.meop.net); SSH and OSTIA SST are provided by CMEMS (http://marine.copernicus.eu); OISST is provided by NOAA (https://www.ncei.noaa.gov/products/optimum-interpolation-sst); MUR SST is obtained from JPL (https://coastwatch.pfeg.noaa.gov/erddap/griddap/jplMURSST41.html); SMOS SSS is provided by BEC (http://bec.icm.csic.es/); FSLE is provided by AVISO (https://www.aviso.altimetry.fr); the monthly temperature and salinity gridded fields are from ISAS15 (https://www.seanoe.org/data/00412/52367).We gratefully acknowledge the use of high performance computing clusters at the South China Sea Institute of Oceanology, Chinese Academy of Sciences.</t>
  </si>
  <si>
    <t>AMER METEOROLOGICAL SOC</t>
  </si>
  <si>
    <t>BOSTON</t>
  </si>
  <si>
    <t>45 BEACON ST, BOSTON, MA 02108-3693, UNITED STATES</t>
  </si>
  <si>
    <t>0022-3670</t>
  </si>
  <si>
    <t>1520-0485</t>
  </si>
  <si>
    <t>J PHYS OCEANOGR</t>
  </si>
  <si>
    <t>J. Phys. Oceanogr.</t>
  </si>
  <si>
    <t>10.1175/JPO-D-21-0183.1</t>
  </si>
  <si>
    <t>5O3SI</t>
  </si>
  <si>
    <t>WOS:000872397000011</t>
  </si>
  <si>
    <t>Rosevear, MG; Gayen, B; Galton-Fenzi, BK</t>
  </si>
  <si>
    <t>Rosevear, Madelaine G.; Gayen, Bishakhdatta; Galton-Fenzi, Benjamin K.</t>
  </si>
  <si>
    <t>Regimes and Transitions in the Basal Melting of Antarctic Ice Shelves</t>
  </si>
  <si>
    <t>Ice shelves; Mixing; Turbulence; Boundary layer; Buoyancy; Large eddy simulations</t>
  </si>
  <si>
    <t>BOUNDARY-LAYER BENEATH; NUMERICAL SIMULATIONS; SALINITY GRADIENT; OCEAN; TURBULENT; CONVECTION; PARAMETERIZATION; STRATIFICATION; DISSOLUTION; DYNAMICS</t>
  </si>
  <si>
    <t>The Antarctic Ice Sheet is losing mass as a result of increased ocean-driven melting of its fringing ice shelves. Efforts to represent the effects of basal melting in sea level projections are undermined by poor understanding of the turbulent ice shelf-ocean boundary layer (ISOBL), a meters-thick layer of ocean that regulates heat and salt transfer between the ocean and ice. To address this shortcoming, we perform large-eddy simulations of the ISOBL formed by a steady, geostrophic flow beneath horizontal ice. We investigate melting and ISOBL structure and properties over a range of free-stream velocities and ocean temperatures. We find that the melting response to changes in thermal and current forcing is highly nonlinear due to the effects of meltwater on ISOBL turbulence. Three distinct ISOBL regimes emerge depending on the relative strength of current shear and buoyancy forcing: well-mixed, stratified, or diffusive-convective. We present expressions for mixing-layer depth for each regime and show that the transitions between regimes can be predicted with simple nondimensional parameters. We use these results to develop a novel regime diagram for the ISOBL which provides insight into the varied melting responses expected around Antarctica and highlights the need to include stratified and diffusive-convective dynamics in future basal melting parameterizations. We emphasize that melting in the diffusive-convective regime is time dependent and is therefore inherently difficult to parameterize. Significance StatementThe purpose of this study is to investigate the processes that control ocean-driven melting of Antarctic ice shelves (100-1000-m-thick floating extensions of the Antarctic ice sheet). Currently, these processes are poorly understood due to the difficulty of accessing the ocean beneath ice shelves. Using an ocean model, we determine the melting response to different ocean conditions, including feedbacks whereby cold, fresh meltwater can enhance or suppress turbulent eddies beneath the ice, depending on the ocean state. Our results point the way to improvements in the representation of ocean-driven melting in ocean/climate models, which will allow more accurate predictions of future climate and sea level.</t>
  </si>
  <si>
    <t>[Rosevear, Madelaine G.] Univ Tasmania, Inst Marine &amp; Antarctic Studies, Hobart, Tasmania, Australia; [Rosevear, Madelaine G.] Univ Western Australia, Oceans Grad Sch, Perth, WA, Australia; [Gayen, Bishakhdatta] Univ Melbourne, Dept Mech Engn, Melbourne, Vic, Australia; [Gayen, Bishakhdatta] Indian Inst Sci, Ctr Atmospher &amp; Ocean Sci, Bengaluru, India; [Gayen, Bishakhdatta; Galton-Fenzi, Benjamin K.] Univ Tasmania, Australian Ctr Excellence Antarctic Sci, Hobart, Tas, Australia; [Galton-Fenzi, Benjamin K.] Australian Antarctic Div, Kingston, Tasmania, Australia; [Galton-Fenzi, Benjamin K.] Univ Tasmania, Inst Marine &amp; Antarctic Studies, Australian Antarctic Program Partnership, Hobart, Tasmania, Australia</t>
  </si>
  <si>
    <t>University of Tasmania; University of Western Australia; University of Melbourne; Melbourne Bioinformatics; Indian Institute of Science (IISC) - Bangalore; University of Tasmania; Australian Antarctic Division; University of Tasmania</t>
  </si>
  <si>
    <t>Rosevear, MG (corresponding author), Univ Tasmania, Inst Marine &amp; Antarctic Studies, Hobart, Tasmania, Australia.;Rosevear, MG (corresponding author), Univ Western Australia, Oceans Grad Sch, Perth, WA, Australia.</t>
  </si>
  <si>
    <t>madi.rosevear@gmail.com</t>
  </si>
  <si>
    <t>Gayen, Bishakhdatta/D-9679-2011</t>
  </si>
  <si>
    <t>Gayen, Bishakhdatta/0000-0001-6543-2590</t>
  </si>
  <si>
    <t>Australian Research Council through the Special Research Initiative for Antarctic Gateway Partnership [SR140300001]; Australian Government through the Antarctic Science Collaboration Initiative Australian Antarctic Program Partnership [ASCI000002]; Australian Research Council through a Future Fellowship [FT180100037]; Australian Government; Australian Research Council [FT180100037] Funding Source: Australian Research Council</t>
  </si>
  <si>
    <t>Australian Research Council through the Special Research Initiative for Antarctic Gateway Partnership(Australian Research Council); Australian Government through the Antarctic Science Collaboration Initiative Australian Antarctic Program Partnership; Australian Research Council through a Future Fellowship(Australian Research Council); Australian Government(Australian Government); Australian Research Council(Australian Research Council)</t>
  </si>
  <si>
    <t>This research was supported by the Australian Research Council through the Special Research Initiative for Antarctic Gateway Partnership (project ID SR140300001), and also by the Australian Government through the Antarctic Science Collaboration Initiative Australian Antarctic Program Partnership (project ID ASCI000002). During the preparation of this manuscript, B.G. received support from the Australian Research Council through a Future Fellowship (Grant ID FT180100037). Numerical simulations were conducted on the Australian National Computational Infrastructure at the Australian National University, which is supported by the Australian Government.</t>
  </si>
  <si>
    <t>10.1175/JPO-D-21-0317.1</t>
  </si>
  <si>
    <t>WOS:000872397000019</t>
  </si>
  <si>
    <t>Kasyan, VV</t>
  </si>
  <si>
    <t>Kasyan, Valentina V.</t>
  </si>
  <si>
    <t>Age Structure and Spatial Distribution of Euphausia superba Larvae off the Antarctic Peninsula, Southern Ocean</t>
  </si>
  <si>
    <t>Antarctic krill Euphausia superba; eggs; nauplii; calyptopis; furcilia; abundance; distribution; Atlantic sector; Southern Ocean</t>
  </si>
  <si>
    <t>SCOTIA SEA; BRANSFIELD STRAIT; CLIMATE-CHANGE; KRILL; CIRCULATION; TRANSPORT; ABUNDANCE; REGION; ICE</t>
  </si>
  <si>
    <t>The Antarctic krill, Euphausia superba Dana, 1850, is a species forming high biomass and, therefore, playing a major role in the Antarctic marine food web. The age structure and patterns of spatial distribution of E. superba larvae in the waters of the Bransfield Strait (Antarctic Sound, Powell Basin), and off the South Orkney Islands, were studied based on data collected through a research survey in January and February 2022. Eggs and larvae (naupliar, calyptopis, and furcilia stages) of E. superba were found in these regions. Eggs and nauplii were concentrated in the southern, deep-sea part of the Antarctic Sound and over the northeastern and southwestern slopes of the Powell Basin, while calyptopis and furcilia larvae were concentrated north of the South Orkney Islands. The larvae abundance increased in an easterly direction. Four groups of communities comprising krill larvae at different development stages were identified. These groups were located in two subregions with the border between them running off the South Orkney Islands. The distribution and abundance of E. superba larvae showed a clear relationship with environmental conditions, in particular with a combination of such factors as sea surface temperature and chlorophyll a concentration.</t>
  </si>
  <si>
    <t>[Kasyan, Valentina V.] Russian Acad Sci NSCMB FEB RAS, AV Zhirmunsky Natl Sci Ctr Marine Biol, Far Eastern Branch, Lab Systemat &amp; Morphol, Vladivostok 690041, Russia</t>
  </si>
  <si>
    <t>Russian Academy of Sciences; National Scientific Center of Marine Biology, Far East Branch of the Russian Academy of Sciences</t>
  </si>
  <si>
    <t>Kasyan, VV (corresponding author), Russian Acad Sci NSCMB FEB RAS, AV Zhirmunsky Natl Sci Ctr Marine Biol, Far Eastern Branch, Lab Systemat &amp; Morphol, Vladivostok 690041, Russia.</t>
  </si>
  <si>
    <t>valentina-k@yandex.ru</t>
  </si>
  <si>
    <t>Kasyan, Valentina/E-6024-2016</t>
  </si>
  <si>
    <t>Kasyan, Valentina/0000-0002-2745-3961</t>
  </si>
  <si>
    <t>[122072000067-9]</t>
  </si>
  <si>
    <t>This research was supported by the Russian State Assignment no. 122072000067-9.</t>
  </si>
  <si>
    <t>10.3390/w14203196</t>
  </si>
  <si>
    <t>5P9ZH</t>
  </si>
  <si>
    <t>WOS:000873500000001</t>
  </si>
  <si>
    <t>Anzano, J; Abás, E; Marina-Montes, C; del Valle, J; Galán-Madruga, D; Laguna, M; Cabredo, S; Pérez-Arribas, LV; Cáceres, J; Anwar, J</t>
  </si>
  <si>
    <t>Anzano, Jesus; Abas, Elisa; Marina-Montes, Cesar; del Valle, Javier; Galan-Madruga, David; Laguna, Mariano; Cabredo, Susana; Perez-Arribas, Luis-Vicente; Caceres, Jorge; Anwar, Jamil</t>
  </si>
  <si>
    <t>A Review of Atmospheric Aerosols in Antarctica: From Characterization to Data Processing</t>
  </si>
  <si>
    <t>ATMOSPHERE</t>
  </si>
  <si>
    <t>particulate matter; POPs; long-range transport; air pollution; chemometrics; air mass back trajectories; Antarctica</t>
  </si>
  <si>
    <t>KING GEORGE ISLAND; POLYCYCLIC AROMATIC-HYDROCARBONS; INDUCED BREAKDOWN SPECTROSCOPY; POSITIVE MATRIX FACTORIZATION; PERSISTENT ORGANIC POLLUTANTS; TERRA-NOVA BAY; ANODIC-STRIPPING VOLTAMMETRY; CHAIN CHLORINATED PARAFFINS; NUMBER SIZE DISTRIBUTIONS; PARTIAL LEAST-SQUARES</t>
  </si>
  <si>
    <t>One of the major problems of the present era is air pollution, not only for its impact on climate change but also for the diseases provoked by this scourge. Among the most concerning air pollutants is particulate matter, since it can travel long distances and affect the entire globe. Antarctica is extremely sensitive to climate change and essential for regulating temperature and permitting life on Earth. Therefore, air quality studies in this region are extremely important. The aim of this review is to present the work conducted on the identification and detection of aerosols and particulate matter in the Antarctic region in the last 20 years. These studies revealed a large number of organic and inorganic species. Organochlorine pesticides or polychlorinated biphenyls represent almost 50% of the organic fraction detected in Antarctica. Furthermore, heavy metals such as Hg and Pb were also found in the region related to anthropogenic activities. To summarize, this work detailed different analytical techniques and data processing to help characterize Antarctic aerosols and their potential sources.</t>
  </si>
  <si>
    <t>[Anzano, Jesus; Abas, Elisa; Marina-Montes, Cesar] Univ Zaragoza, Fac Sci, Dept Analyt Chem, Laser Lab,Chem &amp; Environm Grp, Plaza S Francisco S-N, Zaragoza 50009, Spain; [del Valle, Javier] Ctr Univ Def Zaragoza AGM, Carretera Huesca S-N, Zaragoza 50090, Spain; [Galan-Madruga, David] Inst Salud Carlos III, Ctr Nacl Sanidad Ambiental, Area Contaminac Atmosfer, Madrid 28220, Spain; [Laguna, Mariano] Univ Zaragoza CSIC, Inst Sintesis Quim &amp; Catalisis Homogenea, Plaza S Francisco S-N, Zaragoza 50009, Spain; [Cabredo, Susana] Univ La Rioja, Dept Chem, C Madre de Dios 53, Logrono 26006, Spain; [Perez-Arribas, Luis-Vicente; Caceres, Jorge] Univ Complutense Madrid, Fac Chem, Dept Analyt Chem, Laser Chem Res Grp, Plaza Ciencias, Madrid 28040, Spain; [Anwar, Jamil] Univ Management &amp; Technol, Dept Chem, Lahore 54770, Pakistan</t>
  </si>
  <si>
    <t>University of Zaragoza; Instituto de Salud Carlos III; Centro Nacional de Sanidad Ambiental (CNSA); Consejo Superior de Investigaciones Cientificas (CSIC); CSIC - Centro de Quimica y Materiales de Aragon (CEQMA); CSIC-UZA - Instituto de Sintesis Quimica y Catalisis Homogenea (ISQCH); Universidad de La Rioja; Complutense University of Madrid; University of Management &amp; Technology (UMT)</t>
  </si>
  <si>
    <t>Anzano, J (corresponding author), Univ Zaragoza, Fac Sci, Dept Analyt Chem, Laser Lab,Chem &amp; Environm Grp, Plaza S Francisco S-N, Zaragoza 50009, Spain.</t>
  </si>
  <si>
    <t>janzano@unizar.es</t>
  </si>
  <si>
    <t>Marina-Montes, Cesar/AEU-5508-2022; Galan, David/H-8777-2015; Anzano Lacarte, Jesus Manuel/C-1033-2013</t>
  </si>
  <si>
    <t>Marina-Montes, Cesar/0000-0001-5652-3677; Galan, David/0000-0002-7890-4611; Abas-Benedi, Elisa/0000-0002-6674-7364; Laguna Castrillo, Mariano/0000-0002-5801-3352; Caceres, Jorge/0000-0003-4801-4172; Anzano Lacarte, Jesus Manuel/0000-0002-8581-4972</t>
  </si>
  <si>
    <t>University of Zaragoza [UZ2021-CIE-01]; Departamento de Ciencia, Universidad y Sociedad del Conocimiento del Gobierno de Aragon [E49_20R]; Ministry of Science and Innovation of Spain [CTM2017-82929-R]; Spanish government [PRE2018-085309]</t>
  </si>
  <si>
    <t>University of Zaragoza; Departamento de Ciencia, Universidad y Sociedad del Conocimiento del Gobierno de Aragon; Ministry of Science and Innovation of Spain(Spanish Government); Spanish government(Spanish Government)</t>
  </si>
  <si>
    <t>The authors gratefully acknowledge the University of Zaragoza (UZ2021-CIE-01), the Departamento de Ciencia, Universidad y Sociedad del Conocimiento del Gobierno de Aragon (E49_20R), and the Ministry of Science and Innovation of Spain (CTM2017-82929-R). C.M.-M.'s work was funded by an FPI predoctoral contract (PRE2018-085309) granted by the Spanish government.</t>
  </si>
  <si>
    <t>2073-4433</t>
  </si>
  <si>
    <t>ATMOSPHERE-BASEL</t>
  </si>
  <si>
    <t>Atmosphere</t>
  </si>
  <si>
    <t>10.3390/atmos13101621</t>
  </si>
  <si>
    <t>Environmental Sciences; Meteorology &amp; Atmospheric Sciences</t>
  </si>
  <si>
    <t>Environmental Sciences &amp; Ecology; Meteorology &amp; Atmospheric Sciences</t>
  </si>
  <si>
    <t>5O2GN</t>
  </si>
  <si>
    <t>WOS:000872298400001</t>
  </si>
  <si>
    <t>Marambio, J; Diehl, N; Bischof, K</t>
  </si>
  <si>
    <t>Marambio, Johanna; Diehl, Nora; Bischof, Kai</t>
  </si>
  <si>
    <t>High Ecophysiological Plasticity of Desmarestia aculeata (Phaeophyceae) Present in an Arctic Fjord under Varying Salinity and Irradiance Conditions</t>
  </si>
  <si>
    <t>Arctic; mannitol; acclimation; F-v; F-m; pigments</t>
  </si>
  <si>
    <t>HELGOLAND NORTH-SEA; SEASONAL-VARIATION; FUCUS-VESICULOSUS; BROWN-ALGAE; MACROALGAE; PHOTOSYNTHESIS; PHOTOINHIBITION; TEMPERATURE; SEAWEEDS; STRESS</t>
  </si>
  <si>
    <t>Simple Summary The Arctic region has been affected by rising temperatures, directly affecting the organisms living there. One of the organisms that inhabit this area is the seaweed Desmarestia aculeata (Phaeophyceae), widely distributed in the North Atlantic. It is exposed to the high Arctic light regime and fluctuating salinity conditions from glacial and terrestrial run-off. Despite its abundance, little is known about D. aculeata and how environmental drivers will affect it in a future altered by climate change. During the summer of 2019, D. aculeata was collected in Kongsfjorden, Svalbard (78.9 degrees N, 11.9 degrees E) to investigate its physiological and biochemical responses to salinities of 34, 28, and 18, and daily cycles of irradiance (50-500 mu mol photons m(-2)s(-1)) at 0 degrees C over 21 days. Photosynthetic parameters and high pigment concentrations show how this species has an effective acclimation to irradiance changes, being unaffected by low salinity. The high concentration of antioxidant phlorotannins at low salinity show how D. aculeata can regulate its daily cycle despite the hyposaline conditions. Salinity and light are interacting factors in the acclimation process. Our work shows the high plasticity of D. aculeata, such that the species will probably be able to tolerate future changes in the Arctic. The seaweed Desmarestia aculeata (Phaeophyceae) is distributed in the temperate zone of the North Atlantic up to the Arctic, where it is exposed to a high Arctic light regime and fluctuating salinity conditions resulting from glacial and terrestrial run-off. Information on how this species is able to thrive under current and future Arctic conditions is scarce. During the Arctic summer of 2019, D. aculeata was collected in Kongsfjorden, Svalbard (78.9 degrees N, 11.9 degrees E) to investigate its physiological and biochemical responses to variations in salinity (salinities: 34, 28 and 18) and daily cycles of irradiance (50-500 mu mol photons m(-2)s(-1)) at 0 degrees C over 21 days. The species revealed effective short-term acclimation to both abiotic drivers. Maximal quantum yield of PSII (F-v/F-m) fluctuated with the light cycle at a salinity of 34, while the maximum relative electron transport rate (rETRmax) significantly differed between salinities of 28 and 18. Chlorophyll a and beta-Carotene remained at high concentrations in all treatments showing pronounced acclimation during the experiment. High mannitol concentrations were measured throughout the experiment, while phlorotannins were high at low salinity. Hyposalinity and light are interacting drivers of the physiological and biochemical acclimation process for D. aculeata. Our experiment highlights the high ecophysiological plasticity of D. aculeata, suggesting that the species will likely be capable of withstanding future habitat changes in the Arctic.</t>
  </si>
  <si>
    <t>[Marambio, Johanna; Diehl, Nora; Bischof, Kai] Univ Bremen, Marine Bot, Leobner Str NW2, D-28359 Bremen, Germany; [Marambio, Johanna; Diehl, Nora; Bischof, Kai] Alfred Wegener Inst Polar &amp; Marine Res, Funct Ecol, D-27570 Bremerhaven, Germany; [Marambio, Johanna] Univ Magallanes, Dept Sci, Lab Antarctic &amp; Sub Antarctic Marine Ecosyst LEMA, Punta Arenas 6200000, Chile; [Marambio, Johanna] Univ Magallanes, Cape Horn Int Ctr CHIC, Punta Arenas 6200000, Chile; [Diehl, Nora; Bischof, Kai] Univ Bremen, Ctr Marine Environm Sci, D-28359 Bremen, Germany</t>
  </si>
  <si>
    <t>University of Bremen; Helmholtz Association; Alfred Wegener Institute, Helmholtz Centre for Polar &amp; Marine Research; Universidad de Magallanes; Universidad de Magallanes; University of Bremen</t>
  </si>
  <si>
    <t>Marambio, J (corresponding author), Univ Bremen, Marine Bot, Leobner Str NW2, D-28359 Bremen, Germany.;Marambio, J (corresponding author), Alfred Wegener Inst Polar &amp; Marine Res, Funct Ecol, D-27570 Bremerhaven, Germany.;Marambio, J (corresponding author), Univ Magallanes, Dept Sci, Lab Antarctic &amp; Sub Antarctic Marine Ecosyst LEMA, Punta Arenas 6200000, Chile.;Marambio, J (corresponding author), Univ Magallanes, Cape Horn Int Ctr CHIC, Punta Arenas 6200000, Chile.</t>
  </si>
  <si>
    <t>marambio@uni-bremen.de</t>
  </si>
  <si>
    <t>marambio, johanna/0000-0003-1958-0351; Diehl, Nora/0000-0002-7245-340X</t>
  </si>
  <si>
    <t>Alfred Wegener Institute; AWI dive team; Agencia Nacional de Investigacion y Desarrollo (ANID)/Programa de Becas Chile-DAAD/DOCTORADO BECAS [CHILE/2017-72180000]; FACE-IT (The Future of Arctic Coastal Ecosystems-Identifying Transitions in Fjord Systems and Adjacent Coastal Areas); European Union [869154]</t>
  </si>
  <si>
    <t>Alfred Wegener Institute; AWI dive team; Agencia Nacional de Investigacion y Desarrollo (ANID)/Programa de Becas Chile-DAAD/DOCTORADO BECAS; FACE-IT (The Future of Arctic Coastal Ecosystems-Identifying Transitions in Fjord Systems and Adjacent Coastal Areas); European Union(European Union (EU))</t>
  </si>
  <si>
    <t>The authors would like to thank the AWIPEV Research Base located in Ny-angstrom lesund for hosting and providing logistical and financial support from the Alfred Wegener Institute, and the AWI dive team. J.M. would like to thank the Agencia Nacional de Investigacion y Desarrollo (ANID)/Programa de Becas Chile-DAAD/DOCTORADO BECAS CHILE/2017-72180000. The authors are grateful to the staff of the University of Rostock for allowing the use of laboratories for running the mannitol analyses, to the University of Bremen for the C:N analyses, and to B. Iken (University of Bremen) for pigment analyses. This study was further funded in the frame of the project FACE-IT (The Future of Arctic Coastal Ecosystems-Identifying Transitions in Fjord Systems and Adjacent Coastal Areas). FACE-IT has received funding from the European Union's Horizon 2020 research and innovation programme under grant agreement No 869154.</t>
  </si>
  <si>
    <t>10.3390/biology11101499</t>
  </si>
  <si>
    <t>5O0SQ</t>
  </si>
  <si>
    <t>WOS:000872194100001</t>
  </si>
  <si>
    <t>Pekkoeva, SN; Voronin, VP; Mishin, AV; Orlov, AM; Murzina, SA</t>
  </si>
  <si>
    <t>Pekkoeva, Svetlana N.; Voronin, Viktor P.; Mishin, Aleksej, V; Orlov, Alexei M.; Murzina, Svetlana A.</t>
  </si>
  <si>
    <t>Living in the Extreme: Fatty Acid Profiles and Their Specificity in Certain Tissues of Dominant Antarctic Silverfish, Pleuragramma antarcticum, from the Antarctic Sound (Southern Ocean) Collected during the Austral Summer</t>
  </si>
  <si>
    <t>DIVERSITY-BASEL</t>
  </si>
  <si>
    <t>total lipids; fatty acids; biochemical adaptations; Pleuragramma antarcticum</t>
  </si>
  <si>
    <t>NOTOTHENIOID FISH; LIPID-CONTENT; ROSS SEA; DOCOSAHEXAENOIC ACID; MCMURDO SOUND; WEDDELL SEA; LEPTOCLINUS-MACULATUS; THYSANOESSA-MACRURA; INSULIN SENSITIVITY; ALCOHOL COMPOSITION</t>
  </si>
  <si>
    <t>The fatty acid profile of seven different organs (brain, gills, heart, muscles, gonads, liver, and gall bladder) of the lipid-rich Antarctic silverfish, Pleuragramma antarcticum, from the Antarctic Sound was studied. Qualitative and quantitative analyses of fatty acids were performed using gas chromatography with mass-selective and flame ionization detectors. It was seen that the muscles and gills differed from the other organs with the prevalence of saturated fatty acids, mainly due to 16:0 and 14:0 that may reveal their additional metabolic role in these organs for adaptation of the fish to the cold Antarctic waters. Monounsaturated fatty acids 18:1(n - 9) and 16:1(n - 7) were prevalent in the other organs of silverfish, especially their high content in the liver, reflecting the carnivorous feeding type (mainly adult ice krill) of the species and their dietary preferences in the austral summer. The high content of essential fatty acids, 22:6(n - 3) (14% of total fatty acids) found in the brain and 20:5(n - 3) (12% of total fatty acids) found in the muscles, highlights the functional significance of these lipid components in the studied tissues of fish. The results will improve the understanding of the functional value of individual fatty acids in terms of their organ specificity and the adaptation of the Antarctic silverfish to life in the frigid ice waters of the Antarctic pelagic ecosystem.</t>
  </si>
  <si>
    <t>[Pekkoeva, Svetlana N.; Voronin, Viktor P.; Murzina, Svetlana A.] Russian Acad Sci IB KarRC RAS, Karelian Res Ctr, Inst Biol, 11 Pushkinskaya St, Petrozavodsk 185910, Russia; [Mishin, Aleksej, V; Orlov, Alexei M.] Russian Acad Sci IO RAS, Shirshov Inst Oceanol, 36 Nakhimovsky Prospekt, Moscow 117997, Russia; [Orlov, Alexei M.] Russian Acad Sci IPEE RAS, AN Severtsov Inst Ecol &amp; Evolut, 33 Leninsky Prospekt, Moscow 119071, Russia</t>
  </si>
  <si>
    <t>Russian Academy of Sciences; Karelian Research Centre of the Russian Academy of Sciences; Institute of Biology of Karelian Research Centre RAS; Russian Academy of Sciences; Shirshov Institute of Oceanology; Russian Academy of Sciences; Saratov Scientific Center of the Russian Academy of Sciences; Severtsov Institute of Ecology &amp; Evolution</t>
  </si>
  <si>
    <t>Pekkoeva, SN; Murzina, SA (corresponding author), Russian Acad Sci IB KarRC RAS, Karelian Res Ctr, Inst Biol, 11 Pushkinskaya St, Petrozavodsk 185910, Russia.</t>
  </si>
  <si>
    <t>pek-svetlana@mail.ru; murzina.svetlana@gmail.com</t>
  </si>
  <si>
    <t>Orlov, Alexei M./E-2036-2012; Murzina, Svetlana/A-7624-2014</t>
  </si>
  <si>
    <t>Orlov, Alexei M./0000-0002-0877-2553; Khurtina (Pekkoeva), Svetlana/0000-0001-8706-731X; Voronin, Viktor/0000-0002-4265-8850; Murzina, Svetlana/0000-0002-9705-2741</t>
  </si>
  <si>
    <t>Ministry of Science and Higher Education of the Russian Federation [FMWE-2022-0001]; [FMEN-2022-0006]</t>
  </si>
  <si>
    <t>Ministry of Science and Higher Education of the Russian Federation;</t>
  </si>
  <si>
    <t>This research was funded by State Task FMWE-2022-0001 by the Ministry of Science and Higher Education of the Russian Federation and the State Task for KarRC RAS FMEN-2022-0006.</t>
  </si>
  <si>
    <t>1424-2818</t>
  </si>
  <si>
    <t>Diversity-Basel</t>
  </si>
  <si>
    <t>10.3390/d14100817</t>
  </si>
  <si>
    <t>Biodiversity Conservation; Ecology</t>
  </si>
  <si>
    <t>Biodiversity &amp; Conservation; Environmental Sciences &amp; Ecology</t>
  </si>
  <si>
    <t>5O8TC</t>
  </si>
  <si>
    <t>WOS:000872737400001</t>
  </si>
  <si>
    <t>Dainys, J; Jakubaviciute, E; Gorfine, H; Kirka, M; Rakleviciute, A; Morkvenas, A; Putys, Z; Lozys, L; Audzijonyte, A</t>
  </si>
  <si>
    <t>Dainys, Justas; Jakubaviciute, Egle; Gorfine, Harry; Kirka, Mindaugas; Rakleviciute, Alina; Morkvenas, Augustas; Putys, Zilvinas; Lozys, Linas; Audzijonyte, Asta</t>
  </si>
  <si>
    <t>Impacts of Recreational Angling on Fish Population Recovery after a Commercial Fishing Ban</t>
  </si>
  <si>
    <t>FISHES</t>
  </si>
  <si>
    <t>recreational angling; species recovery; species composition; angler impact; Kaunas Water Reservoir Lithuania</t>
  </si>
  <si>
    <t>LARGEMOUTH BASS; CATCH RATES; FISHERIES; PARTICIPATION; MANAGEMENT; AUSTRALIA; PROPERTY; INSIGHTS; HARVEST; ANGLERS</t>
  </si>
  <si>
    <t>It is often assumed that recreational fishing has negligible influences on fish stocks compared to commercial fishing. However, for inland water bodies in densely populated areas, this assumption may not be supported. In this study, we demonstrate variable stock recovery rates among different fish species with similar life histories in a large productive inland freshwater ecosystem (Kaunas Reservoir, Lithuania), where previously intensive commercial fishing has been banned since 2013. We conducted over 900 surveys of recreational anglers from 2016 to 2021 to document recreational fishing catches and combined these catch estimates with drone and fishfinder device-based assessments of recreational fishing effort. Fish population recovery rates were assessed using a standardized catch-per-unit-effort time series in independent scientific surveys. We show that recreational fishing is slowing the recovery of predatory species, such as pikeperch Sander lucioperca (Linnaeus, 1758) and Eurasian perch Perca fluviatilis Linnaeus, 1758. The estimated annual recreational catches for these species were 19 tons (min-max of 7-55 tons) and 9 tons (4-28), respectively, which was considerably higher than the average commercial catch before the fishery closure (10 and 1 tons, respectively). In contrast, the recovery of roach Rutilus rutilus (Linnaeus, 1758), rarely caught by anglers (annual recreational catch of ca 3 tons compared to ca 100 tons of commercial catch), has been rapid, and the species is now dominating the ecosystem. Our study demonstrates that recreational fishing can have strong and selective impacts on fish species, reduce predator abundance, alter relative species composition and potentially change ecosystem state and dynamics.</t>
  </si>
  <si>
    <t>[Dainys, Justas; Jakubaviciute, Egle; Gorfine, Harry; Kirka, Mindaugas; Rakleviciute, Alina; Morkvenas, Augustas; Putys, Zilvinas; Lozys, Linas; Audzijonyte, Asta] Nat Res Ctr, Akademijos Str 2, LT-08412 Vilnius, Lithuania; [Gorfine, Harry] Univ Melbourne, Sch Biosci, Melbourne, Vic 3010, Australia; [Audzijonyte, Asta] Univ Tasmania, Inst Marine &amp; Antarctic Studies, Hobart, Tas 7004, Australia</t>
  </si>
  <si>
    <t>Nature Research Center - Lithuania; Melbourne Genomics Health Alliance; University of Melbourne; University of Tasmania</t>
  </si>
  <si>
    <t>Dainys, J (corresponding author), Nat Res Ctr, Akademijos Str 2, LT-08412 Vilnius, Lithuania.</t>
  </si>
  <si>
    <t>justas.dainys@gamtc.lt</t>
  </si>
  <si>
    <t>Morkvėnas, Augustas/HKO-1503-2023</t>
  </si>
  <si>
    <t>Morkvėnas, Augustas/0000-0002-0179-715X; Gorfine, Harry/0000-0001-6933-3389; Audzijonyte, Asta/0000-0002-9919-9376</t>
  </si>
  <si>
    <t>European Regional Development Fund [01.2.2-LMT-K-718-02-0006]; Research Council of Lithuania (LMTLT)</t>
  </si>
  <si>
    <t>European Regional Development Fund(European Union (EU)); Research Council of Lithuania (LMTLT)(Research Council of Lithuania (LMTLT))</t>
  </si>
  <si>
    <t>This study has received funding from the European Regional Development Fund (project no. 01.2.2-LMT-K-718-02-0006) under a grant agreement with the Research Council of Lithuania (LMTLT).</t>
  </si>
  <si>
    <t>2410-3888</t>
  </si>
  <si>
    <t>FISHES-BASEL</t>
  </si>
  <si>
    <t>Fishes</t>
  </si>
  <si>
    <t>10.3390/fishes7050232</t>
  </si>
  <si>
    <t>Fisheries; Marine &amp; Freshwater Biology</t>
  </si>
  <si>
    <t>5O3YB</t>
  </si>
  <si>
    <t>Green Submitted, gold</t>
  </si>
  <si>
    <t>WOS:000872412000001</t>
  </si>
  <si>
    <t>Karakus, O; Völker, C; Iversen, M; Hagen, W; Hauck, J</t>
  </si>
  <si>
    <t>Karakus, Onur; Voelker, Christoph; Iversen, Morten; Hagen, Wilhelm; Hauck, Judith</t>
  </si>
  <si>
    <t>The Role of Zooplankton Grazing and Nutrient Recycling for Global Ocean Biogeochemistry and Phytoplankton Phenology</t>
  </si>
  <si>
    <t>JOURNAL OF GEOPHYSICAL RESEARCH-BIOGEOSCIENCES</t>
  </si>
  <si>
    <t>COPEPOD ACARTIA-TONSA; SOUTHERN-OCEAN; FECAL PELLETS; ANTARCTIC KRILL; EXPORT PRODUCTION; GROWTH-RATES; CARBON FLUX; MARINE SNOW; FOOD-WEB; MODEL</t>
  </si>
  <si>
    <t>Zooplankton plays a notable role in ocean biogeochemical cycles. However, it is often simulated as one generic group and top closure term in ocean biogeochemical models. This study presents the description of three zooplankton functional types (zPFTs, micro-, meso- and macrozooplankton) in the ocean biogeochemical model FESOM-REcoM. In the presented model, microzooplankton is a fast-growing herbivore group, mesozooplankton is another major consumer of phytoplankton, and macrozooplankton is a slow-growing group with a low temperature optimum. Meso- and macrozooplankton produce fast-sinking fecal pellets. With three zPFTs, the annual mean zooplankton biomass increases threefold to 210 Tg C. The new food web structure leads to a 25% increase in net primary production and a 10% decrease in export production globally. Consequently, the export ratio decreases from 17% to 12% in the model. The description of three zPFTs reduces model mismatches with observed dissolved inorganic nitrogen and chlorophyll concentrations in the South Pacific and the Arctic Ocean, respectively. Representation of three zPFTs also strongly affects phytoplankton phenology: Fast nutrient recycling by zooplankton sustains higher chlorophyll concentrations in summer and autumn. Additional zooplankton grazing delays the start of the phytoplankton bloom by 3 weeks and controls the magnitude of the bloom peak in the Southern Ocean. As a result, the system switches from a light-controlled Sverdrup system to a dilution-controlled Behrenfeld system. Overall, the results suggest that representation of multiple zPFTs is important to capture underlying processes that may shape the response of ecosystems and ecosystem services to on-going and future environmental change in model projections.</t>
  </si>
  <si>
    <t>[Karakus, Onur; Voelker, Christoph; Iversen, Morten; Hauck, Judith] Helmholtz Zentrum Polar &amp; Meeresforsch, Alfred Wegener Inst, Bremerhaven, Germany; [Iversen, Morten; Hagen, Wilhelm] MARUM, Bremen, Germany; [Iversen, Morten; Hagen, Wilhelm] Univ Bremen, Bremen, Germany; [Hagen, Wilhelm] Univ Bremen, Marine Zool, BreMarE, Bremen, Germany</t>
  </si>
  <si>
    <t>Helmholtz Association; Alfred Wegener Institute, Helmholtz Centre for Polar &amp; Marine Research; University of Bremen; University of Bremen; University of Bremen</t>
  </si>
  <si>
    <t>Karakus, O (corresponding author), Helmholtz Zentrum Polar &amp; Meeresforsch, Alfred Wegener Inst, Bremerhaven, Germany.</t>
  </si>
  <si>
    <t>onur.karakus@awi.de</t>
  </si>
  <si>
    <t>Hauck, Judith/AAC-3967-2019; Iversen, Morten H/C-7741-2013; Voelker, Christoph/I-7891-2012; Iversen, Morten Hvitfeldt/Q-3774-2016</t>
  </si>
  <si>
    <t>Hauck, Judith/0000-0003-4723-9652; Voelker, Christoph/0000-0003-3032-114X; Karakus, Onur/0000-0002-9838-3657; Iversen, Morten Hvitfeldt/0000-0002-5287-1110</t>
  </si>
  <si>
    <t>Initiative and Networking Fund of the Helmholtz Association (Helmholtz Young Investigator Group Marine Carbon and Ecosystem Feedbacks in the Earth System) [MarESys] [VH-NG-1301]; Projekt DEAL</t>
  </si>
  <si>
    <t>Initiative and Networking Fund of the Helmholtz Association (Helmholtz Young Investigator Group Marine Carbon and Ecosystem Feedbacks in the Earth System) [MarESys]; Projekt DEAL</t>
  </si>
  <si>
    <t>This research was supported under the Initiative and Networking Fund of the Helmholtz Association (Helmholtz Young Investigator Group Marine Carbon and Ecosystem Feedbacks in the Earth System [MarESys], Grant VH-NG-1301). Open Access funding enabled and organized by Projekt DEAL.</t>
  </si>
  <si>
    <t>2169-8953</t>
  </si>
  <si>
    <t>2169-8961</t>
  </si>
  <si>
    <t>J GEOPHYS RES-BIOGEO</t>
  </si>
  <si>
    <t>J. Geophys. Res.-Biogeosci.</t>
  </si>
  <si>
    <t>e2022JG006798</t>
  </si>
  <si>
    <t>10.1029/2022JG006798</t>
  </si>
  <si>
    <t>Environmental Sciences; Geosciences, Multidisciplinary</t>
  </si>
  <si>
    <t>Environmental Sciences &amp; Ecology; Geology</t>
  </si>
  <si>
    <t>5P8LD</t>
  </si>
  <si>
    <t>Green Published, hybrid</t>
  </si>
  <si>
    <t>WOS:000873395100001</t>
  </si>
  <si>
    <t>Garnier, F; Bocquet, M; Fleury, S; Bouffard, J; Tsamados, M; Remy, F; Garric, G; Chenal, A</t>
  </si>
  <si>
    <t>Garnier, Florent; Bocquet, Marion; Fleury, Sara; Bouffard, Jerome; Tsamados, Michel; Remy, Frederique; Garric, Gilles; Chenal, Aliette</t>
  </si>
  <si>
    <t>Latest Altimetry-Based Sea Ice Freeboard and Volume Inter-Annual Variability in the Antarctic over 2003-2020</t>
  </si>
  <si>
    <t>REMOTE SENSING</t>
  </si>
  <si>
    <t>sea ice thickness; sea ice volume; CryoSat-2; envisat; climate change</t>
  </si>
  <si>
    <t>WEDDELL SEA; SNOW DEPTH; OPERATION ICEBRIDGE; RADAR FREEBOARD; AMUNDSEN SEAS; THICKNESS; CRYOSAT-2; BELLINGSHAUSEN; CLIMATE; ENVISAT</t>
  </si>
  <si>
    <t>The relatively stable conditions of the sea ice cover in the Antarctic, observed for almost 40 years, seem to be changing recently. Therefore, it is essential to provide sea ice thickness (SIT) and volume (SIV) estimates in order to anticipate potential multi-scale changes in the Antarctic sea ice. For that purpose, the main objectives of this work are: (1) to assess a new sea ice freeboard, thickness and volume altimetry dataset over 2003-2020 and (2) to identify first order impacts of the sea ice recent conditions. To produce these series, we use a neuronal network to calibrate Envisat radar freeboards onto CryoSat-2 (CS2). This method addresses the impacts of surface roughness on Low Resolution Mode (LRM) measurements. During the 2011 common flight period, we found a mean deviation between Envisat and CryoSat-2 radar freeboards by about 0.5 cm. Using the Advanced Microwave Scanning Radiometer (AMSR) and the dual-frequency Altimetric Snow Depth (ASD) data, our solutions are compared with the Upward looking sonar (ULS) draft data, some in-situ measurement of the SIMBA campaign, the total freeboards of 6 Operation Ice Bridge (OIB) missions and ICESat-2 total freeboards. Over 2003-2020, the global mean radar freeboard decreased by about -14% per decade and the SIT and SIV by about -10% per decade (considering a snow depth climatology). This is marked by a slight increase through 2015, which is directly followed by a strong decrease in 2016. Thereafter, freeboards generally remained low and even continued to decrease in some regions such as the Weddell sea. Considering the 2013-2020 period, for which the ASD data are available, radar freeboards and SIT decreased by about -40% per decade. The SIV decreased by about -60% per decade. After 2016, the low SIT values contrast with the sea ice extent that has rather increased again, reaching near-average values in winter 2020. The regional analysis underlines that such thinning (from 2016) occurs in all regions except the Amundsen-Bellingshausen sea sector. Meanwhile, we observed a reversal of the main regional trends from 2016, which may be the signature of significant ongoing changes in the Antarctic sea ice.</t>
  </si>
  <si>
    <t>[Garnier, Florent; Bocquet, Marion; Fleury, Sara; Remy, Frederique] Univ Paul Sabbatier, Lab Etud Geophys &amp; Oceanog Spatiales LEGOS, UMR5566, CNRS, F-31400 Toulouse, France; [Bouffard, Jerome] European Space Agcy ESA, Earth Observat Directorate, Via Galileo Galilei 2, I-00044 Frascati, Italy; [Tsamados, Michel] UCL, Ctr Polar Observat &amp; Modelling, Dept Earth Sci, London WC1E 6BT, England; [Garric, Gilles; Chenal, Aliette] Mercator Ocean, F-31520 Ramonville St Agne, France</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</si>
  <si>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European Space Agency; University of London; University College London</t>
  </si>
  <si>
    <t>Garnier, F (corresponding author), Univ Paul Sabbatier, Lab Etud Geophys &amp; Oceanog Spatiales LEGOS, UMR5566, CNRS, F-31400 Toulouse, France.</t>
  </si>
  <si>
    <t>florent.garnier@legos.obs-mip.fr</t>
  </si>
  <si>
    <t>Bocquet, Marion/0000-0001-8390-3974; Tsamados, Michel/0000-0001-7034-5360; Bouffard, Jerome/0000-0002-3534-4554; garnier, florent/0000-0003-2663-8769; Fleury, Sara/0000-0002-3751-1387</t>
  </si>
  <si>
    <t>European Space Agency (ESA); Centre National d'Etudes Spatiales (CNES) [969830]; NERC [NE/M015238/1] Funding Source: UKRI</t>
  </si>
  <si>
    <t>European Space Agency (ESA)(European Space Agency); Centre National d'Etudes Spatiales (CNES)(Centre National D'etudes Spatiales); NERC(UK Research &amp; Innovation (UKRI)Natural Environment Research Council (NERC))</t>
  </si>
  <si>
    <t>This work has received funding from The European Space Agency (ESA) in the context of a living Planet Fellowship and the Centre National d'Etudes Spatiales (CNES). CNRS contract number 969830.</t>
  </si>
  <si>
    <t>2072-4292</t>
  </si>
  <si>
    <t>REMOTE SENS-BASEL</t>
  </si>
  <si>
    <t>Remote Sens.</t>
  </si>
  <si>
    <t>10.3390/rs14194741</t>
  </si>
  <si>
    <t>Environmental Sciences; Geosciences, Multidisciplinary; Remote Sensing; Imaging Science &amp; Photographic Technology</t>
  </si>
  <si>
    <t>Environmental Sciences &amp; Ecology; Geology; Remote Sensing; Imaging Science &amp; Photographic Technology</t>
  </si>
  <si>
    <t>5G8YF</t>
  </si>
  <si>
    <t>WOS:000867276800001</t>
  </si>
  <si>
    <t>Xin, XZ; Yu, SS; Sun, DZ; Zhang, HL; Li, L; Zhong, B</t>
  </si>
  <si>
    <t>Xin, Xiaozhou; Yu, Shanshan; Sun, Daozhong; Zhang, Hailong; Li, Li; Zhong, Bo</t>
  </si>
  <si>
    <t>Assessment of Three Satellite-Derived Surface Downward Longwave Radiation Products in Polar Regions</t>
  </si>
  <si>
    <t>downward longwave radiation; polar regions; GEWEX-SRB; ISCCP-FD; CERES-SYN</t>
  </si>
  <si>
    <t>VALIDATION; CLOUD; FLUX; BUDGET; PARAMETERIZATION; MODEL; SHORTWAVE; EDITION; ALBEDO; SNOW</t>
  </si>
  <si>
    <t>The radiation budget in polar regions plays an important role in global climate change study. This study investigates the performance of downward longwave radiation (DLR) of three satellite radiation products in polar regions, including GEWEX-SRB, ISCCP-FD, and CERES-SYN. The RMSEs are 35.8, 40.5, and 26.9 W/m(2) at all polar sites for GEWEX-SRB, ISCCP-FD, and CERES-SYN. The results in the Arctic are much better than those in the Antarctic, RMSEs of the three products are 34.7 W/m(2), 36.0 W/m(2), and 26.2 W/m(2) in the Arctic and are 38.8 W/m(2) and 54.8 W/m(2), and 28.6 W/m(2) in the Antarctic. Both GEWEX-SRB and CERES-SYN underestimate DLRs at most sites, while ISCCP-FD overestimates DLRs at most sites. CERES-SYN and GEWEX-SRB DLR products can capture most of the DLR seasonal variation in both the Antarctic and Arctic. Though CERES-SYN has the best results that RMSE within 30 W/m(2) in most polar sites, the accuracy of satellite products in polar regions still cannot meet the requirement of climate research. The improvement of satellite DLR products in polar regions mainly depends on the quality of improving input atmospheric parameters, the accuracy of improving cloud detection over the snow and ice surface and cloud parameters, and better consideration of spatial resolution and heterogeneity.</t>
  </si>
  <si>
    <t>[Xin, Xiaozhou; Yu, Shanshan; Zhang, Hailong; Li, Li; Zhong, Bo] Chinese Acad Sci, Aerosp Informat Res Inst, State Key Lab Remote Sensing Sci, Beijing 100101, Peoples R China; [Sun, Daozhong] Ocean Univ China, Coll Informat Sci &amp; Engn, Qingdao 266100, Peoples R China</t>
  </si>
  <si>
    <t>Chinese Academy of Sciences; Aerospace Information Research Institute, CAS; Ocean University of China</t>
  </si>
  <si>
    <t>Yu, SS (corresponding author), Chinese Acad Sci, Aerosp Informat Res Inst, State Key Lab Remote Sensing Sci, Beijing 100101, Peoples R China.</t>
  </si>
  <si>
    <t>yuss@aircas.ac.cn</t>
  </si>
  <si>
    <t>Keyes, Dennis/AAZ-9285-2021; yu, shanshan/S-4050-2016</t>
  </si>
  <si>
    <t>yu, shanshan/0000-0002-5833-8536</t>
  </si>
  <si>
    <t>National Natural Science Foundation of China [41930111, 41871252]</t>
  </si>
  <si>
    <t>National Natural Science Foundation of China(National Natural Science Foundation of China (NSFC))</t>
  </si>
  <si>
    <t>This work was supported by the National Natural Science Foundation of China (Grant No. 41930111, 41871252).</t>
  </si>
  <si>
    <t>10.3390/atmos13101602</t>
  </si>
  <si>
    <t>5O1DA</t>
  </si>
  <si>
    <t>WOS:000872221200001</t>
  </si>
  <si>
    <t>Yang, YZ; Liu, CL; Ou, NS; Liao, XQ; Cao, N; Chen, N; Jin, L; Zheng, R; Yang, K; Su, QY</t>
  </si>
  <si>
    <t>Yang, Yazhu; Liu, Chunlei; Ou, Niansen; Liao, Xiaoqing; Cao, Ning; Chen, Ni; Jin, Liang; Zheng, Rong; Yang, Ke; Su, Qianye</t>
  </si>
  <si>
    <t>Moisture Transport and Contribution to the Continental Precipitation</t>
  </si>
  <si>
    <t>moisture transport; convergence; precipitation; trend</t>
  </si>
  <si>
    <t>EXTREME PRECIPITATION; ENERGY</t>
  </si>
  <si>
    <t>Understanding the water cycle change under a warming climate is essential, particularly the ocean to land moisture transport, which affects the precipitation over land areas and influences society and the ecosystem. Using ERA5 data from 1988 to 2020, the time series of moisture transport and the trend across the boundary of each continent, including Eurasia, Africa, North America, South America, Antarctic, Australia, and Greenland, have been investigated. The inflow and outflow sections of the moisture have been identified for each continent. The trends of moisture convergence over Eurasia, Africa, North America, and Antarctic are all positive, with the values of 2.59 +/- 3.12, 2.60 +/- 3.17, 12.98 +/- 2.28, and 0.32 +/- 0.47 (in 10(6) kg/s/decade), respectively, but only the trend over North America is statistically significant at a 0.1 significance level. The moisture convergence trend of -0.59 +/- 3.63 (in 10(6) kg/s/decade) over South America is negative but insignificant. The positive trend of 0.10 +/- 0.35 (in 10(6) kg/s/decade) over Greenland is very weak. The precipitation, evaporation, and moisture convergence are well balanced at middle and low latitudes, but the combination of moisture convergence and evaporation is systematically lower than the precipitation over Antarctic and Greenland. Contributions of evaporation and moisture convergence (or transport) to the continental precipitation vary with the continent, but the moisture convergence dominates the precipitation variability over all continents, and the significant correlation coefficients between the anomaly time series of continental mean moisture convergence and precipitation are higher than 0.8 in all continents.</t>
  </si>
  <si>
    <t>[Yang, Yazhu; Liu, Chunlei; Ou, Niansen; Liao, Xiaoqing; Cao, Ning; Chen, Ni; Jin, Liang; Zheng, Rong; Yang, Ke; Su, Qianye] Guangdong Ocean Univ, South China Sea Inst Marine Meteorol, Zhanjiang 524088, Peoples R China; [Yang, Yazhu; Liu, Chunlei; Ou, Niansen; Liao, Xiaoqing; Cao, Ning; Chen, Ni; Jin, Liang; Zheng, Rong; Yang, Ke; Su, Qianye] Guangdong Ocean Univ, CMA GDOU Joint Lab Marine Meteorol, Zhanjiang 524088, Peoples R China</t>
  </si>
  <si>
    <t>Guangdong Ocean University; Guangdong Ocean University</t>
  </si>
  <si>
    <t>Liu, CL; Ou, NS; Cao, N (corresponding author), Guangdong Ocean Univ, South China Sea Inst Marine Meteorol, Zhanjiang 524088, Peoples R China.;Liu, CL; Ou, NS; Cao, N (corresponding author), Guangdong Ocean Univ, CMA GDOU Joint Lab Marine Meteorol, Zhanjiang 524088, Peoples R China.</t>
  </si>
  <si>
    <t>liuclei@gdou.edu.cn; nsou@gdou.edu.cn; ncao@gdou.edu.cn</t>
  </si>
  <si>
    <t>Su, qianye/ISR-8969-2023; Cao, Ning/P-7796-2014</t>
  </si>
  <si>
    <t>Cao, Ning/0000-0001-6957-545X; Liao, Xiaoqing/0000-0002-7794-8444; Liu, Chunlei/0000-0002-6663-452X</t>
  </si>
  <si>
    <t>National Natural Science Foundation of China [42075036, 42275017]; Fujian Key Laboratory of Severe Weather [2021KFKT02]; scientific research start-up grant of Guangdong Ocean University [R20001]; Postgraduate Education Innovation Project of Guangdong Ocean University [202144, 202253]</t>
  </si>
  <si>
    <t>National Natural Science Foundation of China(National Natural Science Foundation of China (NSFC)); Fujian Key Laboratory of Severe Weather; scientific research start-up grant of Guangdong Ocean University; Postgraduate Education Innovation Project of Guangdong Ocean University</t>
  </si>
  <si>
    <t>This research was jointly funded by the National Natural Science Foundation of China (42075036, 42275017); Fujian Key Laboratory of Severe Weather (2021KFKT02); the scientific research start-up grant of Guangdong Ocean University (R20001); the Postgraduate Education Innovation Project of Guangdong Ocean University (202144, 202253).</t>
  </si>
  <si>
    <t>10.3390/atmos13101694</t>
  </si>
  <si>
    <t>5O2IF</t>
  </si>
  <si>
    <t>WOS:000872302800001</t>
  </si>
  <si>
    <t>Bamber, JL; Oppenheimer, M; Kopp, RE; Aspinall, WP; Cooke, RM</t>
  </si>
  <si>
    <t>Bamber, J. L.; Oppenheimer, M.; Kopp, R. E.; Aspinall, W. P.; Cooke, Roger M.</t>
  </si>
  <si>
    <t>Ice Sheet and Climate Processes Driving the Uncertainty in Projections of Future Sea Level Rise: Findings From a Structured Expert Judgement Approach</t>
  </si>
  <si>
    <t>ice sheets; sea level rise; expert judgement; uncertainty</t>
  </si>
  <si>
    <t>CLIFF INSTABILITY; GREENLAND; GLACIER; ANTARCTICA; COLLAPSE; MELT</t>
  </si>
  <si>
    <t>The ice sheets covering Antarctica and Greenland present the greatest uncertainty in, and largest potential contribution to, future sea level rise. The uncertainty arises from a paucity of suitable observations covering the full range of ice sheet behaviors, incomplete understanding of the influences of diverse processes, and limitations in defining key boundary conditions for the numerical models. To investigate the impact of these uncertainties on ice sheet projections we undertook a structured expert judgement study. Here, we interrogate the findings of that study to identify the dominant drivers of uncertainty in projections and their relative importance as a function of ice sheet and time. We find that for the 21st century, Greenland surface melting, in particular the role of surface albedo effects, and West Antarctic ice dynamics, specifically the role of ice shelf buttressing, dominate the uncertainty. The importance of these effects holds under both a high-end 5 degrees C global warming scenario and another that limits global warming to 2 degrees C. During the 22nd century the dominant drivers of uncertainty shift. Under the 5 degrees C scenario, East Antarctic ice dynamics dominate the uncertainty in projections, driven by the possible role of ice flow instabilities. These dynamic effects only become dominant, however, for a temperature scenario above the Paris Agreement 2 degrees C target and beyond 2100. Our findings identify key processes and factors that need to be addressed in future modeling and observational studies in order to reduce uncertainties in ice sheet projections.</t>
  </si>
  <si>
    <t>[Bamber, J. L.] Univ Bristol, Sch Geog Sci, Bristol, Avon, England; [Bamber, J. L.] Tech Univ Munich, Dept Aerosp &amp; Geodesy, Data Sci Earth Observat, Munich, Germany; [Oppenheimer, M.] Princeton Univ, Dept Geosci, Princeton, NJ 08544 USA; [Oppenheimer, M.] Princeton Univ, Sch Publ &amp; Int Affairs, Princeton, NJ 08544 USA; [Kopp, R. E.] Rutgers State Univ, Dept Earth &amp; Planetary Sci, Inst Earth Ocean &amp; Atmospher Sci, New Brunswick, NJ USA; [Aspinall, W. P.] Univ Bristol, Sch Earth Sci, Bristol, Avon, England; [Aspinall, W. P.] Aspinall &amp; Associates, Tisbury, England; [Cooke, Roger M.] Resources Future Inc, Washington, DC USA; [Cooke, Roger M.] Delft Univ Technol, Dept Math, Delft, Netherlands</t>
  </si>
  <si>
    <t>University of Bristol; Technical University of Munich; Princeton University; Princeton University; Rutgers University System; Rutgers University New Brunswick; University of Bristol; Resources for the Future; Delft University of Technology</t>
  </si>
  <si>
    <t>Bamber, JL (corresponding author), Univ Bristol, Sch Geog Sci, Bristol, Avon, England.;Bamber, JL (corresponding author), Tech Univ Munich, Dept Aerosp &amp; Geodesy, Data Sci Earth Observat, Munich, Germany.</t>
  </si>
  <si>
    <t>Kopp, Robert E/B-8822-2008; cooke, roger/AGS-4583-2022</t>
  </si>
  <si>
    <t>cooke, roger/0000-0003-0643-1971; Aspinall, Willy/0000-0001-6014-6042; Kopp, Robert/0000-0003-4016-9428; Oppenheimer, Michael/0000-0002-9708-5914</t>
  </si>
  <si>
    <t>European Research Council [694188]; German Federal Ministry of Education and Research (BMBF) [01DD20001]; Rutgers University School of Arts and Sciences; Princeton University Program on Science, Technology, and Environmental Policy; City of New York; New York City Department of Environmental Protection; European Research Council; Resources For the Future; US National Science Foundaiton (Megalopolitan Coastal Transformation Hub) [ICER-1663807, ICER-2103754]; US National Aeronautics and Space Administration [80NSSC17K0698, 80NSSC20K1724, 105393.509496.02.08.13.31]</t>
  </si>
  <si>
    <t>European Research Council(European Research Council (ERC)); German Federal Ministry of Education and Research (BMBF)(Federal Ministry of Education &amp; Research (BMBF)); Rutgers University School of Arts and Sciences; Princeton University Program on Science, Technology, and Environmental Policy; City of New York; New York City Department of Environmental Protection; European Research Council(European Research Council (ERC)); Resources For the Future; US National Science Foundaiton (Megalopolitan Coastal Transformation Hub); US National Aeronautics and Space Administration(National Aeronautics &amp; Space Administration (NASA))</t>
  </si>
  <si>
    <t>The authors would like to thank the experts for their time and commitment. They also thank R. Westaway for help drafting figures and formatting the Supporting Information S1. JLB was supported by European Research Council Grant 694188 (GlobalMass) and the German Federal Ministry of Education and Research (BMBF) in the framework of the international future AI lab AI4EO-Artificial Intelligence for Earth Observation, Grant: 01DD20001. Support for subject participation in the study was provided by the Rutgers University School of Arts and Sciences, The Princeton University Program on Science, Technology, and Environmental Policy, the City of New York, the New York City Department of Environmental Protection the European Research Council, and Resources For the Future. R.E.K. was supported in part by the US National Science Foundaiton (Grant ICER-1663807 and, as part of the Megalopolitan Coastal Transformation Hub, Grant ICER-2103754) and the US National Aeronautics and Space Administration (awards 80NSSC17K0698 and 80NSSC20K1724 and JPL task 105393.509496.02.08.13.31).</t>
  </si>
  <si>
    <t>e2022EF002772</t>
  </si>
  <si>
    <t>10.1029/2022EF002772</t>
  </si>
  <si>
    <t>5N0SK</t>
  </si>
  <si>
    <t>WOS:000871500900001</t>
  </si>
  <si>
    <t>Horlings, AN; Christianson, K; Miège, C</t>
  </si>
  <si>
    <t>Horlings, Annika N.; Christianson, Knut; Miege, Clement</t>
  </si>
  <si>
    <t>Expansion of Firn Aquifers in Southeast Greenland</t>
  </si>
  <si>
    <t>JOURNAL OF GEOPHYSICAL RESEARCH-EARTH SURFACE</t>
  </si>
  <si>
    <t>firn aquifer; firn; cold content; Greenland Ice Sheet</t>
  </si>
  <si>
    <t>MELTWATER STORAGE; ICE-SHEET; ANTARCTIC PENINSULA; MASS-BALANCE; GLACIER; FLOW</t>
  </si>
  <si>
    <t>Surface melt produces more mass loss than any other process on the Greenland Ice Sheet. In some regions of Greenland with high summer surface melt and high winter snow accumulation, the warm porous firn of the percolation zone can retain liquid meltwater through the winter. These regions of water-saturated firn, which may persist for longer than one year, are known as firn aquifers, commonly referred to as perennial firn aquifers. Here, we use airborne ice-penetrating radar data from the Center for Remote Sensing of Ice Sheets (CReSIS) to document the extent of four firn aquifers in the Helheim, Ikertivaq, and Koge Bugt glacier basins with more than six repeat radar flight lines from 1993 to 2018. All four firn aquifers first appear and/or show decadal-scale inland expansion during this time period. Through an idealized energy-balance calculation utilizing reanalysis data from the Modele Atmospherique Regionale (MAR) regional climate model, we find that these aquifer expansions are driven by decreasing cold content in the firn since the late 1990s and recently increasing high-melt years, which has reduced the firn's ability for refreezing local meltwater. High-melt years are projected to increase on the Greenland Ice Sheet and may contribute to the continued inland expansion of firn aquifers, impacting the ice sheet's surface mass balance and hydrological controls on ice dynamics.</t>
  </si>
  <si>
    <t>[Horlings, Annika N.; Christianson, Knut] Univ Washington, Dept Earth &amp; Space Sci, Seattle, WA 98195 USA; [Miege, Clement] Univ Utah, Dept Geog, Salt Lake City, UT USA</t>
  </si>
  <si>
    <t>University of Washington; University of Washington Seattle; Utah System of Higher Education; University of Utah</t>
  </si>
  <si>
    <t>Horlings, AN (corresponding author), Univ Washington, Dept Earth &amp; Space Sci, Seattle, WA 98195 USA.</t>
  </si>
  <si>
    <t>annikah2@uw.edu</t>
  </si>
  <si>
    <t>Miege, Clement/0000-0002-1894-3723</t>
  </si>
  <si>
    <t>NSF [OPP 0424589, OPP-0909499, EAGER-1311655]; NASA Operation IceBridge grant [NNX16AH54G]; University of Washington Innovation Award; NASA ESS Fellowship program [NNX11AL64H]</t>
  </si>
  <si>
    <t>NSF(National Science Foundation (NSF)); NASA Operation IceBridge grant; University of Washington Innovation Award; NASA ESS Fellowship program(National Aeronautics &amp; Space Administration (NASA))</t>
  </si>
  <si>
    <t>ANH, KC, and CM designed the study. ANH interpreted the CReSIS radar data and MAR output data with input from KC. All authors contributed to writing the manuscript. The authors are grateful to Sean O'Neil, who contributed to radar interpretation during the early part of this project. The authors also thank Nick Holschuh, Michelle Koutnik, and T.J. Fudge for comments on the manuscript draft. The authors acknowledge the use of data from CReSIS and the University of Kansas generated with support from NSF OPP 0424589 and NASA Operation IceBridge grant NNX16AH54G. The authors acknowledge Xavier Fettweis at the University of Liege for the availability of MAR output data. The authors also thank Editor Olga Sergienko and Associate Editor Paul Winberry for the handling of the manuscript, as well as the two anonymous reviewers. KC and ANH were supported by the University of Washington Innovation Award and CM was supported by NSF Grant OPP-0909499, NSF Grant EAGER-1311655, and the NASA ESS Fellowship program (NNX11AL64H).</t>
  </si>
  <si>
    <t>2169-9003</t>
  </si>
  <si>
    <t>2169-9011</t>
  </si>
  <si>
    <t>J GEOPHYS RES-EARTH</t>
  </si>
  <si>
    <t>J. Geophys. Res.-Earth Surf.</t>
  </si>
  <si>
    <t>e2022JF006753</t>
  </si>
  <si>
    <t>10.1029/2022JF006753</t>
  </si>
  <si>
    <t>5N0UJ</t>
  </si>
  <si>
    <t>WOS:000871506000001</t>
  </si>
  <si>
    <t>Engebretson, MJ; Simms, LE; Pilipenko, VA; Bouayed, L; Moldwin, MB; Weygand, JM; Hartinger, MD; Xu, ZH; Clauer, CR; Coyle, S; Willer, AN; Freeman, MP; Gerrard, AJ</t>
  </si>
  <si>
    <t>Engebretson, Mark J.; Simms, Laura E.; Pilipenko, Viacheslav A.; Bouayed, Lilia; Moldwin, Mark B.; Weygand, James M.; Hartinger, Michael D.; Xu, Zhonghua; Clauer, C. Robert; Coyle, Shane; Willer, Anna N.; Freeman, Mervyn P.; Gerrard, Andy J.</t>
  </si>
  <si>
    <t>Geomagnetic Disturbances That Cause GICs: Investigating Their Interhemispheric Conjugacy and Control by IMF Orientation</t>
  </si>
  <si>
    <t>geomagnetic disturbances; magnetic perturbation events; geomagnetically induced currents; GIC; magnetic conjugacy; substorms; geomagnetic storms</t>
  </si>
  <si>
    <t>MAGNETIC-FIELD; CURRENTS; PULSATIONS; INTENSITY; SYSTEMS</t>
  </si>
  <si>
    <t>Nearly all studies of impulsive geomagnetic disturbances (GMDs, also known as magnetic perturbation events MPEs) that can produce dangerous geomagnetically induced currents (GICs) have used data from the northern hemisphere. In this study, we investigated GMD occurrences during the first 6 months of 2016 at four magnetically conjugate high latitude station pairs using data from the Greenland West Coast magnetometer chain and from Antarctic stations in the conjugate AAL-PIP magnetometer chain. Events for statistical analysis and four case studies were selected from Greenland/AAL-PIP data by detecting the presence of &gt;6 nT/s derivatives of any component of the magnetic field at any of the station pairs. For case studies, these chains were supplemented by data from the BAS-LPM chain in Antarctica as well as Pangnirtung and South Pole in order to extend longitudinal coverage to the west. Amplitude comparisons between hemispheres showed (a) a seasonal dependence (larger in the winter hemisphere), and (b) a dependence on the sign of the By component of the interplanetary magnetic field (IMF): GMDs were larger in the north (south) when IMF By was &gt;0 (&lt;0). A majority of events occurred nearly simultaneously (to within +/- 3 min) independent of the sign of By as long as |By| &lt;= 2 |Bz|. As has been found in earlier studies, IMF Bz was &lt;0 prior to most events. When IMF data from Geotail, Themis B, and/or Themis C in the near-Earth solar wind were used to supplement the time-shifted OMNI IMF data, the consistency of these IMF orientations was improved.</t>
  </si>
  <si>
    <t>[Engebretson, Mark J.; Simms, Laura E.; Pilipenko, Viacheslav A.; Bouayed, Lilia] Augsburg Univ, Dept Phys, Minneapolis, MN 55454 USA; [Simms, Laura E.; Moldwin, Mark B.] Univ Michigan, Dept Climate &amp; Space Sci &amp; Engn, Ann Arbor, MI 48109 USA; [Pilipenko, Viacheslav A.] Space Res Inst, Moscow, Russia; [Bouayed, Lilia] Univ Minnesota, Dept Phys, Minneapolis, MN 55455 USA; [Weygand, James M.] Univ Calif Los Angeles, Dept Earth Planetary &amp; Space Sci, Los Angeles, CA USA; [Hartinger, Michael D.] Space Sci Inst, Boulder, CO USA; [Xu, Zhonghua; Clauer, C. Robert; Coyle, Shane] Virginia Polytech Inst &amp; State Univ, Bradley Dept Elect &amp; Comp Engn, Blacksburg, VA 24061 USA; [Willer, Anna N.] DTU Space, Lyngby, Denmark; [Freeman, Mervyn P.] British Antarctic Survey, Cambridge, England; [Gerrard, Andy J.] New Jersey Inst Technol, Dept Phys, Newark, NJ 07102 USA</t>
  </si>
  <si>
    <t>Augsburg University; University of Michigan System; University of Michigan; Russian Academy of Sciences; Space Research Institute of the Russian Academy of Sciences; University of Minnesota System; University of Minnesota Twin Cities; University of California System; University of California Los Angeles; Virginia Polytechnic Institute &amp; State University; Technical University of Denmark; UK Research &amp; Innovation (UKRI); Natural Environment Research Council (NERC); NERC British Antarctic Survey; New Jersey Institute of Technology</t>
  </si>
  <si>
    <t>Engebretson, MJ (corresponding author), Augsburg Univ, Dept Phys, Minneapolis, MN 55454 USA.</t>
  </si>
  <si>
    <t>engebret@augsburg.edu</t>
  </si>
  <si>
    <t>Hartinger, Michael/H-9088-2012; Freeman, Mervyn/E-5687-2019; Pilipenko, Vyacheslav/K-9747-2015; Moldwin, Mark/F-8785-2011</t>
  </si>
  <si>
    <t>Pilipenko, Vyacheslav/0000-0003-3056-7465; Xu, Zhonghua/0000-0002-3800-2162; Moldwin, Mark/0000-0003-0954-1770; Naemi Willer, Anna/0000-0002-1762-7630; Coyle, Shane/0000-0003-1730-2753</t>
  </si>
  <si>
    <t>NSF [GEO-NERC 2027190, AGS-2013648, AGS-2013433, PLR-1543364, OPP-1744828, AGS-2027210, AGS-2027168, OPP-1643700]; Natural Environment Research Council [NE/R016038/1]; NASA [80GSFC17C0018, 80NSSC18K1220, 80NSSC18K1227, 80NSSC20K1364, 80NSSC18K0570]; NERC [NE/R016038/1] Funding Source: UKRI</t>
  </si>
  <si>
    <t>NSF(National Science Foundation (NSF)); Natural Environment Research Council(UK Research &amp; Innovation (UKRI)Natural Environment Research Council (NERC)); NASA(National Aeronautics &amp; Space Administration (NASA)); NERC(UK Research &amp; Innovation (UKRI)Natural Environment Research Council (NERC))</t>
  </si>
  <si>
    <t>This research was supported by NSF Grants AGS-2013648 to Augsburg University, AGS-2013433 to the University of Michigan, PLR-1543364, OPP-1744828, AGS-2027210, and AGS-2027168 to Virginia Tech, and OPP-1643700 to the New Jersey Institute of Technology, and Natural Environment Research Council Grant NE/R016038/1 to the British Antarctic Survey. The spherical elementary currents produced by James M. Weygand were made possible by NASA Grants 80NSSC18K1220, 80NSSC18K1227, 80NSSC20K1364, 80NSSC18K0570, NASA Contract 80GSFC17C0018, and NSF GEO-NERC 2027190.</t>
  </si>
  <si>
    <t>e2022JA030580</t>
  </si>
  <si>
    <t>10.1029/2022JA030580</t>
  </si>
  <si>
    <t>5N0GM</t>
  </si>
  <si>
    <t>hybrid, Green Published</t>
  </si>
  <si>
    <t>WOS:000871469700001</t>
  </si>
  <si>
    <t>Troshichev, OA; Dolgacheva, SA; Sormakov, DA</t>
  </si>
  <si>
    <t>Troshichev, O. A.; Dolgacheva, S. A.; Sormakov, D. A.</t>
  </si>
  <si>
    <t>Comment on The Use of Invalid Polar Cap South (PCS) Indices in Publications by Stauning</t>
  </si>
  <si>
    <t>Editorial Material</t>
  </si>
  <si>
    <t>SECTOR STRUCTURE; REAL-TIME</t>
  </si>
  <si>
    <t>Declaration (Stauning, 2022, ) on invalid polar cap south (PCS) index is based on the following arguments: PCS index is calculated with use of incorrect unified PC derivation method; PCS index used in analyses is a preliminary index, which was not approved by IAGA and, therefore, it cannot be regarded as a correct index; PCN and PCS indices demonstrate, intermittently, large difference in value, which should be treated as evidence of the PCS index invalidity. The paper presents comments to these arguments. Conclusion is made that criticism of the PCS index, presented in Stauning (2022, ), is based on groundless arguments.</t>
  </si>
  <si>
    <t>[Troshichev, O. A.; Dolgacheva, S. A.; Sormakov, D. A.] Arctic &amp; Antarctic Res Inst, St Petersburg, Russia</t>
  </si>
  <si>
    <t>Troshichev, OA (corresponding author), Arctic &amp; Antarctic Res Inst, St Petersburg, Russia.</t>
  </si>
  <si>
    <t>olegtro@aari.ru</t>
  </si>
  <si>
    <t>Troshichev, Oleg/P-3848-2015; Sormakov, Dmitry/K-1695-2014</t>
  </si>
  <si>
    <t>Troshichev, Oleg/0000-0002-7887-9831; Sormakov, Dmitry/0000-0003-2829-5982</t>
  </si>
  <si>
    <t>e2022JA030820</t>
  </si>
  <si>
    <t>10.1029/2022JA030820</t>
  </si>
  <si>
    <t>5L6LY</t>
  </si>
  <si>
    <t>WOS:000870524200001</t>
  </si>
  <si>
    <t>Haeger, C; Petrunin, AG; Kaban, MK</t>
  </si>
  <si>
    <t>Haeger, C.; Petrunin, A. G.; Kaban, M. K.</t>
  </si>
  <si>
    <t>Geothermal Heat Flow and Thermal Structure of the Antarctic Lithosphere</t>
  </si>
  <si>
    <t>GEOCHEMISTRY GEOPHYSICS GEOSYSTEMS</t>
  </si>
  <si>
    <t>Antarctica; thermal model; heat flow; lithosphere-asthenosphere boundary (LAB)</t>
  </si>
  <si>
    <t>CIRCUMPOLAR DEEP-WATER; ICE-SHEET; SEISMIC VELOCITY; GREENLAND ICE; CONTINENTAL LITHOSPHERE; ASTHENOSPHERE BOUNDARY; WEST ANTARCTICA; UPPER-MANTLE; RIFT SYSTEM; CRUSTAL</t>
  </si>
  <si>
    <t>High-quality maps of Geothermal heat flow (GHF) are crucial when modeling ice dynamics, shape, and mass loss of the Antarctic Ice Sheet, which is one of the largest potential contributors to sea level rise. The determination of GHF remains challenging, as in situ data are sparse and geophysical models exhibit large discrepancies in amplitude and resolution, especially on regional scales. Using a novel approach implementing a joint inversion of gravity and seismic tomography data with various geophysical and mineral physics information, we estimate the 3D thermal lithospheric structure and present a new GHF map. The resulting surface heat flow correlates with the location of subglacial volcanism and can represent a boundary condition for accurate ice dynamics models that can explain observed acceleration in the ongoing ice mass loss. Absolute values are within the range of other seismology-based methods and are much lower than those obtained using for example, magnetic data. High uncertainties remain in the parametrization of the upper crustal structure and thermal parameters.</t>
  </si>
  <si>
    <t>[Haeger, C.; Petrunin, A. G.; Kaban, M. K.] GFZ German Res Ctr Geosci, Potsdam, Germany</t>
  </si>
  <si>
    <t>Helmholtz Association; Helmholtz-Center Potsdam GFZ German Research Center for Geosciences</t>
  </si>
  <si>
    <t>Haeger, C (corresponding author), GFZ German Res Ctr Geosci, Potsdam, Germany.</t>
  </si>
  <si>
    <t>carina.haeger@gfz-potsdam.de</t>
  </si>
  <si>
    <t>Kaban, Mikhail/ABA-7286-2020; Petrunin, Alexey/N-4247-2018</t>
  </si>
  <si>
    <t>Haeger, Carina/0000-0003-0075-3849; Petrunin, Alexey/0000-0002-5439-4178; Kaban, Mikhail/0000-0002-1864-2234</t>
  </si>
  <si>
    <t>DFG (German Research Foundation) [SPP-1788, KA2669/4-2]</t>
  </si>
  <si>
    <t>DFG (German Research Foundation)(German Research Foundation (DFG))</t>
  </si>
  <si>
    <t>This study was supported by DFG (German Research Foundation), SPP-1788 Dynamic Earth (Grant KA2669/4-2). We thank Jorg Ebbing and Karsten Gohl for their many insightful comments, corrections, and suggestions.</t>
  </si>
  <si>
    <t>1525-2027</t>
  </si>
  <si>
    <t>GEOCHEM GEOPHY GEOSY</t>
  </si>
  <si>
    <t>Geochem. Geophys. Geosyst.</t>
  </si>
  <si>
    <t>e2022GC010501</t>
  </si>
  <si>
    <t>10.1029/2022GC010501</t>
  </si>
  <si>
    <t>Geochemistry &amp; Geophysics</t>
  </si>
  <si>
    <t>5K5DB</t>
  </si>
  <si>
    <t>WOS:000869745300001</t>
  </si>
  <si>
    <t>Sedwick, PN; Sohst, BM; O'Hara, C; Stammerjohn, SE; Loose, B; Dinniman, MS; Buck, NJ; Resing, JA; Ackley, SF</t>
  </si>
  <si>
    <t>Sedwick, P. N.; Sohst, B. M.; O'Hara, C.; Stammerjohn, S. E.; Loose, B.; Dinniman, M. S.; Buck, N. J.; Resing, J. A.; Ackley, S. F.</t>
  </si>
  <si>
    <t>Seasonal Dynamics of Dissolved Iron on the Antarctic Continental Shelf: Late-Fall Observations From the Terra Nova Bay and Ross Ice Shelf Polynyas</t>
  </si>
  <si>
    <t>JOURNAL OF GEOPHYSICAL RESEARCH-OCEANS</t>
  </si>
  <si>
    <t>Ross Sea; iron; polynya; convective mixing; Shelf Water; Antarctic shelf</t>
  </si>
  <si>
    <t>SEA-ICE; SOUTHERN-OCEAN; PHYTOPLANKTON BLOOMS; CIRCUMPOLAR CURRENT; TRACE-METALS; VARIABILITY; ZINC; MANGANESE; WATER; SALINITY</t>
  </si>
  <si>
    <t>Over the Ross Sea shelf, annual primary production is limited by dissolved iron (DFe) supply. Here, a major source of DFe to surface waters is thought to be vertical resupply from the benthos, which is assumed most prevalent during winter months when katabatic winds drive sea ice formation and convective overturn in coastal polynyas, although the impact of these processes on water-column DFe distributions has not been previously documented. We collected hydrographic data and water-column samples for trace metals analysis in the Terra Nova Bay and Ross Ice Shelf polynyas during April-May 2017 (late austral fall). In the Terra Nova Bay polynya, we observed intense katabatic wind events, and surface mixed layer depths varied from similar to 250 to similar to 600 m over lateral distances &lt;10 km; there vertical mixing was just starting to excavate the dense, iron-rich Shelf Waters, and there was also evidence of DFe inputs at shallower depths in the water column. In the Ross Ice Shelf polynya, wind speeds were lower, mixed layers were &lt;300 m deep, and DFe distributions were similar to previous, late-summer observations, with concentrations elevated near the seafloor. Corresponding measurements of dissolved manganese and zinc, and particulate iron, manganese, and aluminum, suggest that deep DFe maxima and some mid-depth DFe maxima primarily reflect sedimentary inputs, rather than remineralization. Our data and model simulations imply that vertical resupply of DFe in the Ross Sea occurs mainly during mid-late winter, and may be particularly sensitive to changes in the timing and extent of sea ice production.</t>
  </si>
  <si>
    <t>[Sedwick, P. N.; Sohst, B. M.; O'Hara, C.] Old Dominion Univ, Dept Ocean &amp; Earth Sci, Norfolk, VA 23529 USA; [Stammerjohn, S. E.] Univ Colorado, Inst Arctic &amp; Alpine Res, Boulder, CO 80309 USA; [Loose, B.] Univ Rhode Isl, Grad Sch Oceanog, Narragansett, RI 02882 USA; [Dinniman, M. S.] Old Dominion Univ, Ctr Coastal Phys Oceanog, Norfolk, VA USA; [Buck, N. J.; Resing, J. A.] Univ Washington, Cooperat Inst Climate Oceans &amp; Ecosyst Studies, Seattle, WA 98195 USA; [Buck, N. J.; Resing, J. A.] NOAA, Pacific Marine Environm Lab, Seattle, WA 98115 USA; [Ackley, S. F.] Univ Texas San Antonio, Ctr Adv Measurements Extreme Environm, San Antonio, TX USA</t>
  </si>
  <si>
    <t>Old Dominion University; University of Colorado System; University of Colorado Boulder; University of Rhode Island; Old Dominion University; University of Washington; University of Washington Seattle; National Oceanic Atmospheric Admin (NOAA) - USA; University of Texas System; University of Texas at San Antonio (UTSA)</t>
  </si>
  <si>
    <t>Sedwick, PN (corresponding author), Old Dominion Univ, Dept Ocean &amp; Earth Sci, Norfolk, VA 23529 USA.</t>
  </si>
  <si>
    <t>psedwick@odu.edu</t>
  </si>
  <si>
    <t>Resing, Joseph A/J-6110-2017; Buck, Nathaniel/B-6481-2018</t>
  </si>
  <si>
    <t>Resing, Joseph A/0000-0002-7334-4176; Dinniman, Michael/0000-0001-7519-9278; STAMMERJOHN, SHARON/0000-0002-1697-8244; Ackley, Stephen/0000-0003-4399-9232; Sedwick, Peter/0000-0003-0663-8323; Buck, Nathaniel/0000-0003-4928-8079</t>
  </si>
  <si>
    <t>U.S. National Science Foundation (NSF) [1543483, 1341717]; NASA [80NSSC19M0194]; NSF [1341606, 1440435, 1643652]; NOAA-PMEL Earth Oceans Interactions Program through the University of Washington Cooperative Institute for Climate, Ocean and Ecosystem studies; Directorate For Geosciences; Office of Polar Programs (OPP) [1341606, 1543483] Funding Source: National Science Foundation; Directorate For Geosciences; Office of Polar Programs (OPP) [1643652] Funding Source: National Science Foundation</t>
  </si>
  <si>
    <t>U.S. National Science Foundation (NSF)(National Science Foundation (NSF)); NASA(National Aeronautics &amp; Space Administration (NASA)); NSF(National Science Foundation (NSF)); NOAA-PMEL Earth Oceans Interactions Program through the University of Washington Cooperative Institute for Climate, Ocean and Ecosystem studies; Directorate For Geosciences; Office of Polar Programs (OPP)(National Science Foundation (NSF)NSF - Directorate for Geosciences (GEO)); Directorate For Geosciences; Office of Polar Programs (OPP)(National Science Foundation (NSF)NSF - Directorate for Geosciences (GEO))</t>
  </si>
  <si>
    <t>The authors gratefully acknowledge the contributions of the entire PIPERS science team, the officers and crew of RVIB Nathaniel B. Palmer, and the Antarctic Support Contractor personnel. The authors also thank Susann Henkel and two anonymous reviewers, whose comments greatly improved the manuscript. This study was supported by U.S. National Science Foundation (NSF) awards 1543483 to PNS, NSF 1341717 and NASA Grant 80NSSC19M0194 to SFA, NSF 1341606 and 1440435 to SES, and NSF 1643652 to MSD; JAR and NJB were funded by NOAA-PMEL Earth Oceans Interactions Program through the University of Washington Cooperative Institute for Climate, Ocean and Ecosystem studies. This is PMEL publication number 5391 and CICOES publication number 2022-1212.</t>
  </si>
  <si>
    <t>2169-9275</t>
  </si>
  <si>
    <t>2169-9291</t>
  </si>
  <si>
    <t>J GEOPHYS RES-OCEANS</t>
  </si>
  <si>
    <t>J. Geophys. Res.-Oceans</t>
  </si>
  <si>
    <t>e2022JC018999</t>
  </si>
  <si>
    <t>10.1029/2022JC018999</t>
  </si>
  <si>
    <t>5L6CC</t>
  </si>
  <si>
    <t>WOS:000870498300001</t>
  </si>
  <si>
    <t>Stauning, P</t>
  </si>
  <si>
    <t>Stauning, P.</t>
  </si>
  <si>
    <t>Reply to Comment by Troshichev et al. on The Use of Invalid Polar Cap South (PCS) Indices in Publications</t>
  </si>
  <si>
    <t>The publication by Stauning (2022b, ): The use of invalid Polar Cap South (PCS) indices in publications. Journal of Geophysical Research: Space Physics, 127, e2022JA030355 is based on values of the PCS indices derived at the Arctic and Antarctic Research Institute (AARI) by the authors of the Comment and made available at the web portal maintained by the International Service of Geomagnetic Indices (ISGI) supported by the International Association for Geomagnetism and Aeronomy and also at the web portal maintained by AARI. One PCS version (pre-2021PCS) comprises a series of indices spanning 1997-2021 published by AARI up to December 2021 and by ISGI up to April 2022. Since no other PCS version has been in play at AARI prior to 2021, this version, labeled provisional by ISGI, was beyond doubt used in the 9 publications listed in the commented publication by Stauning (2022b, ). A modified PCS version (post-2021PCS) was published by AARI in December 2021 and recently by ISGI (May 2022). The pre-2021PCS version has been proven invalid by many examples of unfounded excessive index excursions and also by comparisons with indices of the post-2021PCS index version. Its devaluating imprints on the publications issued by AARI between 2014 and 2021 are indisputable regardless of later modifications of the PCS index series.</t>
  </si>
  <si>
    <t>[Stauning, P.] Danish Meteorol Inst, Copenhagen, Denmark</t>
  </si>
  <si>
    <t>Danish Meteorological Institute DMI</t>
  </si>
  <si>
    <t>Stauning, P (corresponding author), Danish Meteorol Inst, Copenhagen, Denmark.</t>
  </si>
  <si>
    <t>pst@dmi.dk</t>
  </si>
  <si>
    <t>Stauning, Peter/0000-0002-8804-7932</t>
  </si>
  <si>
    <t>e2022JA030856</t>
  </si>
  <si>
    <t>10.1029/2022JA030856</t>
  </si>
  <si>
    <t>5L6LF</t>
  </si>
  <si>
    <t>WOS:000870522300001</t>
  </si>
  <si>
    <t>Marín, C; Barták, M; Palfner, G; Vergara-Barros, P; Fernandoy, F; Hájek, J; Casanova-Katny, A</t>
  </si>
  <si>
    <t>Marin, Catalina; Bartak, Milos; Palfner, Gotz; Vergara-Barros, Pablo; Fernandoy, Francisco; Hajek, Josef; Casanova-Katny, Angelica</t>
  </si>
  <si>
    <t>Antarctic Lichens under Long-Term Passive Warming: Species-Specific Photochemical Responses to Desiccation and Heat Shock Treatments</t>
  </si>
  <si>
    <t>PLANTS-BASEL</t>
  </si>
  <si>
    <t>chlorophyll fluorescence; nitrogen isotope; climate change; thermal shock</t>
  </si>
  <si>
    <t>PHOTOSYNTHETIC PROCESSES; NITROGEN; TEMPERATURE; MOSSES</t>
  </si>
  <si>
    <t>Climate warming in the Antarctic tundra will affect locally dominant cryptogams. Being adapted to low temperatures and freezing, little is known about the response of the polar lichens' primary photochemistry to warming and desiccation. Since 2008, we have monitored the ecophysiological responses of lichens to the future warming scenario during a long-term warming experiment through open top chambers (OTCs) on Fildes Peninsula. We studied the primary photochemical response (potential Fv/Fm and effective efficiency of photosystem II YPSII) of different lichen taxa and morphotypes under desiccation kinetics and heat shock experiments. As lichens grow slowly, to observe changes during warming we methodologically focused on carbon and nitrogen content as well as on the stable isotope ratios. Endemic Himantormia lugubris showed the strongest effect of long-term warming on primary photochemistry, where PSII activity occurred at a lower %RWC inside the OTCs, in addition to higher Fv/Fm values at 30 degrees C in the heat shock kinetic treatment. In contrast, Usnea aurantiaco-atra did not show any effect of long-term warming but was active at a thallus RWC lower than 10%. Both Cladonia species were most affected by water stress, with Cladonia aff. gracilis showing no significant differences in primary photochemical responses between the warming and the control but a high sensibility to water deficiency, where, at 60% thallus RWC, the photochemical parameters began to decrease. We detected species-specific responses not only to long-term warming, but also to desiccation. On the other hand, the carbon content did not vary significantly among the species or because of the passive warming treatment. Similarly, the nitrogen content showed non-significant variation; however, the C/N ratio was affected, with the strongest C/N decrease in Cladonia borealis. Our results suggest that Antarctic lichens can tolerate warming and high temperature better than desiccation and that climate change may affect these species if it is associated with a decrease in water availability.</t>
  </si>
  <si>
    <t>[Marin, Catalina; Palfner, Gotz] Univ Concepcion, Fac Nat Sci &amp; Oceanog, Lab Mycol &amp; Mycorrhiza, Campus Concepcion, Concepcion 4030000, Chile; [Bartak, Milos; Hajek, Josef] Masaryk Univ, Fac Sci, Dept Expt Biol, Kamenice 5,Bldg A13-119, Brno 62500, Czech Republic; [Vergara-Barros, Pablo] Pontificia Univ Catolica Chile, Biol Sci Fac, Dept Mol Genet &amp; Microbiol, Santiago 8331150, Chile; [Fernandoy, Francisco] Andres Bello Univ, Isotope Anal Lab, Vina Del Mar 2531015, Chile; [Casanova-Katny, Angelica] Catholic Univ Temuco, Fac Nat Resources, Lab Plant Ecophysiol, Campus Luis Rivas Canto,Rudecindo Ortega 03694, Temuco 4780000, Chile</t>
  </si>
  <si>
    <t>Universidad de Concepcion; Masaryk University Brno; Pontificia Universidad Catolica de Chile; Universidad Andres Bello; Universidad Catolica de Temuco</t>
  </si>
  <si>
    <t>Casanova-Katny, A (corresponding author), Catholic Univ Temuco, Fac Nat Resources, Lab Plant Ecophysiol, Campus Luis Rivas Canto,Rudecindo Ortega 03694, Temuco 4780000, Chile.</t>
  </si>
  <si>
    <t>mcasanova@uct.cl</t>
  </si>
  <si>
    <t>Hájek, Josef/F-4694-2019; Barták, Miloš/F-4714-2019; Casanova-Katny, Angelica/M-3994-2014</t>
  </si>
  <si>
    <t>Hájek, Josef/0000-0002-2679-1707; Vergara-Barros, Pablo/0000-0001-9565-2711; Casanova-Katny, Angelica/0000-0003-3860-1445; Fernandoy, Francisco/0000-0003-2252-7746; Marin Cruz, Catalina/0000-0002-3313-916X</t>
  </si>
  <si>
    <t>Chilean Antarctic Institute (INACH) [INACH RT 2716]; National Research and Development Agency (ANID-CONICYT) [FONDECYT 1181745, ECOPOLARIS CZ.02.1.01/0.0/0.0/16_013/0001708]; Czech Antarctic Research Program; VAN [2022]</t>
  </si>
  <si>
    <t>Chilean Antarctic Institute (INACH); National Research and Development Agency (ANID-CONICYT); Czech Antarctic Research Program; VAN</t>
  </si>
  <si>
    <t>D This research was funded by Chilean Antarctic Institute (INACH), grant number INACH RT 2716 and by National Research and Development Agency (ANID-CONICYT) grant number FONDECYT 1181745; ECOPOLARIS CZ.02.1.01/0.0/0.0/16_013/0001708 and Czech Antarctic Research Program 2022 (CARP 2022, VAN 2022).</t>
  </si>
  <si>
    <t>2223-7747</t>
  </si>
  <si>
    <t>Plants-Basel</t>
  </si>
  <si>
    <t>10.3390/plants11192463</t>
  </si>
  <si>
    <t>Plant Sciences</t>
  </si>
  <si>
    <t>5H8VD</t>
  </si>
  <si>
    <t>WOS:000867949600001</t>
  </si>
  <si>
    <t>Zhang, M; Liu, SG; Bo, J; Zheng, RH; Hong, FK; Gao, FL; Miao, X; Li, H; Fang, C</t>
  </si>
  <si>
    <t>Zhang, Min; Liu, Shigang; Bo, Jun; Zheng, Ronghui; Hong, Fukun; Gao, Fulong; Miao, Xing; Li, Hai; Fang, Chao</t>
  </si>
  <si>
    <t>First Evidence of Microplastic Contamination in Antarctic Fish (Actinopterygii, Perciformes)</t>
  </si>
  <si>
    <t>microplastics; Amundsen Sea; Ross Sea; order Perciformes; risk assessment</t>
  </si>
  <si>
    <t>ROSS SEA; PLASTIC INGESTION; MARINE ORGANISMS; SURFACE WATERS; IMPACTS; NOTOTHENIOIDEI; EXTRACTION; SEDIMENTS; POLLUTION; PROTOCOL</t>
  </si>
  <si>
    <t>Microplastic (MP) pollution in Antarctica is a hot topic that has gained increasing attention in recent years. However, information regarding MP pollution in Antarctic fishes is currently very limited. The present study provides the first evidence of the occurrence and characteristics of MPs in species from five families of the order Perciformes, from the Amundsen Sea (AS) and Ross Sea (RS), Antarctica. MP abundances within the order Perciformes were at a medium level on a global scale, but were higher than those reported in other Antarctic organisms. The detection rate and abundance of MPs in the order Perciformes from the RS (50% and 1.286 items individual(-1)) were both higher than those from the AS (36% and 1.227 items individual(-1)). Moreover, the major composition and size of MPs were, respectively, polyacrylamide (PAM) and 100-200 mu m in the RS, but rayon and 500-1000 mu m in the AS. These differences may be attributed to the different onshore scientific research stations, wastewater treatment facilities, marine activities, ocean currents, and local gyres in the two sea areas. Among the five fish families, members of the Artedidraconidae ingested the smallest MPs and the highest proportion of PAM, which is probably associated with their habitat and degradation effect of unique gut microbiome. The higher hazard index of MPs in fish from the RS is due to the presence of PAM and epoxy resin, which may also have far-reaching health implications for other Antarctic organisms and humans through food web transmission. Overall, long-term monitoring of MP pollution in Antarctic fish and their surrounding marine environment is highly desirable.</t>
  </si>
  <si>
    <t>[Zhang, Min; Liu, Shigang; Bo, Jun; Zheng, Ronghui; Hong, Fukun; Gao, Fulong; Miao, Xing; Li, Hai; Fang, Chao] Minist Nat Resources, Lab Marine Biodivers, Inst Oceanog 3, Xiamen 361102, Peoples R China</t>
  </si>
  <si>
    <t>Third Institute of Oceanography, Ministry of Natural Resources; Ministry of Natural Resources of the People's Republic of China</t>
  </si>
  <si>
    <t>Fang, C (corresponding author), Minist Nat Resources, Lab Marine Biodivers, Inst Oceanog 3, Xiamen 361102, Peoples R China.</t>
  </si>
  <si>
    <t>fangchao@tio.org.cn</t>
  </si>
  <si>
    <t>Zhang, Min/IYS-4624-2023; Zhang, Min/HIA-0058-2022; Bo, Jun/ABG-7639-2020</t>
  </si>
  <si>
    <t>Bo, Jun/0000-0002-8726-1654</t>
  </si>
  <si>
    <t>Impact and Response of Antarctic Seas to Climate Change [IRASCC2020-2022-NO.01-02-02B, 02-03]; First batch of the Youth Innovation Fund Project of Xiamen in 2020 [3502Z20206099]; Natural Science Foundation of Fujian Province [2021J01506]; National Key Research and Development Program of China [2019YFD0901101]; National Natural Science Foundation of China [41977211]</t>
  </si>
  <si>
    <t>Impact and Response of Antarctic Seas to Climate Change; First batch of the Youth Innovation Fund Project of Xiamen in 2020; Natural Science Foundation of Fujian Province(Natural Science Foundation of Fujian Province); National Key Research and Development Program of China; National Natural Science Foundation of China(National Natural Science Foundation of China (NSFC))</t>
  </si>
  <si>
    <t>This research was funded by Impact and Response of Antarctic Seas to Climate Change, grant number IRASCC2020-2022-NO.01-02-02B &amp; 02-03, First batch of the Youth Innovation Fund Project of Xiamen in 2020 (grant number 3502Z20206099), Natural Science Foundation of Fujian Province (grant number 2021J01506), National Key Research and Development Program of China (grant number 2019YFD0901101), and National Natural Science Foundation of China (grant number 41977211).</t>
  </si>
  <si>
    <t>10.3390/w14193070</t>
  </si>
  <si>
    <t>5I1GO</t>
  </si>
  <si>
    <t>WOS:000868114500001</t>
  </si>
  <si>
    <t>Morozov, EG; Frey, DI; Zuev, OA; Velarde, MG; Krechik, VA; Mukhametianov, RZ</t>
  </si>
  <si>
    <t>Morozov, Eugene G.; Frey, Dmitry, I; Zuev, Oleg A.; Velarde, Manuel G.; Krechik, Viktor A.; Mukhametianov, Rinat Z.</t>
  </si>
  <si>
    <t>Hydraulically Controlled Bottom Flow in the Orkney Passage</t>
  </si>
  <si>
    <t>Orkney Passage; hydraulic control; subcritical; supercritical flows</t>
  </si>
  <si>
    <t>WEDDELL GYRE; ATLANTIC; WATER; STRAIT; DEEP; EXPORT</t>
  </si>
  <si>
    <t>Supercritical hydraulically controlled overflow of Antarctic Bottom Water from the Weddell Sea has been observed in the Orkney Passage during field measurements in February 2022. The Orkney Passage is the main pathway for the densest layer of Antarctic Bottom Water flow from the Weddell Sea to the Scotia Sea. The bottom current overflows the sill across the passage and flows down from the crest of the sill at 3600 m deeper than 4000 m. The descending flow accelerates because of the difference in the height of the sill and its foot. An estimate of the Froude number of this flow was greater than unity. Near the foot of the slope the kinetic energy of the flow becomes insufficient to continue moving in this regime. The flow slows down, and strong mixing and warming of the bottom water occurs due to the exchange with the surrounding waters. This hydrodynamic phenomenon is called supercritical hydraulically controlled flow. However, the flow of bottom water continues further and eventually fills the abyssal depths of the Atlantic.</t>
  </si>
  <si>
    <t>[Morozov, Eugene G.; Frey, Dmitry, I; Zuev, Oleg A.; Krechik, Viktor A.; Mukhametianov, Rinat Z.] Shirshov Inst Oceanol, Nakhimovsky 36, Moscow 117997, Russia; [Velarde, Manuel G.] Univ Complutense, Inst Pluridisciplinar, Paseo Juan XXIII 1, Madrid 28040, Spain; [Velarde, Manuel G.] Univ Europea, Escuela Arquitectura Ingn &amp; Diseno, Villaviciosa De Odon 28670, Spain; [Mukhametianov, Rinat Z.] Moscow Inst Phys &amp; Technol, Inst Sky Per 9, Moscow 141700, Russia</t>
  </si>
  <si>
    <t>Russian Academy of Sciences; Shirshov Institute of Oceanology; Complutense University of Madrid; Moscow Institute of Physics &amp; Technology</t>
  </si>
  <si>
    <t>Morozov, EG (corresponding author), Shirshov Inst Oceanol, Nakhimovsky 36, Moscow 117997, Russia.</t>
  </si>
  <si>
    <t>Morozov, Eugene G/L-3023-2018; Zuev, Oleg/ISA-8095-2023; VELARDE, Manuel G./H-4945-2016; Krechik, Viktor/J-9941-2016</t>
  </si>
  <si>
    <t>VELARDE, Manuel G./0000-0002-7806-8246; Morozov, Eugene/0000-0002-0251-3454; Zuev, Oleg/0000-0001-6856-4783; Frey, Dmitry/0000-0001-8141-9513; Krechik, Viktor/0000-0001-6440-060X</t>
  </si>
  <si>
    <t>Russian Science Foundation [21-77-20004]; Russian Foundation for Basic Research [20-08-00246]</t>
  </si>
  <si>
    <t>Russian Science Foundation(Russian Science Foundation (RSF)); Russian Foundation for Basic Research(Russian Foundation for Basic Research (RFBR)Spanish Government)</t>
  </si>
  <si>
    <t>The work was supported by the Russian Science Foundation grant 21-77-20004 (ship measurements). Field data processing was supported by the Russian Foundation for Basic Research grant no 20-08-00246.</t>
  </si>
  <si>
    <t>10.3390/w14193088</t>
  </si>
  <si>
    <t>5G9KI</t>
  </si>
  <si>
    <t>WOS:000867308500001</t>
  </si>
  <si>
    <t>Munari, C; Borja, A; Corinaldesi, C; Rastelli, E; Lo Martire, M; Pitacco, V; Mistri, M</t>
  </si>
  <si>
    <t>Munari, Cristina; Borja, Angel; Corinaldesi, Cinzia; Rastelli, Eugenio; Lo Martire, Marco; Pitacco, Valentina; Mistri, Michele</t>
  </si>
  <si>
    <t>First Application of the AMBI Index to the Macrobenthic Soft-Bottom Community of Terra Nova Bay (Ross Sea, Southern Ocean)</t>
  </si>
  <si>
    <t>antarctic benthos; AMBI; ecological quality assessment; Ross Sea</t>
  </si>
  <si>
    <t>MARINE ECOSYSTEM; MCMURDO-STATION; DIVERSITY; SHALLOW; ISLAND; ESTUARINE; SEDIMENTS; QUALITY; BENTHOS; IMPACT</t>
  </si>
  <si>
    <t>The assemblages of marine benthic organisms and sediment characteristics were investigated in the coastal area between the Mario Zucchelli Antarctic Research Station and Adelie Cove in Terra Nova Bay (Ross Sea, Southern Ocean) during the 2015 summer season. Sediment samples were taken from 11 stations at depths between 25 and 140 m. The dominance of sand characterised sites, and the biochemical composition of the sedimentary organic matter resulted in very variable between the different sites. A total of 142 taxa were identified, with Annelida (68 taxa) and Arthropoda (35 taxa) constituting the main macrobenthic groups. The benthic community at deeper stations showed higher species richness and lower dominance compared to the shallower stations. For the first time in Antarctica, we also investigated the response of the AZTI's Marine Biotic Index (AMBI) to the organic gradient. Of the 142 taxa found, 97 were not listed in the AMBI library, and we were able to assign as many as 88 taxa to an ecological group. All of these new species were added to the new AMBI species list. AMBI showed a good response to the organic gradient.</t>
  </si>
  <si>
    <t>[Munari, Cristina; Mistri, Michele] Univ Ferrara, Dept Chem Pharmaceut &amp; Agr Sci, Via L Borsari 46, I-44121 Ferrara, Italy; [Borja, Angel] AZTI, Marine Res Div, Portualdea S-N, Pasaia 20110, Spain; [Corinaldesi, Cinzia] Univ Politecn Marche, Dept Mat Environm Sci &amp; Urban Planning SIMAU, Via Brecce Bianche, I-60131 Ancona, Italy; [Rastelli, Eugenio] Stn Zool Anton Dohrn, Dept Marine Biotechnol, I-80121 Naples, Italy; [Lo Martire, Marco] Univ Politecn Marche, Dept Life &amp; Environm Sci, Via Brecce Bianche, I-60131 Ancona, Italy; [Pitacco, Valentina] Natl Inst Biol, Marine Biol Stn, Fornace 61, Piran 6630, Slovenia</t>
  </si>
  <si>
    <t>University of Ferrara; AZTI; Marche Polytechnic University; Stazione Zoologica Anton Dohrn di Napoli; Marche Polytechnic University; National Institute of Biology - Slovenia</t>
  </si>
  <si>
    <t>Mistri, M (corresponding author), Univ Ferrara, Dept Chem Pharmaceut &amp; Agr Sci, Via L Borsari 46, I-44121 Ferrara, Italy.</t>
  </si>
  <si>
    <t>msm@unife.it</t>
  </si>
  <si>
    <t>Borja, Angel/I-3665-2018</t>
  </si>
  <si>
    <t>Borja, Angel/0000-0003-1601-2025; Pitacco, Valentina/0000-0003-2724-2838; Mistri, michele/0000-0001-9879-8281</t>
  </si>
  <si>
    <t>Italian Ministero dell'Istruzione, dell'Universita e della Ricerca, Programma Nazionale di Ricerche in Antartide [2013/AZ1.21]</t>
  </si>
  <si>
    <t>Italian Ministero dell'Istruzione, dell'Universita e della Ricerca, Programma Nazionale di Ricerche in Antartide</t>
  </si>
  <si>
    <t>This research was funded by the Italian Ministero dell'Istruzione, dell'Universita e della Ricerca, Programma Nazionale di Ricerche in Antartide, project number 2013/AZ1.21.</t>
  </si>
  <si>
    <t>10.3390/w14192994</t>
  </si>
  <si>
    <t>5G7XY</t>
  </si>
  <si>
    <t>WOS:000867208400001</t>
  </si>
  <si>
    <t>Banks, TM; Wang, TF; Fitzgibbon, QP; Smith, GG; Ventura, T</t>
  </si>
  <si>
    <t>Banks, Thomas M.; Wang, Tianfang; Fitzgibbon, Quinn P.; Smith, Gregory G.; Ventura, Tomer</t>
  </si>
  <si>
    <t>A Tale of Two Lobsters-Transcriptomic Analysis Reveals a Potential Gap in the RNA Interference Pathway in the Tropical Rock Lobster Panulirus ornatus</t>
  </si>
  <si>
    <t>INTERNATIONAL JOURNAL OF MOLECULAR SCIENCES</t>
  </si>
  <si>
    <t>decapod crustaceans; achelata; RNA interference; gene silencing mechanism; transcriptomic analysis</t>
  </si>
  <si>
    <t>DOUBLE-STRANDED-RNA; STRUCTURAL BASIS; CRYSTAL-STRUCTURE; BINDING DOMAIN; DSRNA; DICER; GENE; MECHANISMS; R2D2; RECOGNITION</t>
  </si>
  <si>
    <t>RNA interference (RNAi) has been widely utilised in many invertebrate models since its discovery, and in a majority of instances presents as a highly efficient and potent gene silencing mechanism. This is emphasized in crustaceans with almost all taxa having the capacity to trigger effective silencing, with a notable exception in the spiny lobsters where repeated attempts at dsRNA induced RNAi have demonstrated extremely ineffective gene knockdown. A comparison of the core RNAi machinery in transcriptomic data from spiny lobsters (Panulirus ornatus) and the closely related slipper lobsters (Thenus australiensis, where silencing is highly effective) revealed that both lobsters possess all proteins involved in the small interfering and microRNA pathways, and that there was little difference at both the sequence and domain architecture level. Comparing the expression of these genes however demonstrated that T. australiensis had significantly higher expression in the transcripts encoding proteins which directly interact with dsRNA when compared to P. ornatus, validated via qPCR. These results suggest that low expression of the core RNAi genes may be hindering the silencing response in P. ornatus, and suggest that it may be critical to enhance the expression of these genes to induce efficient silencing in spiny lobsters.</t>
  </si>
  <si>
    <t>[Banks, Thomas M.; Wang, Tianfang; Ventura, Tomer] Univ Sunshine Coast, Ctr Bioinnovat, Maroochydore, Qld 4556, Australia; [Banks, Thomas M.; Wang, Tianfang; Ventura, Tomer] Univ Sunshine Coast, Sch Sci Technol &amp; Engn, Maroochydore, Qld 4556, Australia; [Fitzgibbon, Quinn P.; Smith, Gregory G.] Univ Tasmania, Inst Marine &amp; Antarctic Studies IMAS, Private Bag 49, Hobart, Tas 7001, Australia</t>
  </si>
  <si>
    <t>University of the Sunshine Coast; University of the Sunshine Coast; University of Tasmania</t>
  </si>
  <si>
    <t>Ventura, T (corresponding author), Univ Sunshine Coast, Ctr Bioinnovat, Maroochydore, Qld 4556, Australia.;Ventura, T (corresponding author), Univ Sunshine Coast, Sch Sci Technol &amp; Engn, Maroochydore, Qld 4556, Australia.</t>
  </si>
  <si>
    <t>tventura@usc.edu.au</t>
  </si>
  <si>
    <t>Wang, Tianfang/GPT-0769-2022; Ventura, T./H-9832-2019; Wang, Tianfang/L-5192-2016</t>
  </si>
  <si>
    <t>Wang, Tianfang/0000-0002-4876-7767; Ventura, T./0000-0002-0777-2367; Wang, Tianfang/0000-0002-4876-7767; Fitzgibbon, Quinn/0000-0002-1104-3052</t>
  </si>
  <si>
    <t>Australian Government; Australian Research Council [IH190100014]; Australian Research Council [IH190100014] Funding Source: Australian Research Council</t>
  </si>
  <si>
    <t>Australian Government(Australian Government); Australian Research Council(Australian Research Council); Australian Research Council(Australian Research Council)</t>
  </si>
  <si>
    <t>This work was supported by the Australian Government with funding from the Australian Research Council (http://www.arc.gov.au/, accessed on 4 July 2022) Industrial Transformation Research Hub (project number IH190100014). The views expressed herein are those of the authors and are not necessarily those of the Australian Government or Australian Research Council.</t>
  </si>
  <si>
    <t>1422-0067</t>
  </si>
  <si>
    <t>INT J MOL SCI</t>
  </si>
  <si>
    <t>Int. J. Mol. Sci.</t>
  </si>
  <si>
    <t>10.3390/ijms231911752</t>
  </si>
  <si>
    <t>Biochemistry &amp; Molecular Biology; Chemistry, Multidisciplinary</t>
  </si>
  <si>
    <t>Biochemistry &amp; Molecular Biology; Chemistry</t>
  </si>
  <si>
    <t>5H5VI</t>
  </si>
  <si>
    <t>WOS:000867746400001</t>
  </si>
  <si>
    <t>Wanarska, M; Krajewska-Przybyszewska, E; Wicka-Grochocka, M; Cieslinski, H; Pawlak-Szukalska, A; Bialkowska, AM; Turkiewicz, M; Florczak, T; Gromek, E; Krysiak, J; Filipowicz, N</t>
  </si>
  <si>
    <t>Wanarska, Marta; Krajewska-Przybyszewska, Ewelina; Wicka-Grochocka, Monika; Cieslinski, Hubert; Pawlak-Szukalska, Anna; Bialkowska, Aneta M.; Turkiewicz, Marianna; Florczak, Tomasz; Gromek, Ewa; Krysiak, Joanna; Filipowicz, Natalia</t>
  </si>
  <si>
    <t>A New Expression System Based on Psychrotolerant Debaryomyces macquariensis Yeast and Its Application to the Production of Cold-Active β-d-Galactosidase from Paracoccus sp. 32d</t>
  </si>
  <si>
    <t>Debaryomyces macquariensis strain D50; psychrotolerant yeast; host; vector expression system; constitutive GAP promoter; constitutive TEF1 promoter; CYC1 transcriptional terminator</t>
  </si>
  <si>
    <t>ELONGATION-FACTOR EF-1-ALPHA; HUMAN SERUM-ALBUMIN; ARXULA-ADENINIVORANS; PROTEIN EXPRESSION; 2 GENES; SACCHAROMYCES-CEREVISIAE; HANSENULA-POLYMORPHA; RECOMBINANT PROTEINS; RECENT ACHIEVEMENTS; SEQUENCE</t>
  </si>
  <si>
    <t>Yeasts provide attractive host/vector systems for heterologous gene expression. The currently used yeast-based expression platforms include mesophilic and thermotolerant species. A eukaryotic expression system working at low temperatures could be particularly useful for the production of thermolabile proteins and proteins that tend to form insoluble aggregates. For this purpose, an expression system based on an Antarctic psychrotolerant yeast Debaryomyces macquariensis strain D50 that is capable of growing at temperatures ranging from 0 to 30 degrees C has been developed. The optimal physical culture conditions for D. macquariensis D50 in a fermenter are as follows: temperature 20 degrees C, pH 5.5, aeration rate of 1.5 vvm, and a stirring speed of 300 rpm. Four integrative plasmid vectors equipped with an expression cassette containing the constitutive GAP promoter and CYC1 transcriptional terminator from D. macquariensis D50 were constructed and used to clone and express a gene-encoding cold-active beta-d-galactosidase of Paracoccus sp. 32d. The yield was 1150 U/L of recombinant yeast culture. Recombinant D. macquariensis D50 strains were mitotically stable under both selective and non-selective conditions. The D. macquariensis D50 host/vector system has been successfully utilized for the synthesis of heterologous thermolabile protein, and it can be an alternative to other microbial expression systems.</t>
  </si>
  <si>
    <t>[Wanarska, Marta; Krajewska-Przybyszewska, Ewelina; Wicka-Grochocka, Monika; Cieslinski, Hubert; Pawlak-Szukalska, Anna; Filipowicz, Natalia] Gdansk Univ Technol, Fac Chem, Dept Mol Biotechnol &amp; Microbiol, Narutowicza 11-12, PL-80233 Gdansk, Poland; [Bialkowska, Aneta M.; Turkiewicz, Marianna; Florczak, Tomasz; Gromek, Ewa; Krysiak, Joanna] Lodz Univ Technol, Fac Biotechnol &amp; Food Sci, Inst Mol &amp; Ind Biotechnol, Stefanowskiego 2-22, PL-90573 Lodz, Poland</t>
  </si>
  <si>
    <t>Fahrenheit Universities; Gdansk University of Technology; Lodz University of Technology</t>
  </si>
  <si>
    <t>Wanarska, M (corresponding author), Gdansk Univ Technol, Fac Chem, Dept Mol Biotechnol &amp; Microbiol, Narutowicza 11-12, PL-80233 Gdansk, Poland.</t>
  </si>
  <si>
    <t>marta.wanarska@pg.edu.pl</t>
  </si>
  <si>
    <t>Florczak, Tomasz/AAA-6516-2019</t>
  </si>
  <si>
    <t>Florczak, Tomasz/0000-0002-9111-3400</t>
  </si>
  <si>
    <t>National Centre for Research and Development of Poland [PBS1/A9/7/2012]</t>
  </si>
  <si>
    <t>National Centre for Research and Development of Poland(National Centre for Research &amp; Development, Poland)</t>
  </si>
  <si>
    <t>This research was funded by National Centre for Research and Development of Poland grant number PBS1/A9/7/2012. This article is dedicated to the memory of Jozef Kur, the originator of this research.</t>
  </si>
  <si>
    <t>10.3390/ijms231911691</t>
  </si>
  <si>
    <t>5H6AD</t>
  </si>
  <si>
    <t>WOS:000867759100001</t>
  </si>
  <si>
    <t>Jiang, D; Li, XW; Zhang, K; Marinsek, S; Hong, W; Wu, YR</t>
  </si>
  <si>
    <t>Jiang, Di; Li, Xinwu; Zhang, Ke; Marinsek, Sebastian; Hong, Wen; Wu, Yirong</t>
  </si>
  <si>
    <t>Automatic Supraglacial Lake Extraction in Greenland Using Sentinel-1 SAR Images and Attention-Based U-Net</t>
  </si>
  <si>
    <t>supraglacial lake; SAR; deep learning; Greenland</t>
  </si>
  <si>
    <t>SEASONAL EVOLUTION; ICE-SHEET; DRAINAGE; GLACIER</t>
  </si>
  <si>
    <t>With global warming, supraglacial lakes play an important role in ice sheet stability and climate change. They are not only the main factors affecting mass balance and sea-level rise but also the key units of surface runoff storage and mass loss. To automatically map the spatiotemporal distribution of supraglacial lakes in Greenland, this paper proposes an attention-based U-Net model with Sentinel-1 SAR imagery. The extraction results show that compared with the traditional network, this method obtains a higher validation coefficient, with an F1 score of 0.971, and it is spatiotemporally transferable, able to realize the extraction of supraglacial lakes in complex areas without ignoring small lakes. In addition, we conducted a case study in the Jakobshavn region and found that the supraglacial lake area peaked in advance between spring and summer due to extreme melting events from 2017 to 2021. Meanwhile, the supraglacial lakes near the 79 degrees N Glacier tended to expand inland during the melting season.</t>
  </si>
  <si>
    <t>[Jiang, Di; Li, Xinwu; Zhang, Ke; Hong, Wen; Wu, Yirong] Chinese Acad Sci, Aerosp Informat Res Inst, Beijing 100094, Peoples R China; [Jiang, Di; Hong, Wen; Wu, Yirong] Chinese Acad Sci, Key Lab Technol Geospatial Informat Proc &amp; Applic, Beijing 100190, Peoples R China; [Jiang, Di; Hong, Wen; Wu, Yirong] Univ Chinese Acad Sci, Sch Elect Elect &amp; Commun Engn, Beijing 100094, Peoples R China; [Li, Xinwu; Zhang, Ke] Chinese Acad Sci, Key Lab Digital Earth Sci, Beijing 100094, Peoples R China; [Marinsek, Sebastian] Inst Antartico Argentino, B1650HMK, Buenos Aires, Argentina</t>
  </si>
  <si>
    <t>Chinese Academy of Sciences; Aerospace Information Research Institute, CAS; Chinese Academy of Sciences; Chinese Academy of Sciences; University of Chinese Academy of Sciences, CAS; Chinese Academy of Sciences; Instituto Antartico Argentino</t>
  </si>
  <si>
    <t>Li, XW (corresponding author), Chinese Acad Sci, Aerosp Informat Res Inst, Beijing 100094, Peoples R China.;Li, XW (corresponding author), Chinese Acad Sci, Key Lab Digital Earth Sci, Beijing 100094, Peoples R China.</t>
  </si>
  <si>
    <t>lixw@aircas.ac.cn</t>
  </si>
  <si>
    <t>Zhang, Ke/0000-0003-1770-1818</t>
  </si>
  <si>
    <t>[183611KYSB20200059]</t>
  </si>
  <si>
    <t>This research was funded by Using Earth Observations to Address Ecology and Environment Change in the Pan-Antarctic Cryosphere, grant number 183611KYSB20200059.</t>
  </si>
  <si>
    <t>10.3390/rs14194998</t>
  </si>
  <si>
    <t>5G8PW</t>
  </si>
  <si>
    <t>WOS:000867255000001</t>
  </si>
  <si>
    <t>Karaev, V; Titchenko, Y; Panfilova, M; Ponur, K; Ryabkova, M; Meshkov, E; Kovaldov, D</t>
  </si>
  <si>
    <t>Karaev, Vladimir; Titchenko, Yury; Panfilova, Maria; Ponur, Kiril; Ryabkova, Maria; Meshkov, Eugeny; Kovaldov, Dmitry</t>
  </si>
  <si>
    <t>On the Problem of the Sea Ice Detection by Orbital Microwave Doppler Radar at the Nadir Sounding</t>
  </si>
  <si>
    <t>Doppler spectrum of the backscattered radar signal; sea ice; sea waves; knife-like antenna beam; kurtosis coefficient; retrieval algorithm</t>
  </si>
  <si>
    <t>MODEL FUNCTION; OCEAN; WIND; SCATTERING; CLASSIFICATION; POLARIZATION; SPECTRUM; ASCAT; BEAM</t>
  </si>
  <si>
    <t>Orbital radars are used to monitor the state of the sea ice in the Arctic and Antarctic. The backscattering radar cross section (RCS) is used to determine the type of scattering surface. The power of the reflected signal depends on many factors, so the problem of separating sea ice and sea waves is not always unambiguous. Previous research has shown that microwave Doppler radar installed on aircrafts can be used to determine the boundary of sea ice. The width of the Doppler spectrum for wide or knife-like antenna beam depends on the statistical parameters of the reflecting surface, so sea ice and sea waves are easily separated. However, when installing a Doppler radar on a satellite, the spatial resolution becomes extremely low. In this research, we discuss the possibility of improving the spatial resolution by dividing the antenna footprint into elementary scattering cells. To do this, it is proposed to use the original incoherent synthesis procedure, which allows one to determine the dependence of the RCS on the incidence angle for an elementary scattering cell. Numerical modeling was performed and processing of model data confirmed that sea ice and sea waves are separated. The coefficient of kurtosis was used as a criterion in the algorithm. In addition, for sea waves, it is possible to determine the mean square slopes (mss) of large-scale waves, compared to the electromagnetic wavelength of sea waves along the sounding direction.</t>
  </si>
  <si>
    <t>[Karaev, Vladimir; Titchenko, Yury; Panfilova, Maria; Ponur, Kiril; Ryabkova, Maria; Meshkov, Eugeny; Kovaldov, Dmitry] Russian Acad Sci IAP RAS, Inst Appl Phys, Nizhnii Novgorod 603950, Russia</t>
  </si>
  <si>
    <t>Russian Academy of Sciences; Institute of Applied Physics of the Russian Academy of Sciences</t>
  </si>
  <si>
    <t>Karaev, V (corresponding author), Russian Acad Sci IAP RAS, Inst Appl Phys, Nizhnii Novgorod 603950, Russia.</t>
  </si>
  <si>
    <t>volody@ipfran.ru</t>
  </si>
  <si>
    <t>Titchenko, Yuriy/S-7854-2016</t>
  </si>
  <si>
    <t>Titchenko, Yuriy/0000-0001-7762-7731; Karaev, Vladimir/0000-0002-4054-4905</t>
  </si>
  <si>
    <t>Russian Science Foundation [RSF 20-17-00179]</t>
  </si>
  <si>
    <t>This research was funded by Russian Science Foundation (project RSF 20-17-00179).</t>
  </si>
  <si>
    <t>10.3390/rs14194937</t>
  </si>
  <si>
    <t>5G5TU</t>
  </si>
  <si>
    <t>WOS:000867062000001</t>
  </si>
  <si>
    <t>Li, W; Xie, XK; Li, WQ; van der Meijde, M; Yan, HW; Huang, YT; Li, XT; Wang, QW</t>
  </si>
  <si>
    <t>Li, Wei; Xie, Xukang; Li, Wanqiu; van der Meijde, Mark; Yan, Haowen; Huang, Yutong; Li, Xiaotong; Wang, Qianwen</t>
  </si>
  <si>
    <t>Monitoring of Hydrological Resources in Surface Water Change by Satellite Altimetry</t>
  </si>
  <si>
    <t>satellite altimetry; hydrological resources; deep learning; improvement of fusion algorithm</t>
  </si>
  <si>
    <t>ANTARCTIC ICE-SHEET; LAKE LEVEL VARIATIONS; RADAR ALTIMETRY; MASS-LOSS; HYDRODYNAMIC MODEL; TIBETAN PLATEAU; NEURAL-NETWORKS; IN-SITU; RIVER; BASIN</t>
  </si>
  <si>
    <t>Satellite altimetry technology has unparalleled advantages in the monitoring of hydrological resources. After decades of development, satellite altimetry technology has achieved a perfect integration from the geometric research of geodesy to the natural resource monitoring research. Satellite altimetry technology has shown great potential, whether solid or liquid. In general, this paper systematically reviews the development of satellite altimetry technology, especially in terms of data availability and program practicability, and proposes a multi-source altimetry data fusion method based on deep learning. Secondly, in view of the development prospects of satellite altimetry technology, the challenges and opportunities in the monitoring application and expansion of surface water changes are sorted out. Among them, the limitations of the data and the redundancy of the program are emphasized. Finally, the fusion scheme of altimetry technology and deep learning proposed in this paper is presented. It is hoped that it can provide effective technical support for the monitoring and application research of hydrological resources.</t>
  </si>
  <si>
    <t>[Li, Wei; Xie, Xukang; Yan, Haowen; Huang, Yutong; Li, Xiaotong; Wang, Qianwen] Lanzhou Jiaotong Univ, Fac Geomat, Lanzhou 730070, Peoples R China; [Li, Wei; van der Meijde, Mark] Univ Twente, Fac Geoinformat Sci &amp; Earth Observat ITC, Dept Earth Syst Anal ESA, NL-7514 AE Enschede, Netherlands; [Li, Wei; Xie, Xukang; Yan, Haowen; Huang, Yutong; Li, Xiaotong; Wang, Qianwen] Natl Local Joint Engn Res Ctr Technol &amp; Applicat, Lanzhou 730070, Peoples R China; [Li, Wei] Hexi Univ, Sch Civil Engn, Zhangye 734000, Peoples R China; [Li, Wanqiu] Shandong Jianzhu Univ, Sch Surveying &amp; Geoinformat, Jinan 250101, Peoples R China</t>
  </si>
  <si>
    <t>Lanzhou Jiaotong University; University of Twente; Hexi University; Shandong Jianzhu University</t>
  </si>
  <si>
    <t>Li, W (corresponding author), Lanzhou Jiaotong Univ, Fac Geomat, Lanzhou 730070, Peoples R China.;Li, W (corresponding author), Univ Twente, Fac Geoinformat Sci &amp; Earth Observat ITC, Dept Earth Syst Anal ESA, NL-7514 AE Enschede, Netherlands.;Li, W (corresponding author), Natl Local Joint Engn Res Ctr Technol &amp; Applicat, Lanzhou 730070, Peoples R China.;Li, W (corresponding author), Hexi Univ, Sch Civil Engn, Zhangye 734000, Peoples R China.</t>
  </si>
  <si>
    <t>geosci.wli@lzjtu.edu.cn</t>
  </si>
  <si>
    <t>Zhang, Yuyao/KEH-7175-2024; Li, xiaotong/GYV-4890-2022; van der Meijde, Mark/D-3883-2009</t>
  </si>
  <si>
    <t>van der Meijde, Mark/0000-0002-8762-585X; li, wei/0000-0003-4335-6886</t>
  </si>
  <si>
    <t>National Natural Science Foundation of China [41861061, 41930101, 42204006]; China Postdoctoral Science Foundation [2019M660091XB]; Key Laboratory of Geography and National Condition Monitoring; Ministry of Natural Resources [2022NGCM01]; State Key Laboratory of Geo-Information Engineering and Key Laboratory of Surveying and Mapping Science and Geospatial Information Technology of MNR, CASM [2022-01-13]; Open Research Fund Program of the National Cryosphere Desert Data Center [E01Z790201/2021kf07]; Natural Science Foundation of Gansu Province [20JR10RA271, 21JR7RA317]; Young Scientific and Technological Talents Lifting Project Project of Gansu Province; Innovation and Entrepreneurship Education Reform and Cultivation Project in Gansu Province [1A50190117]; Tianyou Youth Lifting Project Program of Lanzhou Jiaotong University</t>
  </si>
  <si>
    <t>National Natural Science Foundation of China(National Natural Science Foundation of China (NSFC)); China Postdoctoral Science Foundation(China Postdoctoral Science Foundation); Key Laboratory of Geography and National Condition Monitoring; Ministry of Natural Resources; State Key Laboratory of Geo-Information Engineering and Key Laboratory of Surveying and Mapping Science and Geospatial Information Technology of MNR, CASM; Open Research Fund Program of the National Cryosphere Desert Data Center; Natural Science Foundation of Gansu Province; Young Scientific and Technological Talents Lifting Project Project of Gansu Province; Innovation and Entrepreneurship Education Reform and Cultivation Project in Gansu Province; Tianyou Youth Lifting Project Program of Lanzhou Jiaotong University</t>
  </si>
  <si>
    <t>This research was funded by the National Natural Science Foundation of China (41861061, 41930101, 42204006), the China Postdoctoral Science Foundation (2019M660091XB), the Key Laboratory of Geography and National Condition Monitoring, the Ministry of Natural Resources (2022NGCM01), the State Key Laboratory of Geo-Information Engineering and Key Laboratory of Surveying and Mapping Science and Geospatial Information Technology of MNR, CASM (2022-01-13), the Open Research Fund Program of the National Cryosphere Desert Data Center (E01Z790201/2021kf07), the Natural Science Foundation of Gansu Province (20JR10RA271, 21JR7RA317), the Young Scientific and Technological Talents Lifting Project Project of Gansu Province in 2020 (Li Wei), Tianyou Youth Lifting Project Program of Lanzhou Jiaotong University (Li Wei), and the Innovation and Entrepreneurship Education Reform and Cultivation Project in Gansu Province (1A50190117).</t>
  </si>
  <si>
    <t>10.3390/rs14194904</t>
  </si>
  <si>
    <t>5G9ST</t>
  </si>
  <si>
    <t>WOS:000867330400001</t>
  </si>
  <si>
    <t>Kim, J; Lee, SJ; Jo, E; Choi, E; Cho, M; Choi, S; Kim, JH; Park, H</t>
  </si>
  <si>
    <t>Kim, Jinmu; Lee, Seung-Jae; Jo, Euna; Choi, Eunkyung; Cho, Minjoo; Choi, Soyun; Kim, Jeong-Hoon; Park, Hyun</t>
  </si>
  <si>
    <t>Whole-Genome Survey and Microsatellite Marker Detection of Antarctic Crocodile Icefish, Chionobathyscus dewitti</t>
  </si>
  <si>
    <t>ANIMALS</t>
  </si>
  <si>
    <t>Chionobathyscus dewitti; crocodile icefish; Illumina Novaseq 6000; Jellyfish; GenomeScope; K-value; microsatellite</t>
  </si>
  <si>
    <t>NOTOTHENIOID FISH; HEMOGLOBINS; SEQUENCE</t>
  </si>
  <si>
    <t>Simple Summary Crocodile icefish inhabit the deep sea around the Southern Ocean and belong to the family Channichthyidae. The species lacks hemoglobin and has evolved an antifreeze protein, unlike other teleosts. In this study, the whole-genome survey and microsatellite motifs were analyzed, which provide relevant information on genetic diversity, population genetics, and the genomic study of crocodile icefish. The crocodile icefish, Chionobathyscus dewitti, belonging to the family Channichthyidae, is an endemic species of the Southern Ocean. The study of its biological features and genetics is challenging as the fish inhabits the deep sea around Antarctic waters. The icefish, the sole cryopelagic species, shows unique physiological and genetic features, unlike other teleosts. It lacks hemoglobin and has evolved antifreeze proteins. Here, we report the genome sequencing data of crocodile icefish produced using the Illumina Novaseq 6000 platform. The estimated genome size was 0.88 Gb with a K-value of 19, and the unique sequence, heterozygosity, error, and duplication rates were 57.4%, 0.421%, 0.317%, and 0.738%, respectively. A genome assembly of 880.69 Mb, with an N50 scaffold length of 2401 bp, was conducted. We identified 2,252,265 microsatellite motifs from the genome assembly data, and dinucleotide repeats (1,920,127; 85.25%) had the highest rate. We selected 84 primer pairs from the genome survey assembly and randomly selected 30 primer pairs for validation. As a result, 15 primer pairs were validated as microsatellite markers.</t>
  </si>
  <si>
    <t>[Kim, Jinmu; Lee, Seung-Jae; Jo, Euna; Choi, Eunkyung; Cho, Minjoo; Choi, Soyun; Park, Hyun] Korea Univ, Coll Life Sci &amp; Biotechnol, Div Biotechnol, Seoul 02841, South Korea; [Jo, Euna; Kim, Jeong-Hoon] Korea Polar Res Inst KOPRI, Incheon 21990, South Korea</t>
  </si>
  <si>
    <t>Korea University; Korea Polar Research Institute (KOPRI)</t>
  </si>
  <si>
    <t>Park, H (corresponding author), Korea Univ, Coll Life Sci &amp; Biotechnol, Div Biotechnol, Seoul 02841, South Korea.</t>
  </si>
  <si>
    <t>hpark@korea.ac.kr</t>
  </si>
  <si>
    <t>Park, Hyun Jin/HSG-6465-2023</t>
  </si>
  <si>
    <t>Park, Hyun Jin/0000-0002-2534-8519; Kim, Jinmu/0000-0003-4045-7227; Jo, Euna/0000-0003-2666-6743; Kim, Jeong-Hoon/0000-0002-2397-2668; Lee, Seungjae/0000-0002-2404-3107</t>
  </si>
  <si>
    <t>Korea Institute of Marine Science &amp; Technology Promotion (KIMST) - Ministry of Oceans and Fisheries [KIMST 20220547]; Korea University Grant</t>
  </si>
  <si>
    <t>Korea Institute of Marine Science &amp; Technology Promotion (KIMST) - Ministry of Oceans and Fisheries(Korea Institute of Marine Science &amp; Technology Promotion (KIMST)); Korea University Grant</t>
  </si>
  <si>
    <t>This work was supported by Korea Institute of Marine Science &amp; Technology Promotion (KIMST) grant funded by the Ministry of Oceans and Fisheries (KIMST 20220547) and a Korea University Grant.</t>
  </si>
  <si>
    <t>2076-2615</t>
  </si>
  <si>
    <t>ANIMALS-BASEL</t>
  </si>
  <si>
    <t>Animals</t>
  </si>
  <si>
    <t>10.3390/ani12192598</t>
  </si>
  <si>
    <t>Agriculture, Dairy &amp; Animal Science; Veterinary Sciences; Zoology</t>
  </si>
  <si>
    <t>Agriculture; Veterinary Sciences; Zoology</t>
  </si>
  <si>
    <t>5F8SW</t>
  </si>
  <si>
    <t>WOS:000866583100001</t>
  </si>
  <si>
    <t>Munakata, K; Kozai, M; Kato, C; Hayashi, Y; Kataoka, R; Kadokura, A; Tokumaru, M; Mendonça, RRS; Echer, E; Dal Lago, A; Rockenbach, M; Schuch, NJ; Bageston, JV; Braga, CR; Al Jassar, HK; Sharma, MM; Duldig, ML; Humble, JE; Sabbah, I; Evenson, P; Mangeard, PS; Kuwabara, T; Ruffolo, D; Sáiz, A; Mitthumsiri, W; Nuntiyakul, W; Kóta, J</t>
  </si>
  <si>
    <t>Munakata, K.; Kozai, M.; Kato, C.; Hayashi, Y.; Kataoka, R.; Kadokura, A.; Tokumaru, M.; Mendonca, R. R. S.; Echer, E.; Dal Lago, A.; Rockenbach, M.; Schuch, N. J.; Bageston, J., V; Braga, C. R.; Al Jassar, H. K.; Sharma, M. M.; Duldig, M. L.; Humble, J. E.; Sabbah, I; Evenson, P.; Mangeard, P-S; Kuwabara, T.; Ruffolo, D.; Saiz, A.; Mitthumsiri, W.; Nuntiyakul, W.; Kota, J.</t>
  </si>
  <si>
    <t>Large-amplitude Bidirectional Anisotropy of Cosmic-Ray Intensity Observed with Worldwide Networks of Ground-based Neutron Monitors and Muon Detectors in 2021 November</t>
  </si>
  <si>
    <t>ASTROPHYSICAL JOURNAL</t>
  </si>
  <si>
    <t>SPECTRUM</t>
  </si>
  <si>
    <t>We analyze the cosmic-ray variations during a significant Forbush decrease observed with worldwide networks of ground-based neutron monitors and muon detectors during 2021 November 3-5. Utilizing the difference between primary cosmic-ray rigidities monitored by neutron monitors and muon detectors, we deduce the rigidity spectra of the cosmic-ray density (or omnidirectional intensity) and the first- and second-order anisotropies separately for each hour of data. A clear two-step decrease is seen in the cosmic-ray density with the first similar to 2% decrease after the interplanetary shock arrival followed by the second similar to 5% decrease inside the magnetic flux rope (MFR) at 15 GV. Most strikingly, a large bidirectional streaming along the magnetic field is observed in the MFR with a peak amplitude of similar to 5% at 15 GV, which is comparable to the total density decrease inside the MFR. The bidirectional streaming could be explained by adiabatic deceleration and/or focusing in the expanding MFR, which have stronger effects for pitch angles near 90 degrees, or by selective entry of GCRs along a leg of the MFR. The peak anisotropy and density depression in the flux rope both decrease with increasing rigidity. The spectra vary dynamically, indicating that the temporal variations of density and anisotropy appear different in neutron monitor and muon detector data.</t>
  </si>
  <si>
    <t>[Munakata, K.; Kato, C.; Hayashi, Y.; Mangeard, P-S] Shinshu Univ, Dept Phys, Matsumoto, Nagano 3908621, Japan; [Kozai, M.; Kadokura, A.; Mangeard, P-S] Res Org Informat &amp; Syst, Joint Support Ctr Data Sci Res, Polar Environm Data Sci Ctr, Tachikawa, Tokyo 1900014, Japan; [Kataoka, R.; Kadokura, A.] Natl Inst Polar Res, Tachikawa, Tokyo 1908518, Japan; [Kataoka, R.; Kadokura, A.] Grad Univ Adv Studies, SOKENDAI, Sch Multidisciplinary Sci, Dept Polar Sci, Tachikawa, Tokyo 1908518, Japan; [Tokumaru, M.] Nagoya Univ, Inst Space Earth Environm Res, Nagoya, Aichi 4648601, Japan; [Mendonca, R. R. S.; Echer, E.; Dal Lago, A.; Rockenbach, M.] Natl Inst Space Res INPE, BR-12227010 Sao Jose Dos Campos, Brazil; [Schuch, N. J.; Bageston, J., V] Natl Inst Space Res, Southern Space Coordinat, POB 5021-97110-970, Santa Maria, RS, Brazil; [Braga, C. R.] George Mason Univ, 4400 Univ Dr, Fairfax, VA 22030 USA; [Al Jassar, H. K.; Sharma, M. M.] Kuwait Univ, Phys Dept, POB 5969, Safat 13060, Kuwait; [Duldig, M. L.; Humble, J. E.] Univ Tasmania, Sch Nat Sci, Hobart, Tas 7001, Australia; [Sabbah, I] Publ Author Appl Educ &amp; Training, Dept Nat Sci, Coll Hlth Sci, Kuwait 72853, Kuwait; [Evenson, P.; Kuwabara, T.] Univ Delaware, Bartol Res Inst, 217 Sharp Lab, Newark, DE 19716 USA; [Evenson, P.; Kuwabara, T.] Univ Delaware, Dept Phys &amp; Astron, 217 Sharp Lab, Newark, DE 19716 USA; [Ruffolo, D.; Saiz, A.; Mitthumsiri, W.] Mahidol Univ, Fac Sci, Dept Phys, Bangkok 10400, Thailand; [Nuntiyakul, W.] Chiang Mai Univ, Fac Sci, Dept Phys &amp; Mat Sci, Chiang Mai 50200, Thailand; [Kota, J.] Univ Arizona, Lunar &amp; Planetary Lab, Tucson, AZ 85721 USA</t>
  </si>
  <si>
    <t>Shinshu University; Research Organization of Information &amp; Systems (ROIS); Research Organization of Information &amp; Systems (ROIS); National Institute of Polar Research (NIPR) - Japan; Graduate University for Advanced Studies - Japan; Nagoya University; Instituto Nacional de Pesquisas Espaciais (INPE); Instituto Nacional de Pesquisas Espaciais (INPE); George Mason University; Kuwait University; University of Tasmania; Public Authority for Applied Education &amp; Training (PAAET) - Kuwait; University of Delaware; University of Delaware; Mahidol University; Chiang Mai University; University of Arizona</t>
  </si>
  <si>
    <t>Munakata, K (corresponding author), Shinshu Univ, Dept Phys, Matsumoto, Nagano 3908621, Japan.</t>
  </si>
  <si>
    <t>kmuna00@shinshu-u.ac.jp</t>
  </si>
  <si>
    <t>Mendonça, Rafael/J-6648-2016; Rockenbach, Marlos/C-1711-2012; KATAOKA, RYUHO/AAJ-4570-2020; Schuch, Nelson Jorge/K-9730-2015</t>
  </si>
  <si>
    <t>Duldig, Marcus/0000-0001-7463-8267; Kataoka, Ryuho/0000-0001-9400-1765; KADOKURA, AKIRA/0000-0002-6105-9562; Tokumaru, Munetoshi/0000-0002-2982-1887; /0000-0002-0417-6877; Munakata, Kazuoki/0000-0002-2131-4100; , Yuki Hayashi/0000-0002-0890-0607</t>
  </si>
  <si>
    <t>National Institute of Polar Research (NIPR) under MEXT; XN National Institute of Polar Research [AJ1007]; Institute for Space-Earth Environmental Research (ISEE); Nagoya University; Institute for Cosmic Ray Research (ICRR); University of Tokyo in Japan; ROIS (Research Organization of Information and Systems); Nagoya muon detector; INPE; UFSM; Sao Martinho da Serra muon detector; Australian Antarctic Division; Hobart muon detector; Research Administration of Kuwait University [SP01/09]; Kuwait City muon detector; Brazilian Agency-CNPq [300886/2016-0, 306995/2021-2]; FAPESP [2018/21657-1]; CNPq [PQ-301883/2019-0, 309916/2018-6]; Thailand Science Research and Innovation [RTA6280002]; Achara Seripienlert; National Astronomical Research Institute of Thailand; European Union [213007]; Grants-in-Aid for Scientific Research [22KK0049] Funding Source: KAKEN</t>
  </si>
  <si>
    <t>National Institute of Polar Research (NIPR) under MEXT; XN National Institute of Polar Research; Institute for Space-Earth Environmental Research (ISEE); Nagoya University; Institute for Cosmic Ray Research (ICRR); University of Tokyo in Japan; ROIS (Research Organization of Information and Systems); Nagoya muon detector; INPE; UFSM; Sao Martinho da Serra muon detector; Australian Antarctic Division; Hobart muon detector; Research Administration of Kuwait University; Kuwait City muon detector; Brazilian Agency-CNPq(Conselho Nacional de Desenvolvimento Cientifico e Tecnologico (CNPQ)); FAPESP(Fundacao de Amparo a Pesquisa do Estado de Sao Paulo (FAPESP)); CNPq(Conselho Nacional de Desenvolvimento Cientifico e Tecnologico (CNPQ)); Thailand Science Research and Innovation; Achara Seripienlert; National Astronomical Research Institute of Thailand; European Union(European Union (EU)); Grants-in-Aid for Scientific Research(Ministry of Education, Culture, Sports, Science and Technology, Japan (MEXT)Japan Society for the Promotion of ScienceGrants-in-Aid for Scientific Research (KAKENHI))</t>
  </si>
  <si>
    <t>This study is a part of the Science Program of Japanese Antarctic Research Expedition (JARE) Prioritized Research Project (Space environmental changes and atmospheric response explored from the polar cap), which was supported by National Institute of Polar Research (NIPR) under MEXT. It is supported in part by the joint research programs of the XN National Institute of Polar Research (AJ1007), the Institute for Space-Earth Environmental Research (ISEE), Nagoya University, and the Institute for Cosmic Ray Research (ICRR), University of Tokyo in Japan. This work is also partially supported by Strategic Research Projects grant from ROIS (Research Organization of Information and Systems). The observations are supported by Nagoya University with the Nagoya muon detector, by INPE and UFSM with the Sao Martinho da Serra muon detector, by the Australian Antarctic Division with the Hobart muon detector, and by project SP01/09 of the Research Administration of Kuwait University with the Kuwait City muon detector. N.J.S. thanks the Brazilian Agency-CNPq for the fellowship under grant number 300886/2016-0. E.E. would like to thank Brazilian funding agencies for research grants FAPESP (2018/21657-1) and CNPq (PQ-301883/2019-0). M.R. thanks the Brazilian Agency-CNPq for the fellowship under grant number 306995/2021-2. A.D.L. thanks CNPq for grant 309916/2018-6. Research in Thailand was supported by grant RTA6280002 from Thailand Science Research and Innovation. PSNM maintenance was also supported by Achara Seripienlert and the National Astronomical Research Institute of Thailand. We acknowledge the NMDB database (http://www.nmdb.eu), founded under the European Union's FP7 program (contract no. 213007) for providing data. We also gratefully acknowledge the NOAA Air Resources Laboratory (ARL) for the provision of GDAS data, which are available at READY website (http://www.ready.noaa.gov) and used in this paper. The OMNIWeb data set of the solar wind and IMF parameters is provided by the Goddard Space Flight Center, NASA, USA.</t>
  </si>
  <si>
    <t>IOP Publishing Ltd</t>
  </si>
  <si>
    <t>BRISTOL</t>
  </si>
  <si>
    <t>TEMPLE CIRCUS, TEMPLE WAY, BRISTOL BS1 6BE, ENGLAND</t>
  </si>
  <si>
    <t>0004-637X</t>
  </si>
  <si>
    <t>1538-4357</t>
  </si>
  <si>
    <t>ASTROPHYS J</t>
  </si>
  <si>
    <t>Astrophys. J.</t>
  </si>
  <si>
    <t>OCT 1</t>
  </si>
  <si>
    <t>10.3847/1538-4357/ac91c5</t>
  </si>
  <si>
    <t>5F3KQ</t>
  </si>
  <si>
    <t>WOS:000866218300001</t>
  </si>
  <si>
    <t>McCarthy, M; Meier, F; Fatichi, S; Stocker, BD; Shaw, TE; Miles, E; Dussaillant, I; Pellicciotti, F</t>
  </si>
  <si>
    <t>McCarthy, Michael; Meier, Fabienne; Fatichi, Simone; Stocker, Benjamin D.; Shaw, Thomas E.; Miles, Evan; Dussaillant, Ines; Pellicciotti, Francesca</t>
  </si>
  <si>
    <t>Glacier Contributions to River Discharge During the Current Chilean Megadrought</t>
  </si>
  <si>
    <t>glaciers; megadrought; Chile; streamflow; sustainability; water supply</t>
  </si>
  <si>
    <t>MASS-LOSS; CLIMATE; ANDES; PRECIPITATION; BASINS; RUNOFF; HYDROCLIMATE; CHALLENGES; ELEVATION; MODELS</t>
  </si>
  <si>
    <t>The current Chilean megadrought has led to acute water shortages in central Chile since 2010. Glaciers have provided vital fresh water to the region's rivers, but the quantity, timing and sustainability of that provision remain unclear. Here we combine in-situ, remote sensing and climate reanalysis data to show that from 2010 to 2018 during the megadrought, unsustainable imbalance ablation of glaciers (ablation not balanced by new snowfall) strongly buffered the late-summer discharge of the Maipo River, a primary source of water to Santiago. If there had been no glaciers, water availability would have been reduced from December through May, with a 31 +/- 19% decrease during March. Our results indicate that while the annual contributions of imbalance ablation to river discharge during the megadrought have been small compared to those from precipitation and sustainable balance ablation, they have nevertheless been a substantial input to a hydrological system that was already experiencing high water stress. The water-equivalent volume of imbalance ablation generated in the Maipo Basin between 2010 and 2018 was 740 x 10(6) m(3) (19 +/- 12 mm yr(-1)), approximately 3.4 times the capacity of the basin's El Yeso Reservoir. This is equivalent to 14% of Santiago's potable water use in that time, while total glacier ablation was equivalent to 59%. We show that glacier retreat will exacerbate river discharge deficits and further jeopardize water availability in central Chile if precipitation deficits endure, and conjecture that these effects will be amplified by climatic warming.</t>
  </si>
  <si>
    <t>[McCarthy, Michael; Meier, Fabienne; Stocker, Benjamin D.; Shaw, Thomas E.; Miles, Evan; Pellicciotti, Francesca] Snow &amp; Landscape Res WSL, Swiss Fed Res Inst Forest, Birmensdorf, Switzerland; [McCarthy, Michael] NERC, British Antarctic Survey, Cambridge, England; [Meier, Fabienne; Stocker, Benjamin D.] Swiss Fed Inst Technol, Dept Environm Syst Sci, Zurich, Switzerland; [Fatichi, Simone] Natl Univ Singapore, Dept Civil &amp; Environm Engn, Queenstown, Singapore; [Dussaillant, Ines] Univ Zurich, Glaciol &amp; Geomorphodynam, Zurich, Switzerland; [Pellicciotti, Francesca] Northumbria Univ, Dept Geog, Newcastle Upon Tyne, Tyne &amp; Wear, England</t>
  </si>
  <si>
    <t>Swiss Federal Institutes of Technology Domain; Swiss Federal Institute for Forest, Snow &amp; Landscape Research; UK Research &amp; Innovation (UKRI); Natural Environment Research Council (NERC); NERC British Antarctic Survey; Swiss Federal Institutes of Technology Domain; ETH Zurich; National University of Singapore; University of Zurich; Northumbria University</t>
  </si>
  <si>
    <t>McCarthy, M (corresponding author), Snow &amp; Landscape Res WSL, Swiss Fed Res Inst Forest, Birmensdorf, Switzerland.;McCarthy, M (corresponding author), NERC, British Antarctic Survey, Cambridge, England.</t>
  </si>
  <si>
    <t>michael.mccarthy@wsl.ch</t>
  </si>
  <si>
    <t>Stocker, Benjamin David/K-3194-2015; Miles, Evan/J-1286-2019</t>
  </si>
  <si>
    <t>Stocker, Benjamin David/0000-0003-2697-9096; Miles, Evan/0000-0001-5446-8571; McCarthy, Michael/0000-0002-4138-0578; Fatichi, Simone/0000-0003-1361-6659</t>
  </si>
  <si>
    <t>WSL programme 'Extremes' through the EMERGE project; Swiss National Science Foundation [PCEFP2_181115]; Swiss National Science Foundation (SNF) [PCEFP2_181115] Funding Source: Swiss National Science Foundation (SNF)</t>
  </si>
  <si>
    <t>WSL programme 'Extremes' through the EMERGE project; Swiss National Science Foundation(Swiss National Science Foundation (SNSF)); Swiss National Science Foundation (SNF)(Swiss National Science Foundation (SNSF))</t>
  </si>
  <si>
    <t>This study used datasets from the European Centre for Medium-Range Weather Forecasts (ECMWF), the Center for Climate and Resilience Research (CR2), the National Aeronautics and Space Administration (NASA) and the Japan Aerospace Exploration Agency (JAXA). We thank Christopher Hain and Martha Anderson for providing the ALEXI evapotranspiration data. The study was supported by the WSL programme 'Extremes' through the EMERGE project. B. D. S was funded by the Swiss National Science Foundation Grant No. PCEFP2_181115. We thank two anonymous reviewers for their comments and suggestions, which helped to improve this study.</t>
  </si>
  <si>
    <t>e2022EF002852</t>
  </si>
  <si>
    <t>10.1029/2022EF002852</t>
  </si>
  <si>
    <t>5E7IH</t>
  </si>
  <si>
    <t>Green Accepted, Green Published, gold</t>
  </si>
  <si>
    <t>WOS:000865795100001</t>
  </si>
  <si>
    <t>Willen, MO; Horwath, M; Groh, A; Helm, V; Uebbing, B; Kusche, J</t>
  </si>
  <si>
    <t>Willen, Matthias O.; Horwath, Martin; Groh, Andreas; Helm, Veit; Uebbing, Bernd; Kusche, Juergen</t>
  </si>
  <si>
    <t>Feasibility of a global inversion for spatially resolved glacial isostatic adjustment and ice sheet mass changes proven in simulation experiments</t>
  </si>
  <si>
    <t>JOURNAL OF GEODESY</t>
  </si>
  <si>
    <t>Satellite geodesy; Ice sheets; Mass balance; Glacial isostatic adjustment</t>
  </si>
  <si>
    <t>CLIMATE; GREENLAND; BALANCE; MODEL; GRAVITY</t>
  </si>
  <si>
    <t>Estimating mass changes of ice sheets or of the global ocean from satellite gravimetry strongly depends on the correction for the glacial isostatic adjustment (GIA) signal. However, geophysical GIA models are different and incompatible with observations, particularly in Antarctica. Regional inversions have resolved GIA over Antarctica without ensuring global consistency, while global inversions have been mostly constrained by a priori GIA patterns. For the first time, we set up a global inversion to simultaneously estimate ice sheet mass changes and GIA, where Antarctic GIA is spatially resolved using a set of global GIA patterns. The patterns are related to deglaciation impulses localized along a grid over Antarctica. GIA associated with four regions outside Antarctica is parametrized by global GIA patterns induced by deglaciation histories. The observations we consider here are satellite gravimetry, satellite altimetry over Antarctica and Greenland, as well as modelled firn thickness changes. Firn thickness changes are also parametrized to account for systematic errors in their modelling. Results from simulation experiments using realistic signals and error covariances support the feasibility of the approach. For example, the spatial RMS error of the estimated Antarctic GIA effect, assuming a 10-year observation period, is 31% and 51%, of the RMS of two alternative global GIA models. The integrated Antarctic GIA error is 8% and 5%, respectively, of the integrated GIA signal of the two models. For these results realistic error covariances incorporated in the parameter estimation process are essential. If error correlations are neglected, the Antarctic GIA RMS error is more than twice as large. Highlights center dot We present a globally consistent inversion approach to co-estimate glacial isostatic adjustment effects together with changes of the ice mass and firn air content in Greenland and Antarctica. center dot The inversion method utilizes data sets from satellite gravimetry, satellite altimetry, regional climate modelling, and firn modelling together with the full error-covariance information of all input data. center dot The simulation experiments show that the proposed GIA parametrization in Antarctica can resolve GIA effects unpredicted by geophysical modelling, despite realistic input-data limitations.</t>
  </si>
  <si>
    <t>[Willen, Matthias O.; Horwath, Martin; Groh, Andreas] Tech Univ Dresden, Inst Planetare Geodasie, Dresden, Germany; [Helm, Veit] Alfred Wegener Inst, Helmholtz Ctr Polar &amp; Marine Res, Bremerhaven, Germany; [Uebbing, Bernd; Kusche, Juergen] Univ Bonn, Inst Geodesy &amp; Geoinformat, Bonn, Germany</t>
  </si>
  <si>
    <t>Technische Universitat Dresden; Helmholtz Association; Alfred Wegener Institute, Helmholtz Centre for Polar &amp; Marine Research; University of Bonn</t>
  </si>
  <si>
    <t>Willen, MO (corresponding author), Tech Univ Dresden, Inst Planetare Geodasie, Dresden, Germany.</t>
  </si>
  <si>
    <t>matthias.willen@tu-dresden.de</t>
  </si>
  <si>
    <t>; Kusche, Jurgen/E-9805-2014</t>
  </si>
  <si>
    <t>Willen, Matthias/0000-0001-5226-7231; Kusche, Jurgen/0000-0001-7069-021X; Uebbing, Bernd/0000-0001-6359-4414; Helm, Veit/0000-0001-7788-9328</t>
  </si>
  <si>
    <t>Projekt DEAL</t>
  </si>
  <si>
    <t>Open Access funding enabled and organized by Projekt DEAL.</t>
  </si>
  <si>
    <t>0949-7714</t>
  </si>
  <si>
    <t>1432-1394</t>
  </si>
  <si>
    <t>J GEODESY</t>
  </si>
  <si>
    <t>J. Geodesy</t>
  </si>
  <si>
    <t>10.1007/s00190-022-01651-8</t>
  </si>
  <si>
    <t>Geochemistry &amp; Geophysics; Remote Sensing</t>
  </si>
  <si>
    <t>5E6RZ</t>
  </si>
  <si>
    <t>WOS:000865751800001</t>
  </si>
  <si>
    <t>Dong, CM; Luo, XF; Zheng, ZJ; Zhao, W; Wei, H</t>
  </si>
  <si>
    <t>Dong, Chunming; Luo, Xiaofan; Zheng, Zijia; Zhao, Wei; Wei, Hao</t>
  </si>
  <si>
    <t>Regime Shift in Annual Nitrate Concentration in the Upper Southern Chukchi Borderland Responded to the Westward Shift of the Beaufort Gyre</t>
  </si>
  <si>
    <t>nitrate concentration; Beaufort Gyre; upper layer; Chukchi Borderland; western Arctic Ocean</t>
  </si>
  <si>
    <t>WESTERN ARCTIC-OCEAN; GEOSTROPHIC CURRENTS; CANADA BASIN; NORTH-SEA; MODEL; CIRCULATION; VARIABILITY; NUTRIENT; DRIVEN; ADVECTION</t>
  </si>
  <si>
    <t>Recent strengthening and westward movement of the Beaufort Gyre (BG), along with the rapid retreat of Arctic sea ice creates a new hotspot for investigating ecosystem responses to environmental changes over the Chukchi Borderland. As an important basis for primary production, nutrient variation and its controls in this hotspot region require to be preliminarily clarified. Using a hindcast simulation of a coupled ocean-sea ice-biogeochemical model (NAPA-BGC) covering 1998-2015, this study suggests a regime shift in annual nitrate concentration in the upper southern Chukchi Borderland with the lower concentration since 2009. The relative contributions of biological and physical processes to annual nitrate variation are quantified via budget estimates. The results show a less temporally variable contribution of biological processes to nitrate variation, while the role of advection shifting from a nitrate source to a nitrate sink since 2009. This suggests physical processes mainly determine the nitrate transition in the upper southern Chukchi Borderland. Driven by the westward shift of the BG, the westward and southward expansion of the upper oligotrophic Canada Basin water narrows the pathway of nitrate-rich shelf water flowing over the Chukchi Borderland. Meanwhile, the enhanced anticyclonic velocity at the marginal BG leads to an increased westward nitrate flux across the Chukchi Borderland and decreased nitrate supply to the north. Consequently, higher nitrate concentration exists in a narrow region to the south of 75 degrees N, whereas the remaining areas have lower nitrate concentration, contributing to the overall reduction in annual averaged nitrate concentration since 2009 in the southern Chukchi Borderland.</t>
  </si>
  <si>
    <t>[Dong, Chunming; Luo, Xiaofan; Zheng, Zijia; Zhao, Wei; Wei, Hao] Tianjin Univ, Sch Marine Sci &amp; Technol, Tianjin, Peoples R China</t>
  </si>
  <si>
    <t>Tianjin University</t>
  </si>
  <si>
    <t>Luo, XF (corresponding author), Tianjin Univ, Sch Marine Sci &amp; Technol, Tianjin, Peoples R China.</t>
  </si>
  <si>
    <t>xiaofan.luo@tju.edu.cn</t>
  </si>
  <si>
    <t>Zheng, Zijia/KFP-9989-2024</t>
  </si>
  <si>
    <t>Zheng, Zijia/0000-0002-6662-708X; Wei, Hao/0000-0002-5227-8384; Dong, Chunming/0000-0002-8640-2814</t>
  </si>
  <si>
    <t>National Natural Science Foundation of China (NSFC) [41941013, 41630969, 41806225]</t>
  </si>
  <si>
    <t>National Natural Science Foundation of China (NSFC)(National Natural Science Foundation of China (NSFC))</t>
  </si>
  <si>
    <t>This study was supported by the National Natural Science Foundation of China (NSFC, Grant 41941013, 41630969 and 41806225). We are grateful to the NEMO (Nucleus for European Modeling of the Ocean) development team for providing the state-of-the-art ocean modeling framework. We thank the NOAA Physical Sciences Laboratory, the Chinese National Arctic and Antarctic Data Center, the CLIVAR and Carbon Hydrographic Data Office, the Japan Agency for Marine-Earth Science and Technology, the United States Geological Survey database, the Earth Observing Laboratory, the Russian-American Long-term Census of the Arctic, the Global Ocean Data Analysis Project, the World Data Center PANGAEA, and Stanford University for providing the precious observed data used in this paper. We also greatly thank the two anonymous reviewers for constructive suggestions on the original manuscript.</t>
  </si>
  <si>
    <t>e2022JC018846</t>
  </si>
  <si>
    <t>10.1029/2022JC018846</t>
  </si>
  <si>
    <t>5E2TB</t>
  </si>
  <si>
    <t>WOS:000865479200001</t>
  </si>
  <si>
    <t>Vanková, I; Nicholls, KW</t>
  </si>
  <si>
    <t>Vankova, Irena; Nicholls, Keith W.</t>
  </si>
  <si>
    <t>Ocean Variability Beneath the Filchner-Ronne Ice Shelf Inferred From Basal Melt Rate Time Series</t>
  </si>
  <si>
    <t>ice shelves; basal melt rate; Filchner-Ronne ice shelf; FMCW radar; ApRES; Antarctica</t>
  </si>
  <si>
    <t>ANTARCTICA; RADAR; POLYNYA; ISLAND; MODEL</t>
  </si>
  <si>
    <t>Fourteen phase-sensitive radars (ApRES) were deployed on the Filchner-Ronne Ice Shelf (FRIS) to measure variability in its basal melt rate. Melt rates from sites along the Ronne Depression vary seasonally, consistent with the dynamics of the propagation of seasonal dense water from the western ice front into the cavity. Several sites at the back of the FRIS cavity feature a signal with two seasonal maxima. Sub-ice shelf oceanographic data available from one of the sites indicate that this signal is caused by two different pathways followed by the same source water. Inter-annual variability is strongest along a direct flow pathway between western Ronne Ice Front and western Berkner Island. Highest melting occurred in 1999 and 2018, following anomalously low summer sea-ice concentrations in front of the ice shelf. Inter-annual melt rate variability at the back of the FRIS cavity is limited. If present, it is expressed as a suppression or delay in the arrival of the seasonal melt rate minimum, which can be understood in terms of inter-annual stratification changes and variable inflow pathways toward the sites. Long term mean ApRES melt rates agree with estimates from satellite data over eastern FRIS. However, the satellite estimates overstate the area of active basal freezing in the western part of the ice shelf. Furthermore, the temporal melt rate variability from the satellite estimates exaggerates the range of variability at both seasonal and inter-annual time scales with any correspondence between the in-situ and remotely derived inter-annual variability being limited to a single site.</t>
  </si>
  <si>
    <t>[Vankova, Irena; Nicholls, Keith W.] British Antarctic Survey, Nat Environm Res Council, Cambridge, England; [Vankova, Irena] Los Alamos Natl Lab, Los Alamos, NM 87545 USA</t>
  </si>
  <si>
    <t>UK Research &amp; Innovation (UKRI); Natural Environment Research Council (NERC); NERC British Antarctic Survey; United States Department of Energy (DOE); Los Alamos National Laboratory</t>
  </si>
  <si>
    <t>Vanková, I (corresponding author), British Antarctic Survey, Nat Environm Res Council, Cambridge, England.;Vanková, I (corresponding author), Los Alamos Natl Lab, Los Alamos, NM 87545 USA.</t>
  </si>
  <si>
    <t>vankova@lanl.gov</t>
  </si>
  <si>
    <t>European Union's Horizon 2020 research and innovation programme under the Marie Skodowska-Curie [790062]; NERC [NE/L013770/1]; Marie Curie Actions (MSCA) [790062] Funding Source: Marie Curie Actions (MSCA); NERC [NE/L013770/1] Funding Source: UKRI</t>
  </si>
  <si>
    <t>European Union's Horizon 2020 research and innovation programme under the Marie Skodowska-Curie(European Union (EU)); NERC(UK Research &amp; Innovation (UKRI)Natural Environment Research Council (NERC)); Marie Curie Actions (MSCA)(Marie Curie Actions); NERC(UK Research &amp; Innovation (UKRI)Natural Environment Research Council (NERC))</t>
  </si>
  <si>
    <t>This project has received funding from the European Union's Horizon 2020 research and innovation programme under the Marie Skodowska-Curie grant agreement No 790062. The ApRES data were collected as part of the NERC-funded project NE/L013770/1: Ice shelves in a warming world: Filchner Ice Shelf System (FISS), Antarctica. IV would like to thank Tom Sylvester and Andrew Van Kints for their help retrieving the ApRES data in 2022. The clarity of the paper was significantly improved thanks to the feedback of three anonymous reviewers.</t>
  </si>
  <si>
    <t>e2022JC018879</t>
  </si>
  <si>
    <t>10.1029/2022JC018879</t>
  </si>
  <si>
    <t>5E2TI</t>
  </si>
  <si>
    <t>Green Submitted, hybrid, Green Accepted</t>
  </si>
  <si>
    <t>WOS:000865479900001</t>
  </si>
  <si>
    <t>Lynch, TP; Green, M; Wong, LSC; Bessell, TJ; Cooper, A; Valentine, J; Barrett, N; Ross, DJ; McEnnulty, FR; Foster, SD</t>
  </si>
  <si>
    <t>Lynch, T. P.; Green, M.; Wong, L. S. C.; Bessell, T. J.; Cooper, A.; Valentine, J.; Barrett, N.; Ross, D. J.; McEnnulty, F. R.; Foster, S. D.</t>
  </si>
  <si>
    <t>Assessment of conservations actions for the critically endangered spotted handfish (Brachionichthyidae), following curation of data collected by multiple investigators into a long-term time-series</t>
  </si>
  <si>
    <t>JOURNAL FOR NATURE CONSERVATION</t>
  </si>
  <si>
    <t>Angler fish; Wicked problems; Monitoring; Funding</t>
  </si>
  <si>
    <t>EXTINCTION RISK; HABITAT FRAGMENTATION; FRESH-WATER; MARINE; RECOVERY; US; EUTROPHICATION; LOPHIIFORMES; ADAPTATION; IMPACTS</t>
  </si>
  <si>
    <t>Multi-decadal datasets for endangered species that track both populations and performance of management interventions are rare. One such dataset is for the critically endangered Spotted handfish, a species which has been used as a conservation model for the most endangered of the marine bony fish families the Brachionichthyidae. We assessed a 23-year, multi-site, time-series of population density surveys for the spotted handfish as well as a conservation intervention, the planting of - 14,000 artificial spawning habitats (ASH). Data ownership spanned multiple Principal Investigators (PIs) and key data and covariates, such as monitoring and interventions, were often documented within personal files and difficult to access grey literature. We consolidated and curated these data, identifying gaps in the time-series and their causes and isolating confounding factors before we assessed population trends and the effectiveness of ASH planting. Both funding gaps and the 2020 Covid-19 lockdown produced breaks in the time-series. Breeding season observations mostly occurred in the early part of the dataset and there was also a change in method that needed to be considered when interpretating the time-series. There was an overall decline in fish observed between 1997 and 2019 but, at least since 2014, there has been stabilisation of the population. Local populations of spotted handfish can either be highly dynamic or relatively stable but population increases were linked to the long-running, conservation intervention of planting ASH. As local populations can be dynamic, the functional life span of the ASH is limited and threats to the species - chronic, stochastic and climate - are ongoing, spotted handfish may be a 'conservation reliant' species that require annual site-specific monitoring, insitu interventions and existu captive husbandry.</t>
  </si>
  <si>
    <t>[Lynch, T. P.; Green, M.; Wong, L. S. C.; Bessell, T. J.; McEnnulty, F. R.] Commonwealth Sci &amp; Ind Res Org CSIRO Oceans &amp; Atm, Hobart, Tas 7000, Australia; [Wong, L. S. C.; Bessell, T. J.; Cooper, A.; Barrett, N.; Ross, D. J.] Univ Tasmania, Inst Marine &amp; Antarctic Studies IMAS, 20 Castray Esplanade, Battery Point, Tas 7000, Australia; [Valentine, J.] Aquenal, 244 Summerleas Rd, Kingston, Tas 7050, Australia; [Foster, S. D.] Commonwealth Sci &amp; Ind Res Org CSIRO Data61, Hobart, Tas 7000, Australia</t>
  </si>
  <si>
    <t>Commonwealth Scientific &amp; Industrial Research Organisation (CSIRO); University of Tasmania</t>
  </si>
  <si>
    <t>Lynch, TP (corresponding author), Commonwealth Sci &amp; Ind Res Org CSIRO Oceans &amp; Atm, Hobart, Tas 7000, Australia.</t>
  </si>
  <si>
    <t>tim.lynch@csiro.au; Mark.Green@csiro.au; lscwong@utas.edu.au; Tyson.bessell@utas.edu.au; antonia.cooper@utas.edu.au; jvalentine@aquenal.com.au; Neville.Barrett@utas.edu.au; Jeff.Ross@utas.edu.au; Felicity.Mcennulty@csiro.au; Scott.Foster@data61.csiro.au</t>
  </si>
  <si>
    <t>Barrett, Neville/J-7593-2014</t>
  </si>
  <si>
    <t>Barrett, Neville/0000-0002-6167-1356</t>
  </si>
  <si>
    <t>Commonwealth Government; CWM Environment Australia [538, 572]; CMW Department of Primary Industries and Energy; CMW Department of Environment and Heritage (DEH); CWM Caring for Our Country and TAS Derwent Estuary Program; CSIRO; CMW Office of the Threatened Species Commissioner Landcare project; Zoos and Aquarium Association; CWM Australian Government</t>
  </si>
  <si>
    <t>Commonwealth Government; CWM Environment Australia; CMW Department of Primary Industries and Energy; CMW Department of Environment and Heritage (DEH); CWM Caring for Our Country and TAS Derwent Estuary Program; CSIRO(Commonwealth Scientific &amp; Industrial Research Organisation (CSIRO)); CMW Office of the Threatened Species Commissioner Landcare project; Zoos and Aquarium Association; CWM Australian Government</t>
  </si>
  <si>
    <t>This work was funded by the Commonwealth Government's (CWM) Australian Nature Conservation Agency Endangered Species Unit (1996) ; CWM Environment Australia, Endangered Species Unit (Project No. 538) (1997) ; CMW Environment Australia, National Heritage Trust, Endangered Species Program (ESU Project 572) and CMW Department of Primary Industries and Energy: FISHCARE program (1999-2001) ; CMW Department of Environment and Heritage (DEH) , NHT/NRM and Tasmanian State Government (TAS) : DPIWE: Nature Conservation Branch (2002-2005) ; CWM Department of Environment and Heritage (DEH) , NHT/NRM and TAS Biodiversity Conservation Branch: Threatened Species Section (2006-2007) ; CWM Caring for Our Country and the TAS Derwent Estuary Program (2011-2014) ; CSIRO internal funding (2014) , co -investment funding (1997-2020) and data rescue funding (2021) ; the CMW Office of the Threatened Species Commissioner Landcare project (2015) , the Zoos and Aquarium Association (2016) and the CWM Australian Government's National Environmental Science Program Marine Biodiversity Hub and the TAS DPIPWE/Derwent Estu- ary Program (2017-2021) . We thank all the divers and surface support personnel from CSIRO, IMAS, Aquenal, Reef Life Survey and the community for field assistance during this long-term project. Recent CSIRO divers include Curt Chalk, Claire Davies, Carlie Devine, David Flynn, Alex Hormann, Chloe James, Tim Fountain, Matt Lansdell, Helen O'Neill, Leah Soo and Caroline Sutton. Rick Stuart Smith for leading helping lead the RLS volunteers and community surveys between 2011-2014. Peter Last and Dan Gled- hill provided invaluable advice on angler and handfish and Prof. Nic Bax made several useful suggestions on the draft manuscript. Thanks also to Debbie Rudd, Ashley Leeman, Alex Hulme and Lesley Giddings -Reeves from the Federal Department of Environment and Water, Andrew Crane from DPIPWE and Christine Coughanowr (DEP) for championing the development of the 2015-2021 project. The Tasmanian state gov- ernment provided ethics and research permitting for work on this en- dangered species (Ethics: AEC project number: 18/2015-16; scientific permit number TFA 16047) . We also appreciate the comments provided by Jeff Wright during the 2015 component of the project, the pioneering work by Barry Bruce on the basic biology of handfish and Skip Woolley for providing initial advice on the mixed models.</t>
  </si>
  <si>
    <t>ELSEVIER GMBH</t>
  </si>
  <si>
    <t>MUNICH</t>
  </si>
  <si>
    <t>HACKERBRUCKE 6, 80335 MUNICH, GERMANY</t>
  </si>
  <si>
    <t>1617-1381</t>
  </si>
  <si>
    <t>1618-1093</t>
  </si>
  <si>
    <t>J NAT CONSERV</t>
  </si>
  <si>
    <t>J. Nat. Conserv.</t>
  </si>
  <si>
    <t>10.1016/j.jnc.2022.126437</t>
  </si>
  <si>
    <t>5A4JO</t>
  </si>
  <si>
    <t>WOS:000862855300004</t>
  </si>
  <si>
    <t>Meyer, MG; Jones, RM; Smith, WO</t>
  </si>
  <si>
    <t>Meyer, Meredith G.; Jones, Randolph M.; Smith, Walker O., Jr.</t>
  </si>
  <si>
    <t>Quantifying Seasonal Particulate Organic Carbon Concentrations and Export Potential in the Southwestern Ross Sea Using Autonomous Gliders</t>
  </si>
  <si>
    <t>particulate organic carbon; budget; production; export; remineralization</t>
  </si>
  <si>
    <t>NET COMMUNITY PRODUCTION; PHYTOPLANKTON COMMUNITY; NORTH-ATLANTIC; VERTICAL FLUX; WATER-COLUMN; GAS-EXCHANGE; OCEAN; ANTARCTICA; MATTER; BLOOM</t>
  </si>
  <si>
    <t>To assess the temporal biological and hydrographic features of the southwestern Ross Sea, we deployed a glider in a spatially restricted, ice-free area during the austral summer (1 December-6 February), and quantified from sensor measurements the particulate organic carbon (POC; via particulate backscatter) concentrations, their changes through time, and net community production (NCP; via dissolved O-2 concentrations). The POC levels could be divided into three distinct phases (I, II, and III, respectively) characterized by changes in NCP, surface-layer POC concentrations, remineralization, and export. Surface POC concentrations increased from 215 mg C m(-3) in early December to a peak of &gt;400 mg C m(-3) by mid-December, before decreasing to 227 mg C m(-3) in late January-early February. NCP was highly variable throughout the summer, becoming maximal in mid-December. By constructing a carbon budget, we estimated rates of change of POC and export potential to the mesopelagic in each phase. Changes in euphotic zone POC concentrations and NCP suggested that the system is slightly net autotrophic during the observational period (average NCP is 0.05 g C m(-2) d(-1)), and POC removal from the top 240 m of the water column averaged 0.22 g C m(-2) d(-1). Our data confirm that the southern Ross Sea during the ice-free season is a high productivity, low export system while providing high-resolution POC dynamics that had not been previously observed. Although the Ross Sea is a site of substantial carbon fixation, there remains an incomplete understanding both of the processes involved in export and the rates and controls of remineralization.</t>
  </si>
  <si>
    <t>[Meyer, Meredith G.; Smith, Walker O., Jr.] Coll William &amp; Mary, Virginia Inst Marine Sci, Williamsburg, VA 23185 USA; [Jones, Randolph M.] Antarctic Support Contract, US Antarctic Program, Centennial, CO USA; [Smith, Walker O., Jr.] Shanghai Jiao Tong Univ, Sch Oceanog, Shanghai, Peoples R China</t>
  </si>
  <si>
    <t>William &amp; Mary; Virginia Institute of Marine Science; Shanghai Jiao Tong University</t>
  </si>
  <si>
    <t>Meyer, MG (corresponding author), Coll William &amp; Mary, Virginia Inst Marine Sci, Williamsburg, VA 23185 USA.</t>
  </si>
  <si>
    <t>mgmeyer9@email.unc.edu</t>
  </si>
  <si>
    <t>Meyer, Meredith/0000-0002-9812-2908</t>
  </si>
  <si>
    <t>US National Science Foundation [ANT 1142174]; PRC award [41876228, 41941008]</t>
  </si>
  <si>
    <t>US National Science Foundation(National Science Foundation (NSF)); PRC award</t>
  </si>
  <si>
    <t>This work was funded by a US National Science Foundation grant (ANT 1142174 to WOS) and PRC awards No. 41876228 and 41941008. We thank Dr. Rachel Stanley for helpful NCP discussions and Dr. Nathan Briggs for comments on an earlier version of this paper.</t>
  </si>
  <si>
    <t>e2022JC018798</t>
  </si>
  <si>
    <t>10.1029/2022JC018798</t>
  </si>
  <si>
    <t>5B5AM</t>
  </si>
  <si>
    <t>WOS:000863582300001</t>
  </si>
  <si>
    <t>Pitt, JPA; Bennetts, LG; Meylan, MH; Massom, RA; Toffoli, A</t>
  </si>
  <si>
    <t>Pitt, Jordan P. A.; Bennetts, Luke G.; Meylan, Michael H.; Massom, Robert A.; Toffoli, Alessandro</t>
  </si>
  <si>
    <t>Model Predictions of Wave Overwash Extent Into the Marginal Ice Zone</t>
  </si>
  <si>
    <t>overwash; waves; sea ice; marginal ice zone</t>
  </si>
  <si>
    <t>ANTARCTIC SEA-ICE; FLOATING ELASTIC DISCS; IN-SITU MEASUREMENTS; WINTER SNOW COVER; OCEAN WAVES; THICKNESS DISTRIBUTION; HYDROELASTIC RESPONSE; ATTENUATION; FLOES; WATER</t>
  </si>
  <si>
    <t>In the marginal ice zone (MIZ), where ocean waves and sea ice interact, waves can produce flows of water across ice floe surfaces in a process known as wave overwash. Overwash potentially influences wave propagation characteristics, floe thermodynamics, and floe surface biological and chemical processes. However, the extent of the MIZ affected by overwash and its dependence on prevailing wave and ice conditions is unknown. In this paper, we propose a model of overwash extent caused by irregular incoming waves into a MIZ consisting of a random floe field. We validate the overwash extent model against laboratory experiments. We use the model to study mild to extreme incoming waves to floe field characteristics of the spring-summer ice retreat and autumn-winter ice advance and with compact ice edges. Overwash is typically predicted to extend a few kilometers and is generally greater for the autumn-winter advance than the spring-summer retreat. The model predictions provide a basis for improved understanding of the impacts of ocean waves on the ice cover. We also apply the model to incoming waves and a floe field with a diffuse ice edge representative of conditions during a field experiment, predicting overwash extents up to 16 km. During the field experiment, the wave and ice floe properties were intermittently monitored by a camera system, demonstrating how the sparse field data available on overwash can be advanced.</t>
  </si>
  <si>
    <t>[Pitt, Jordan P. A.; Bennetts, Luke G.] Univ Adelaide, Sch Math Sci, Adelaide, SA, Australia; [Meylan, Michael H.] Univ Newcastle, Sch Informat &amp; Phys Sci, Callaghan, NSW, Australia; [Massom, Robert A.] Australian Antarctic Div, Kingston, Tas, Australia; [Massom, Robert A.] Univ Tasmania, Inst Marine &amp; Antarctic Studies, Australian Antarctic Program Partnership, Hobart, Tas, Australia; [Massom, Robert A.] Univ Tasmania, Australian Ctr Excellence Antarctic Sci, Hobart, Tas, Australia; [Toffoli, Alessandro] Univ Melbourne, Dept Infrastruct Engn, Parkville, Vic, Australia</t>
  </si>
  <si>
    <t>University of Adelaide; University of Newcastle; Australian Antarctic Division; University of Tasmania; University of Tasmania; University of Melbourne</t>
  </si>
  <si>
    <t>Pitt, JPA (corresponding author), Univ Adelaide, Sch Math Sci, Adelaide, SA, Australia.</t>
  </si>
  <si>
    <t>jordan.pitt@adelaide.edu.au</t>
  </si>
  <si>
    <t>Meylan, Michael/A-7341-2010; Bennetts, Luke/N-1448-2019</t>
  </si>
  <si>
    <t>Meylan, Michael/0000-0002-3164-1367; Bennetts, Luke/0000-0001-9386-7882; Pitt, Jordan/0000-0001-6160-0139; Toffoli, Alessandro/0000-0003-3112-6856</t>
  </si>
  <si>
    <t>Australian Research Council [DP200102828]; Australian Research Council mid-career fellowship [FT190100404]; Australian Antarctic Division; Australian Government's Australian Antarctic Partnership Programme; Australian Research Council Special Research Initiative Australian Centre for Excellence in Antarctic Science [SR200100008]; Australian Research Council [DP200102828] Funding Source: Australian Research Council</t>
  </si>
  <si>
    <t>Australian Research Council(Australian Research Council); Australian Research Council mid-career fellowship(Australian Research Council); Australian Antarctic Division; Australian Government's Australian Antarctic Partnership Programme; Australian Research Council Special Research Initiative Australian Centre for Excellence in Antarctic Science(Australian Research Council); Australian Research Council(Australian Research Council)</t>
  </si>
  <si>
    <t>This work is funded by the Australian Research Council (DP200102828) and contributes to Australian Antarctic Science Project AAS 4528. LGB is supported by an Australian Research Council mid-career fellowship (FT190100404). RM is supported by the Australian Antarctic Division, the Australian Government's Australian Antarctic Partnership Programme, and the Australian Research Council Special Research Initiative Australian Centre for Excellence in Antarctic Science (Project Number SR200100008). The authors thank Alberto Alberello for providing data used in Figure 11. The authors also thank Francois Petrie, Vincent Lafon, Thierry Rippol, and Alexandre Cinello (Oceanide, La Seyne Sur Mer) for helping design and conducting the experimental campaign analyzed in Section 4. Open access publishing facilitated by The University of Adelaide, as part of the Wiley -The University of Adelaide agreement via the Council of Australian University Librarians.</t>
  </si>
  <si>
    <t>e2022JC018707</t>
  </si>
  <si>
    <t>10.1029/2022JC018707</t>
  </si>
  <si>
    <t>5B4ZQ</t>
  </si>
  <si>
    <t>Green Published, Green Submitted</t>
  </si>
  <si>
    <t>WOS:000863580000001</t>
  </si>
  <si>
    <t>Smith, MM; Holland, MM; Petty, AA; Light, B; Bailey, DA</t>
  </si>
  <si>
    <t>Smith, Madison M.; Holland, Marika M.; Petty, Alek A.; Light, Bonnie; Bailey, David A.</t>
  </si>
  <si>
    <t>Effects of Increasing the Category Resolution of the Sea Ice Thickness Distribution in a Coupled Climate Model on Arctic and Antarctic Sea Ice Mean State</t>
  </si>
  <si>
    <t>sea ice; global climate model; polar oceanography; remote sensing</t>
  </si>
  <si>
    <t>VARIABILITY; SENSITIVITY; DISCRETIZATION; SIMULATIONS; STRENGTH; PHYSICS; IMPACT; SNOW</t>
  </si>
  <si>
    <t>Many modern sea ice models used in global climate models represent the subgrid-scale heterogeneity in sea ice thickness with an ice thickness distribution (ITD), which improves model realism by representing the significant impact of the high spatial heterogeneity of sea ice thickness on thermodynamic and dynamic processes. Most models default to five thickness categories. However, little has been done to explore the effects of the resolution of this distribution (number of categories) on sea-ice feedbacks in a coupled model framework and resulting representation of the sea ice mean state. Here, we explore this using sensitivity experiments in CESM2 with the standard 5 ice thickness categories and 15 ice thickness categories. Increasing the resolution of the ITD in a run with preindustrial climate forcing results in substantially thicker Arctic sea ice year-round. Analyses show that this is a result of the ITD influence on ice strength. With 15 ITD categories, weaker ice occurs for the same average thickness, resulting in a higher fraction of ridged sea ice. In contrast, the higher resolution of thin ice categories results in enhanced heat conduction and bottom growth and leads to only somewhat increased winter Antarctic sea ice volume. The spatial resolution of the ICESat-2 satellite mission provides a new opportunity to compare model outputs with observations of seasonal evolution of the ITD in the Arctic (ICESat-2; 2018-2021). Comparisons highlight significant differences from the ITD modeled with both runs over this period, likely pointing to underlying issues contributing to the representation of average thickness.</t>
  </si>
  <si>
    <t>[Smith, Madison M.] Woods Hole Oceanog Inst, Dept Appl Ocean Sci &amp; Engn, Woods Hole, MA 02543 USA; [Smith, Madison M.; Light, Bonnie] Univ Washington, Polar Sci Ctr, Appl Phys Lab, Seattle, WA 98195 USA; [Holland, Marika M.; Bailey, David A.] Natl Ctr Atmospher Res, POB 3000, Boulder, CO 80307 USA; [Petty, Alek A.] NASA, Goddard Space Flight Ctr, Cryospher Sci Lab, Greenbelt, MD USA</t>
  </si>
  <si>
    <t>Woods Hole Oceanographic Institution; University of Washington; University of Washington Seattle; National Center Atmospheric Research (NCAR) - USA; National Aeronautics &amp; Space Administration (NASA); NASA Goddard Space Flight Center</t>
  </si>
  <si>
    <t>Smith, MM (corresponding author), Woods Hole Oceanog Inst, Dept Appl Ocean Sci &amp; Engn, Woods Hole, MA 02543 USA.;Smith, MM (corresponding author), Univ Washington, Polar Sci Ctr, Appl Phys Lab, Seattle, WA 98195 USA.</t>
  </si>
  <si>
    <t>madisonmsmith@whoi.edu</t>
  </si>
  <si>
    <t>Smith, Madison/JME-8685-2023; Petty, Alek/K-1839-2014</t>
  </si>
  <si>
    <t>Bailey, David/0000-0002-6584-0663; Petty, Alek/0000-0003-0307-3216; Smith, Madison/0000-0003-2259-042X; Light, Bonnie/0000-0003-2640-5738</t>
  </si>
  <si>
    <t>National Science Foundation; NSF [1852977, OPP-1724467, OPP-1724748, OPP-2138787]; ICESat-2 Project Science Office; NCAR</t>
  </si>
  <si>
    <t>National Science Foundation(National Science Foundation (NSF)); NSF(National Science Foundation (NSF)); ICESat-2 Project Science Office; NCAR(National Science Foundation (NSF)NSF - Directorate for Geosciences (GEO))</t>
  </si>
  <si>
    <t>The CESM project is supported primarily by the National Science Foundation. Computing and data storage resources, including the Cheyenne supercomputer (https://doi.org/10.5065/D6RX99HX), were provided by the Computational and Information Systems Laboratory (CISL) at NCAR. The authors acknowledge all the scientists, software engineers, and administrators who contributed to the development of CESM2. The authors thank Bill Lipscomb for helpful conversations relating to the ITD. The authors thank the editor L. Padman and reviewers F. Massonnet and one anonymous reviewer for their feedback which helped to improve the manuscript. MMS was supported by NSF OPP-1724467 and OPP-1724748 and OPP-2138787. MMH was supported by NSF OPP-1724748. BL was supported by NSF OPP-1724467 and OPP-2138787. DAB was supported by NCAR, which is a major facility sponsored by the NSF under Cooperative Agreement no. 1852977. AAP was supported by the ICESat-2 Project Science Office.</t>
  </si>
  <si>
    <t>e2022JC019044</t>
  </si>
  <si>
    <t>10.1029/2022JC019044</t>
  </si>
  <si>
    <t>5C2RO</t>
  </si>
  <si>
    <t>WOS:000864112800001</t>
  </si>
  <si>
    <t>Xu, YY; Wanninkhof, R; Osborne, E; Baringer, M; Barbero, L; Cai, WJ; Hooper, J</t>
  </si>
  <si>
    <t>Xu, Yuan-Yuan; Wanninkhof, Rik; Osborne, Emily; Baringer, Molly; Barbero, Leticia; Cai, Wei-Jun; Hooper, James</t>
  </si>
  <si>
    <t>Inorganic Carbon Transport and Dynamics in the Florida Straits</t>
  </si>
  <si>
    <t>MERIDIONAL OVERTURNING CIRCULATION; OCEAN ACIDIFICATION; CO2; SEA; 27-DEGREES-N; SYSTEM; GAS; VARIABILITY; ALKALINITY; STATE</t>
  </si>
  <si>
    <t>Ocean heat and carbon are transported through the Florida Straits, contributing to the Atlantic Meridional Overturning Circulation, and playing an important role in climate. Insufficient observations of carbonate chemistry within the Florida Straits have limited our understanding of ocean acidification within this region. To examine carbonate chemistry and carbon transport dynamics within this region, we developed an algorithm to estimate dissolved inorganic carbon (DIC) using more routinely measured input parameters (temperature, salinity, and dissolved oxygen [DO]) and the corresponding sampling date, depth, and longitude. The developed DIC algorithm output demonstrates good agreement with limited existing in situ observations. By applying this algorithm, we developed a seasonally resolved time series of DIC spanning from 2002 to 2018 for the Florida Straits at 27 degrees N. This time series suggests that short-term variations in surface water DO and DIC were strongly influenced by the Florida Current transport. The long-term increase in DIC was mainly caused by anthropogenic carbon accumulation and DO decrease. The highest increasing rate in DIC was found in North Atlantic Central Water where DO decrease was fastest while the decreasing rate in pH was highest in Antarctic Intermediate Water (AAIW) because of the lower buffer capacity of this water mass. The long-term pH decrease, especially in AAIW, can impact the health of deep corals in the Florida Straits. Quantifying carbon transport between the coast of Florida and the Bahamas is important to understanding the carbonate chemistry dynamics and the long-term acidification of this important region.</t>
  </si>
  <si>
    <t>[Xu, Yuan-Yuan; Barbero, Leticia; Hooper, James] Univ Miami, Cooperat Inst Marine &amp; Atmospher Studies, Rosenstiel Sch Marine Atmospher &amp; Earth Sci, Miami, FL 33136 USA; [Xu, Yuan-Yuan; Wanninkhof, Rik; Osborne, Emily; Baringer, Molly; Barbero, Leticia; Hooper, James] NOAA, Atlantic Oceanog &amp; Meteorol Lab, Miami, FL 33149 USA; [Cai, Wei-Jun] Univ Delaware, Sch Marine Sci &amp; Policy, Newark, DE USA</t>
  </si>
  <si>
    <t>University of Miami; National Oceanic Atmospheric Admin (NOAA) - USA; Atlantic Oceanographic &amp; Meteorological Laboratory (AOML); University of Delaware</t>
  </si>
  <si>
    <t>Xu, YY (corresponding author), Univ Miami, Cooperat Inst Marine &amp; Atmospher Studies, Rosenstiel Sch Marine Atmospher &amp; Earth Sci, Miami, FL 33136 USA.;Xu, YY; Wanninkhof, R (corresponding author), NOAA, Atlantic Oceanog &amp; Meteorol Lab, Miami, FL 33149 USA.</t>
  </si>
  <si>
    <t>yyx@udel.edu; rik.wanninkhof@noaa.gov</t>
  </si>
  <si>
    <t>Cai, Wei-Jun/C-1361-2013; Barbero, Leticia/B-5237-2011; Baringer, Molly/D-2277-2012</t>
  </si>
  <si>
    <t>Barbero, Leticia/0000-0002-8858-5247; Baringer, Molly/0000-0002-8503-5194; Cai, Wei-Jun/0000-0003-3606-8325</t>
  </si>
  <si>
    <t>NOAA Global Ocean Monitoring and Observing (GOMO) program; NOAA Ocean Acidification Program (OAP); Cooperative Institute for Marine and Atmospheric Studies (CIMAS); Cooperative Institute of the University of Miami; National Oceanic and Atmospheric Administration [NA20OAR4320472]</t>
  </si>
  <si>
    <t>NOAA Global Ocean Monitoring and Observing (GOMO) program; NOAA Ocean Acidification Program (OAP); Cooperative Institute for Marine and Atmospheric Studies (CIMAS); Cooperative Institute of the University of Miami; National Oceanic and Atmospheric Administration(National Oceanic Atmospheric Admin (NOAA) - USA)</t>
  </si>
  <si>
    <t>We thank Dr. Fabian A. Gomez and Dr. Sang-Ki Lee for their helpful comments and suggestions on this manuscript. The authors gratefully acknowledge the NOAA Global Ocean Monitoring and Observing (GOMO) program and the NOAA Ocean Acidification Program (OAP) for support of the carbonate chemistry focused research cruises. This research was carried out in part under the auspices of the Cooperative Institute for Marine and Atmospheric Studies (CIMAS), a Cooperative Institute of the University of Miami and the National Oceanic and Atmospheric Administration, cooperative agreement #NA20OAR4320472.</t>
  </si>
  <si>
    <t>e2022JC018405</t>
  </si>
  <si>
    <t>10.1029/2022JC018405</t>
  </si>
  <si>
    <t>5D1OA</t>
  </si>
  <si>
    <t>WOS:000864718500001</t>
  </si>
  <si>
    <t>Günzkofer, F; Pokhotelov, D; Stober, G; Liu, H; Liu, HL; Mitchell, NJ; Tjulin, A; Borries, C</t>
  </si>
  <si>
    <t>Guenzkofer, F.; Pokhotelov, D.; Stober, G.; Liu, H.; Liu, H-L; Mitchell, N. J.; Tjulin, A.; Borries, C.</t>
  </si>
  <si>
    <t>Determining the Origin of Tidal Oscillations in the Ionospheric Transition Region With EISCAT Radar and Global Simulation Data</t>
  </si>
  <si>
    <t>METEOR RADAR; REANALYSIS DATA; DIURNAL TIDES; NEUTRAL WIND; MODEL; MESOSPHERE; TEMPERATURE; DYNAMICS; DENSITY; MIDDLE</t>
  </si>
  <si>
    <t>At high-latitudes, diurnal and semidiurnal variations of temperature and neutral wind velocity can originate both in the lower atmosphere (UV or infrared absorption) and in the thermosphere-ionosphere (ion convection, EUV absorption). Determining the relative impact of different forcing mechanisms gives insight to the vertical coupling in the ionosphere. We analyze measurements from the incoherent scatter radar (ISR) facility operated by the EISCAT Scientific Association. They are complemented by meteor radar data and compared to global circulation models. The amplitudes and phases of tidal oscillations are determined by an adaptive spectral filter (ASF). Measurements indicate the existence of strong semidiurnal oscillations in a two-band structure at altitudes less than or similar to 110 and greater than or similar to 130 km, respectively. Analysis of several model runs with different input settings suggest the upper band to be forced in situ while the lower band corresponds to upward-propagating tides from the lower atmosphere. This indicates the existence of an unexpectedly strong, in situ forcing mechanism for semidiurnal oscillations in the high-latitude thermosphere. It is shown that the actual transition of tides in the altitude region between 90 and 150 km is more complex than described so far.</t>
  </si>
  <si>
    <t>[Guenzkofer, F.; Pokhotelov, D.; Borries, C.] German Aerosp Ctr DLR, Inst Solar Terr Phys, Neustrelitz, Germany; [Stober, G.] Univ Bern, Inst Appl Phys, Bern, Switzerland; [Stober, G.] Univ Bern, Oeschger Ctr Climate Change Res, Microwave Phys, Bern, Switzerland; [Liu, H.] Kyushu Univ, Dept Earth &amp; Planetary Sci, Fukuoka, Japan; [Liu, H-L] Natl Ctr Atmospher Res, High Altitude Observ, Pob 3000, Boulder, CO 80307 USA; [Mitchell, N. J.] British Antarctic Survey, Cambridge, England; [Mitchell, N. J.] Univ Bath, Dept Elect &amp; Elect Engn, Bath, Avon, England; [Tjulin, A.] EISCAT Sci Assoc, Kiruna, Sweden</t>
  </si>
  <si>
    <t>Helmholtz Association; German Aerospace Centre (DLR); University of Bern; University of Bern; Kyushu University; National Center Atmospheric Research (NCAR) - USA; UK Research &amp; Innovation (UKRI); Natural Environment Research Council (NERC); NERC British Antarctic Survey; University of Bath</t>
  </si>
  <si>
    <t>Günzkofer, F (corresponding author), German Aerosp Ctr DLR, Inst Solar Terr Phys, Neustrelitz, Germany.</t>
  </si>
  <si>
    <t>florian.guenzkofer@dlr.de</t>
  </si>
  <si>
    <t>LU, lpp pp/JFJ-9011-2023; li, bo/JJC-2664-2023; Liu, Han/HMD-9231-2023; yang, yun/IZE-1092-2023; LI, XIAO/IQV-9318-2023; Yang, Ying/ADL-4165-2022; liu, huan/JKI-3764-2023; liu, xinyu/IWD-6630-2023; li, yihua/JKJ-1325-2023; zhang, shuai/IVU-7877-2023; wang, yu/IUQ-6654-2023; LIU, HAO/JBI-9623-2023; Wang, lili/IXD-9828-2023; Liu, Yilin/JWP-9153-2024; Liu, Han-Li/A-9549-2008; wang, qiang/IZW-1751-2023; QI, LIU/IQR-4870-2023; liu, huan/JEO-4705-2023; Pokhotelov, Dimitry/AAG-5627-2020; 王, 娅冰/JGE-0541-2023; Li, Guo/JNR-1700-2023; zhang, xu/JEO-4879-2023; LI, XIAO/JCE-6169-2023; , Huixin/R-8932-2016</t>
  </si>
  <si>
    <t>Liu, Han/0000-0002-5269-8477; Yang, Ying/0000-0002-3469-7681; Liu, Yilin/0000-0002-7581-3933; Pokhotelov, Dimitry/0000-0002-3712-0597; Borries, Claudia/0000-0001-9948-3353; Mitchell, Nicholas/0000-0003-1149-8484; Gunzkofer, Florian/0000-0001-6568-2995; Stober, Gunter/0000-0002-7909-6345; , Huixin/0000-0001-7073-4366; Tjulin, Anders/0000-0003-3810-2937</t>
  </si>
  <si>
    <t>China (CRIRP); Finland (SA); Japan (NIPR); Japan (ISEE); Norway (NFR); Sweden (VR); United Kingdom (UKRI); JSPS KAKENHI [18H01270, 17KK0095, 20H00197]; DFG [JPJSJPR 20181602]; Projekt DEAL; JRPs-LEAD</t>
  </si>
  <si>
    <t>China (CRIRP); Finland (SA); Japan (NIPR); Japan (ISEE); Norway (NFR)(Research Council of Norway); Sweden (VR)(Swedish Research Council); United Kingdom (UKRI)(UK Research &amp; Innovation (UKRI)); JSPS KAKENHI(Ministry of Education, Culture, Sports, Science and Technology, Japan (MEXT)Japan Society for the Promotion of ScienceGrants-in-Aid for Scientific Research (KAKENHI)); DFG(German Research Foundation (DFG)); Projekt DEAL; JRPs-LEAD</t>
  </si>
  <si>
    <t>The authors would like to acknowledge the following data sources: EISCAT is an international association supported by research organizations in China (CRIRP), Finland (SA), Japan (NIPR and ISEE), Norway (NFR), Sweden (VR), and the United Kingdom (UKRI). For this study, a data set from the Ground-to-topside model of Atmosphere and Ionosphere for Aeronomy (GAIA) project carried out by the National Institute of Information and Communications Technology (NICT), Kyushu University, and Seikei University was used. The WACCM-X model has been developed at NCAR (see https://www2.hao.ucar.edu/modeling/ waccm-x). The TIEGCM and related Thermosphere-Ionosphere models have been developed by the Atmosphere Ionosphere Magnetosphere (AIM) Section of the High Altitude Observatory (HAO) at NCAR (see https://www.hao. ucar.edu/modeling/tgcm/). The TIEGCM data was generated on the Kratos High-Performance Data Analysis Cluster (HPDA). The GSWM data has been obtained from the HAO UCAR website https://www2.hao.ucar.edu/gswm-globalscale-wave-model. H. Liu acknowledges support from JSPS KAKENHI grants 18H01270, 17KK0095, 20H00197, and JRPs-LEAD with DFG (JPJSJPR 20181602). G. Stober is a member of the Oeschger Center for Climate Change Research. Open Access funding enabled and organized by Projekt DEAL.</t>
  </si>
  <si>
    <t>e2022JA030861</t>
  </si>
  <si>
    <t>10.1029/2022JA030861</t>
  </si>
  <si>
    <t>5B5FI</t>
  </si>
  <si>
    <t>WOS:000863595000001</t>
  </si>
  <si>
    <t>Dong, Y; Armour, KC; Battisti, DS; Blanchard-Wrigglesworth, E</t>
  </si>
  <si>
    <t>Dong, Yue; Armour, Kyle C.; Battisti, David S.; Blanchard-Wrigglesworth, Edward</t>
  </si>
  <si>
    <t>Two-Way Teleconnections between the Southern Ocean and the Tropical Pacific via a Dynamic Feedback</t>
  </si>
  <si>
    <t>JOURNAL OF CLIMATE</t>
  </si>
  <si>
    <t>Pacific Ocean; Southern Ocean; Atmosphere-ocean interaction; Atmospheric circulation; Teleconnections; Climate models; Climate variability; Climate sensitivity</t>
  </si>
  <si>
    <t>SEA-SURFACE TEMPERATURE; RADIATIVE FEEDBACKS; EQUATORIAL PACIFIC; WALKER CIRCULATION; ICE TRENDS; CLIMATE SENSITIVITY; NATURAL VARIABILITY; ANNULAR MODE; MEAN-STATE; EL-NINO</t>
  </si>
  <si>
    <t>Despite substantial global mean warming, surface cooling has occurred in both the tropical eastern Pacific Ocean and the Southern Ocean over the past 40 years, influencing both regional climates and estimates of Earth's climate sensitivity to rising greenhouse gases. While a tropical influence on the extratropics has been extensively studied in the literature, here we demonstrate that the teleconnection works in the other direction as well, with the southeast Pacific sector of the Southern Ocean exerting a strong influence on the tropical eastern Pacific. Using a slab ocean model, we find that the tropical Pacific sea surface temperature (SST) response to an imposed Southern Ocean surface heat flux forcing is sensitive to the longitudinal location of that forcing, suggesting an atmospheric pathway associated with regional dynamics rather than reflecting a zonal-mean energetic constraint. The transient response shows that an imposed Southern Ocean cooling in the southeast Pacific sector first propagates into the tropics by mean-wind advection. Once tropical Pacific SSTs are perturbed, they then drive remote changes to atmospheric circulation in the extratropics that further enhance both Southern Ocean and tropical cooling. These results suggest a mutually interactive two-way teleconnection between the Southern Ocean and tropical Pacific through atmospheric circulations, and highlight potential impacts on the tropics from the extratropical climate changes over the instrumental record and in the future.</t>
  </si>
  <si>
    <t>[Dong, Yue] Columbia Univ, Lamont Doherty Earth Observ, Palisades, NY 10964 USA; [Armour, Kyle C.; Battisti, David S.; Blanchard-Wrigglesworth, Edward] Univ Washington, Dept Atmospher Sci, Seattle, WA USA; [Armour, Kyle C.] Univ Washington, Sch Oceanog, Seattle, WA USA</t>
  </si>
  <si>
    <t>Columbia University; University of Washington; University of Washington Seattle; University of Washington; University of Washington Seattle</t>
  </si>
  <si>
    <t>Dong, Y (corresponding author), Columbia Univ, Lamont Doherty Earth Observ, Palisades, NY 10964 USA.</t>
  </si>
  <si>
    <t>Battisti, David S/A-3340-2013</t>
  </si>
  <si>
    <t>Dong, Yue/0000-0001-6404-3446</t>
  </si>
  <si>
    <t>National Science Foundation [AGS-1752796]; National Oceanic and Atmospheric Administration MAPP Program [NA20OAR4310391]; Alfred P. Sloan Research Fellowship [FG-2020-13568]; National Science Foundation Antarctic Program [PLR1643436]; Tamaki Foundation</t>
  </si>
  <si>
    <t>National Science Foundation(National Science Foundation (NSF)); National Oceanic and Atmospheric Administration MAPP Program(National Oceanic Atmospheric Admin (NOAA) - USA); Alfred P. Sloan Research Fellowship(Alfred P. Sloan Foundation); National Science Foundation Antarctic Program; Tamaki Foundation</t>
  </si>
  <si>
    <t>We thank Aaron Levine for providing CCSM4 flux-correction simulations, Shaina Sadai for sharing CESM1 meltwater hosing simulations, and Xiyue Zhang for sharing CESM1 Southern Ocean pacemaker simulations. We thank Cecilia Bitz and Sarah Kang for insightful discussions. YD and KCA were supported by National Science Foundation Grant AGS-1752796 and the National Oceanic and Atmospheric Administration MAPP Program (Award NA20OAR4310391). KCA was supported by an Alfred P. Sloan Research Fellowship (Grant FG-2020-13568). EBW was supported by National Science Foundation Antarctic Program PLR1643436. YD and DSB were supported by the Tamaki Foundation.</t>
  </si>
  <si>
    <t>0894-8755</t>
  </si>
  <si>
    <t>1520-0442</t>
  </si>
  <si>
    <t>J CLIMATE</t>
  </si>
  <si>
    <t>J. Clim.</t>
  </si>
  <si>
    <t>10.1175/JCLI-D-22-0080.1</t>
  </si>
  <si>
    <t>4X6NE</t>
  </si>
  <si>
    <t>WOS:000860956000003</t>
  </si>
  <si>
    <t>Kurazhkovskaya, NA; Klain, BI</t>
  </si>
  <si>
    <t>Kurazhkovskaya, N. A.; Klain, B., I</t>
  </si>
  <si>
    <t>The Effect of Interruption of Serpentine Emission (SE) in the Polar Cap during Geomagnetic Storm Sudden Commencements (SSC)</t>
  </si>
  <si>
    <t>GEOMAGNETISM AND AERONOMY</t>
  </si>
  <si>
    <t>FREQUENCY-MODULATION; PLASMA BETA; SOLAR; PULSATIONS; RECONNECTION</t>
  </si>
  <si>
    <t>The behavior of the carrier frequency of electromagnetic emission in a range of 0.1-5 Hz of the serpentine emission (SE) type, which is observed in the polar cap region during geomagnetic storm sudden commencements (SSC), is studied. The unique analog magnetic records of the Vostok Antarctic observatory (corrected geomagnetic coordinates phi' = -85.41 degrees, ?' = 69.01 degrees), which have been digitized at high resolution (20 Hz) and are freely available on the website of the World Data Center for the Solar-Terrestrial Physics, Moscow, are used for the analysis. It is found that at the time of SSC at the Vostok observatory, a noise broadband electromagnetic emission was observed in the Pc1-2 range with a sharp edge, which led to a violation of the SE generation mode. The disruption of the SE excitation manifested itself in the interruption of the carrier frequency of emission with the subsequent renewal. In this paper, 92 cases of SSC observations were studied, for which the SE recording data were available. The effect of SE interruption during SSC was noted in more than 80% of cases, regardless of the fact whether or not a geomagnetic storm subsequently developed and of the storm intensity. The serpentine emission that lasted continuously for hours and even days was interrupted at the SSC moment in the dominant number of cases for approximately 2-3 h, which is significantly less than the average duration of the main phase and the duration of the storm itself. It is shown that the SE carrier frequency gradually decreased approximately 2 h before the SSC moment. It is assumed that an interplanetary disturbance, following the shock wave front, excites a broadband noise emission in the polar cap, which violates the SE generation mode.</t>
  </si>
  <si>
    <t>[Kurazhkovskaya, N. A.; Klain, B., I] Russian Acad Sci, Branch Schmidt Inst Phys Earth, Borok Geophys Observ, Borok 152742, Yaroslavle Obla, Russia</t>
  </si>
  <si>
    <t>Russian Academy of Sciences; Schmidt Institute of Physics of the Earth of the Russian Academy of Sciences</t>
  </si>
  <si>
    <t>Kurazhkovskaya, NA (corresponding author), Russian Acad Sci, Branch Schmidt Inst Phys Earth, Borok Geophys Observ, Borok 152742, Yaroslavle Obla, Russia.</t>
  </si>
  <si>
    <t>knady@borok.yar.ru; klain@borok.yar.ru</t>
  </si>
  <si>
    <t>0016-7932</t>
  </si>
  <si>
    <t>1555-645X</t>
  </si>
  <si>
    <t>GEOMAGN AERONOMY+</t>
  </si>
  <si>
    <t>Geomagn. Aeron.</t>
  </si>
  <si>
    <t>10.1134/S0016793222040107</t>
  </si>
  <si>
    <t>4Y4CB</t>
  </si>
  <si>
    <t>WOS:000861473900008</t>
  </si>
  <si>
    <t>Deminov, MG; Rogov, DD</t>
  </si>
  <si>
    <t>Deminov, M. G.; Rogov, D. D.</t>
  </si>
  <si>
    <t>The Solar Activity Index for the Critical Frequency of the E-Layer at Subauroral Latitudes</t>
  </si>
  <si>
    <t>E-REGION; MODEL; IONOSPHERE</t>
  </si>
  <si>
    <t>Based on the analysis of data from subauroral ionospheric stations during daytime hours with low geomagnetic activity, it was found that the index P = 0.5(F-1 + F-81) is the optimal solar activity index for the daily values of the E-layer critical frequency foE, where F-1 and F-81 are the solar radio flux at a wavelength of 10.7 cm on a given day and the average of this flux over 81 days. The standard deviations sigma of the foE dependence on P are at their maximum for winter. The sigma value in this season for the Salekhard and Lycksele stations, which are located at the Arctic Circle and near it, is significantly greater than for the Leningrad station. Substituting the P index into the IPG, IRI, or NeQuick models allows these models to be used for the calculation of daily foE values. Based on the preliminary analysis, it was found that the NeQuick model is more accurate than the IPG and IRI models for winter and equinoxes. For summer, these models have approximately the same accuracy with a slight advantage of the IPG model. For the Salekhard and Lycksele stations in winter at foE &lt; 2 MHz, even the NeQuick model underestimates the foE values by approximately 0.2 MHz on average. The search for the causes of this property of the ionosphere requires special consideration.</t>
  </si>
  <si>
    <t>[Deminov, M. G.] Russian Acad Sci IZMIRAN, Pushkov Inst Terr Magnetism Ionosphere &amp; Radio Wa, Troitsk, Russia; [Rogov, D. D.] Arctic &amp; Antarctic Res Inst, St Petersburg, Russia</t>
  </si>
  <si>
    <t>Russian Academy of Sciences; Pushkov Institute of Terrestrial Magnetism, Ionosphere &amp; Radio Wave Propagation; Arctic &amp; Antarctic Research Institute</t>
  </si>
  <si>
    <t>Deminov, MG (corresponding author), Russian Acad Sci IZMIRAN, Pushkov Inst Terr Magnetism Ionosphere &amp; Radio Wa, Troitsk, Russia.</t>
  </si>
  <si>
    <t>deminov@izmiran.ru</t>
  </si>
  <si>
    <t>Russian Science Foundation (RSF) [20-7210023]</t>
  </si>
  <si>
    <t>Russian Science Foundation (RSF)(Russian Science Foundation (RSF))</t>
  </si>
  <si>
    <t>The study was supported in part by the Russian Science Foundation (RSF) under the scientific project no. 20-7210023.</t>
  </si>
  <si>
    <t>10.1134/S0016793222050048</t>
  </si>
  <si>
    <t>WOS:000861473900009</t>
  </si>
  <si>
    <t>Sharpe, MS; Barker, SJ; Rooyakkers, SM; Wilson, CJN; Chambefort, I; Rowe, MC; Schipper, CI; Charlier, BLA</t>
  </si>
  <si>
    <t>Sharpe, Max S.; Barker, Simon J.; Rooyakkers, Shane M.; Wilson, Colin J. N.; Chambefort, Isabelle; Rowe, Michael C.; Schipper, C. Ian; Charlier, Bruce L. A.</t>
  </si>
  <si>
    <t>A sulfur and halogen budget for the large magmatic system beneath Taupo volcano</t>
  </si>
  <si>
    <t>CONTRIBUTIONS TO MINERALOGY AND PETROLOGY</t>
  </si>
  <si>
    <t>Volatiles; Rhyolite; Sulfur; Chlorine; Fluorine; Fluids; Magma; Petrology; Melt inclusions; Caldera</t>
  </si>
  <si>
    <t>ANTARCTIC ICE CORES; KA ORUANUI ERUPTION; FE-BEARING MINERALS; NEW-ZEALAND; MELT INCLUSIONS; SULFIDE SATURATION; RHYOLITIC MAGMA; ANDESITE MELTS; PARTITIONING BEHAVIOR; ELECTRON-MICROPROBE</t>
  </si>
  <si>
    <t>The transport and degassing pathways of volatiles through large silicic magmatic systems are central to understanding geothermal fluid compositions, ore deposit genesis, and volcanic eruption dynamics and impacts. Here, we document sulfur (S), chlorine (Cl), and fluorine (F) concentrations in a range of host materials in eruptive deposits from Taupe volcano (New Zealand). Materials analysed are groundmass glass, silicic melt inclusions, and microphenocrystic apatite that equilibrated in shallow melt-dominant magma bodies; silicic melt and apatite inclusions within crystal cores inferred to be sourced from deeper crystal mush; and olivine-hosted basaltic melt inclusions from mafic enclaves that represent the most primitive feedstock magmas. Sulfur and halogen concentrations each follow distinct concentration pathways during magma differentiation in response to changing pressures, temperatures, oxygen fugacities, crystallising mineral phases, the effects of volatile saturation, and the presence of an aqueous fluid phase. Sulfur contents in the basaltic melt inclusions (similar to 2000 ppm) are typical for arc-type magmas, but drop to near detection limits by dacitic compositions, reflecting pyrrhotite crystallisation at 60 wt. % SiO2 during the onset of magnetite crystallisation. In contrast, Cl increases from similar to 500 ppm in basalts to similar to 2500 ppm in dacitic compositions, due to incompatibility in the crystallising phases. Fluorine contents are similar between mafic and silicic compositions (&lt;1200 ppm) and are primarily controlled by the onset of apatite and/or amphibole crystallisation and then destabilisation. Sulfur and Cl partition strongly into an aqueous fluid and/or vapour phase in the shallow silicic system. Sulfur contents in the rhyolite melts are low, yet the Oruanui supereruption is associated with a major sulfate peak in ice core records in Antarctica and Greenland, implying that excess S was derived from a pre-eruptive gas phase, mafic magma recharge, and/or disintegration of a hydrothermal system. We estimate that the 25.5 ka Oruanui eruption ejected&gt; 130 Tg of S (390 Tg sulfate) and up to similar to 1800 Tg of Cl, with potentially global impacts on climate and stratospheric ozone.</t>
  </si>
  <si>
    <t>[Sharpe, Max S.; Barker, Simon J.; Wilson, Colin J. N.; Schipper, C. Ian; Charlier, Bruce L. A.] Victoria Univ Wellington, Sch Geog Environm &amp; Earth Sci, POB 600, Wellington 6140, New Zealand; [Rooyakkers, Shane M.] Natl Isotope Ctr, GNS Sci, POB 30-368, Lower Hutt 5040, New Zealand; [Chambefort, Isabelle] Wairakei Res Ctr, GNS Sci, Private Bag 2000, Taupo 3352, New Zealand; [Rowe, Michael C.] Univ Auckland, Sch Environm, Private Bag 92019, Auckland 1142, New Zealand</t>
  </si>
  <si>
    <t>Victoria University Wellington; GNS Science - New Zealand; GNS Science - New Zealand; University of Auckland</t>
  </si>
  <si>
    <t>Barker, SJ (corresponding author), Victoria Univ Wellington, Sch Geog Environm &amp; Earth Sci, POB 600, Wellington 6140, New Zealand.</t>
  </si>
  <si>
    <t>simon.barker@vuw.ac.nz</t>
  </si>
  <si>
    <t>Wilson, Colin/E-9457-2011; Charlier, Bruce L. A./A-7548-2012</t>
  </si>
  <si>
    <t>Wilson, Colin/0000-0001-7565-0743; Barker, Simon/0000-0002-3090-1403; Rowe, Michael/0000-0002-8052-2882; Schipper, C Ian/0000-0002-9064-3370; Chambefort, Isabelle/0000-0001-6946-0521; Charlier, Bruce L. A./0000-0003-0285-8978</t>
  </si>
  <si>
    <t>CAUL</t>
  </si>
  <si>
    <t>Open Access funding enabled and organized by CAUL and its Member Institutions.</t>
  </si>
  <si>
    <t>0010-7999</t>
  </si>
  <si>
    <t>1432-0967</t>
  </si>
  <si>
    <t>CONTRIB MINERAL PETR</t>
  </si>
  <si>
    <t>Contrib. Mineral. Petrol.</t>
  </si>
  <si>
    <t>10.1007/s00410-022-01959-w</t>
  </si>
  <si>
    <t>Geochemistry &amp; Geophysics; Mineralogy</t>
  </si>
  <si>
    <t>4X3MX</t>
  </si>
  <si>
    <t>WOS:000860751300001</t>
  </si>
  <si>
    <t>Day, RD; Fitzgibbon, QP; Gardner, C</t>
  </si>
  <si>
    <t>Day, Ryan D.; Fitzgibbon, Quinn P.; Gardner, Caleb</t>
  </si>
  <si>
    <t>Impacts of sub-optimal water quality on the haemolymph biochemistry, immune status and condition of post-harvest Southern Rock Lobsters (Jasus edwardsii)</t>
  </si>
  <si>
    <t>AQUACULTURE, FISH AND FISHERIES</t>
  </si>
  <si>
    <t>aquaculture; crustacean; mortality; Palinuridae; spiny lobster; stress</t>
  </si>
  <si>
    <t>ACID-BASE-BALANCE; SPINY LOBSTER; PANULIRUS-CYGNUS; NUTRITIONAL CONDITION; AMERICAN LOBSTER; AIR-EXPOSURE; STRESS; SURVIVAL; PARAMETERS; TRANSPORT</t>
  </si>
  <si>
    <t>Palinurid rock (or spiny) lobsters constitute valuable seafood fisheries around the world. Post-harvest mortality can have a substantial economic impact on the value of these fisheries and damage the brand identity of an otherwise fungible commodity. In this study, sudden, large-scale mortalities in the Australian Rock Lobster industry were investigated through comprehensive haemolymph biochemistry panels, measurements of immune status and nutritional condition. A cohort of lobsters (n = 25) was sampled over a 4-week period at a commercial processing facility, with the final sample occurring during a mortality event. A comparison of 22 biochemical parameters, including electrolytes, minerals, ions, metabolites and enzymes, showed a notable disruption in osmoregulation, protein content and enzymes during weeks 3 and 4 of the study. Haemocyte counts showed a decline in circulating haemocytes by the time of the mortality event along with a shift in the proportion of hyalinocytes to granulocytes favouring the former. The condition index was variable over the sampling schedule, possibly linked to observed incidences of cannibalism, with no evidence of an overall low condition that would explain mortalities. The lobsters sampled in this study did not show any consistent or progressive changes in biochemistry that may indicate a pathogen or disease as a causative agent. Rather, analysis of the water quality within the facility suggested that mortality was due to sub-optimal water quality characterized by a combination of two factors, a substantial decrease in the pH and potential nitrogen toxicity, that caused a physiological response comprised of an ion imbalance, altered enzyme activity and, ultimately, mortality. These results offer a comprehensive characterization of the impact of unexplained morbidity on the biochemistry and physiology of lobsters, illustrate the harm of sub-optimal aquaculture practices and highlight the need for a better understanding of aquaculture practices and their effects on economically important seafood industries.</t>
  </si>
  <si>
    <t>[Day, Ryan D.; Fitzgibbon, Quinn P.; Gardner, Caleb] Univ Tasmania, Inst Marine &amp; Antarctic Studies, Fisheries &amp; Aquaculture Ctr, Private Bag 49, Hobart, Tas 7001, Australia</t>
  </si>
  <si>
    <t>Day, RD (corresponding author), Univ Tasmania, Inst Marine &amp; Antarctic Studies, Fisheries &amp; Aquaculture Ctr, Private Bag 49, Hobart, Tas 7001, Australia.</t>
  </si>
  <si>
    <t>ryan.day@utas.edu.au</t>
  </si>
  <si>
    <t>Gardner, Caleb/I-7086-2013</t>
  </si>
  <si>
    <t>Gardner, Caleb/0000-0003-0324-4337</t>
  </si>
  <si>
    <t>Fisheries Research and Development Corporation; [FRDC 2019-028]</t>
  </si>
  <si>
    <t>Fisheries Research and Development Corporation;</t>
  </si>
  <si>
    <t>The authors acknowledge and thank Kylie Cahill (IMAS) for assistance in the laboratory and Dr. Andrea Battison (CrustiPath) for advice and discussion on the design of the study and review of the manuscript. Funding for this project was provided by the Fisheries Research and Development Corporation grant FRDC 2016-235, and publication fees were provided by the Fisheries Research and Development Corporation grant FRDC 2019-028.</t>
  </si>
  <si>
    <t>2693-8847</t>
  </si>
  <si>
    <t>AQUACULT FISH FISH</t>
  </si>
  <si>
    <t>Aquac. Fish Fish.</t>
  </si>
  <si>
    <t>10.1002/aff2.64</t>
  </si>
  <si>
    <t>Fisheries</t>
  </si>
  <si>
    <t>CP8A6</t>
  </si>
  <si>
    <t>WOS:001126528600005</t>
  </si>
  <si>
    <t>Valenzuela, C; Leiva, D; Carú, M; Orlando, J</t>
  </si>
  <si>
    <t>Valenzuela, C.; Leiva, D.; Caru, M.; Orlando, J.</t>
  </si>
  <si>
    <t>Prediction of the Metabolic Functions of Nitrogen, Phosphorus, and Sulfur Cycling Bacteria Associated with the Lichen Peltigera frigida</t>
  </si>
  <si>
    <t>MICROBIOLOGY</t>
  </si>
  <si>
    <t>lichen microbiome; nutrient cycling; functional prediction; Southern Chile</t>
  </si>
  <si>
    <t>SYMBIONT; PATTERNS; SULFITE</t>
  </si>
  <si>
    <t>Lichens are currently interpreted as complex self-sustaining ecosystems formed by the interaction of the primary symbionts and other microorganisms. These microorganisms, which colonize the surface of lichen thalli, could be crucial actors in nutrient cycling. Here, we used PICRUSt2 to predict and compare the potential functions of bacteria closely associated with Peltigera frigida thalli and their substrates. We found that these bacteria could potentially transform organic and inorganic molecules related to nitrogen, phosphorus, and sulfur cycles. Although further experiments to verify these potential contributions are required, these results reinforce the proposal of the nutrient-cycling role of bacteria associated with P. frigida.</t>
  </si>
  <si>
    <t>[Valenzuela, C.; Caru, M.; Orlando, J.] Univ Chile, Fac Ciencias, Dept Ciencias Ecol, Lab Ecol Microbiana, Las Palmeras 3425, Santiago, Chile; [Leiva, D.] Karl Franzens Univ Graz, Inst Biol, A-8010 Graz, Austria; [Orlando, J.] Millennium Inst, Biodivers Antarctic &amp; Subantarct Ecosyst BASE, Las Palmeras 3425, Santiago, Chile</t>
  </si>
  <si>
    <t>Universidad de Chile; University of Graz</t>
  </si>
  <si>
    <t>Orlando, J (corresponding author), Univ Chile, Fac Ciencias, Dept Ciencias Ecol, Lab Ecol Microbiana, Las Palmeras 3425, Santiago, Chile.;Orlando, J (corresponding author), Millennium Inst, Biodivers Antarctic &amp; Subantarct Ecosyst BASE, Las Palmeras 3425, Santiago, Chile.</t>
  </si>
  <si>
    <t>jorlando@uchile.cl</t>
  </si>
  <si>
    <t>Fondo Nacional de Desarrollo Cientifico y Tecnologico (FONDECYT, Chilean National Fund for Scientific and Technological Development) [1181510]</t>
  </si>
  <si>
    <t>Fondo Nacional de Desarrollo Cientifico y Tecnologico (FONDECYT, Chilean National Fund for Scientific and Technological Development)</t>
  </si>
  <si>
    <t>This research was funded by Fondo Nacional de Desarrollo Cientifico y Tecnologico (FONDECYT, Chilean National Fund for Scientific and Technological Development) [1181510].</t>
  </si>
  <si>
    <t>0026-2617</t>
  </si>
  <si>
    <t>1608-3237</t>
  </si>
  <si>
    <t>MICROBIOLOGY+</t>
  </si>
  <si>
    <t>10.1134/S0026261721102117</t>
  </si>
  <si>
    <t>4S3JU</t>
  </si>
  <si>
    <t>WOS:000857342200015</t>
  </si>
  <si>
    <t>Bolshiyanov, DY; Makarov, AS</t>
  </si>
  <si>
    <t>Bolshiyanov, D. Yu; Makarov, A. S.</t>
  </si>
  <si>
    <t>Sea Level Fluctuations as a Key Factor in Delta Formation</t>
  </si>
  <si>
    <t>WATER RESOURCES</t>
  </si>
  <si>
    <t>deltas of the Ob; Pyasina; Khatanga; and Lena rivers; sea level fluctuations; organomineral sediments; layer cake</t>
  </si>
  <si>
    <t>Based on studies of the geological and geomorphological structure of the mouth areas of the Ob, Pyasina, Khatanga, and Lena rivers, a model for delta development as a result of fluctuations in the level of the Arctic Ocean as a receiving water body is proposed. It is proven that the current appearance of the deltas has been formed as a result of long-term changes in the erosion basis; based on the study of organomineral sediments (specific sediments accumulated during marine transgressions), a method for identifying episodes of high water level of paleowater bodies is proposed.</t>
  </si>
  <si>
    <t>[Bolshiyanov, D. Yu; Makarov, A. S.] Arctic &amp; Antarctic Res Inst, St Petersburg 199397, Russia</t>
  </si>
  <si>
    <t>Bolshiyanov, DY (corresponding author), Arctic &amp; Antarctic Res Inst, St Petersburg 199397, Russia.</t>
  </si>
  <si>
    <t>bolshiyanov@aari.ru</t>
  </si>
  <si>
    <t>0097-8078</t>
  </si>
  <si>
    <t>1608-344X</t>
  </si>
  <si>
    <t>WATER RESOUR+</t>
  </si>
  <si>
    <t>Water Resour.</t>
  </si>
  <si>
    <t>10.1134/S0097807822050037</t>
  </si>
  <si>
    <t>Water Resources</t>
  </si>
  <si>
    <t>4M5EV</t>
  </si>
  <si>
    <t>WOS:000853347400003</t>
  </si>
  <si>
    <t>Tretiyakov, MV; Muzhdaba, OV; Piskun, AA; Terekhova, RA</t>
  </si>
  <si>
    <t>Tretiyakov, M., V; Muzhdaba, O., V; Piskun, A. A.; Terekhova, R. A.</t>
  </si>
  <si>
    <t>The State of the Roshydromet Hydrological Observation Network in the Mouth Areas of RFAZ</t>
  </si>
  <si>
    <t>Arctic zone; mouth area; state network of hydrological observations; water flow</t>
  </si>
  <si>
    <t>Taking into account the entire mouth network in its current boundaries, the authors pioneered in representing the historical development of hydrological observations at the stationary Roshydromet observation network in river mouth areas in the RF Arctic Zone. The main current problems of the state observations in the mouth areas of Arctic rivers are presented. The drawbacks in the organization of water level observations in the mouth network and water flow in the outlet sections of rivers emptying into Arctic seas are considered. Detail analysis is given to the agreement between data on water flow given in publications of RF Water Cadaster and the similar data stored in the Automated Information System State Monitoring of Water Objects. The hydrological data published in the Water Cadaster in many cases disagree with those in the latter system. This situation leads to errors in the estimates of hydrological characteristics.</t>
  </si>
  <si>
    <t>[Tretiyakov, M., V; Muzhdaba, O., V; Piskun, A. A.; Terekhova, R. A.] Arctic &amp; Antarctic Res Inst, St Petersburg 199397, Russia</t>
  </si>
  <si>
    <t>Tretiyakov, MV (corresponding author), Arctic &amp; Antarctic Res Inst, St Petersburg 199397, Russia.</t>
  </si>
  <si>
    <t>tmv@aari.ru</t>
  </si>
  <si>
    <t>10.1134/S0097807822050153</t>
  </si>
  <si>
    <t>WOS:000853347400004</t>
  </si>
  <si>
    <t>Tretiakov, MV; Shiklomanov, AI</t>
  </si>
  <si>
    <t>Tretiakov, M., V; Shiklomanov, A., I</t>
  </si>
  <si>
    <t>Assessment of Influences of Anthropogenic and Climatic Changes in the Drainage Basin on Hydrological Processes in the Gulf of Ob</t>
  </si>
  <si>
    <t>the Gulf of Ob; seasonal hydrological processes; drainage basin; economic activity; climate changes</t>
  </si>
  <si>
    <t>IRRIGATION</t>
  </si>
  <si>
    <t>Changes in the runoff of rivers flowing into the Arctic Ocean caused by climate changes and increasing anthropogenic load lead to foreseeable transformations of hydrological processes in the mouth areas of the rivers. Climatic, water-balance, and hydrodynamic models were successively applied to evaluate the effect of climatic and anthropogenic changes in the drainage basin of the Ob river estuary on seasonal hydrological processes in the Gulf of Ob. Climate changes along with considerable seasonal redistribution of river runoff in the drainage basin of the Gulf of Ob, mostly due to its increase in winter, were found to cause no significant changes in the seasonal hydrological mouth processes in 1980-2018. Estimates for a period of up to 2050 showed that climate changes under various scenarios will cause an increase in streamflow from the basin, which will reduce the penetration of saltwater into the gulf.</t>
  </si>
  <si>
    <t>[Tretiakov, M., V; Shiklomanov, A., I] Arctic &amp; Antarctic Res Inst, St Petersburg 199397, Russia; [Shiklomanov, A., I] Univ New Hampshire, Durham, NH 03824 USA</t>
  </si>
  <si>
    <t>Arctic &amp; Antarctic Research Institute; University System Of New Hampshire; University of New Hampshire</t>
  </si>
  <si>
    <t>Tretiakov, MV (corresponding author), Arctic &amp; Antarctic Res Inst, St Petersburg 199397, Russia.</t>
  </si>
  <si>
    <t>Tretiakov, Mikhail/0000-0003-3702-6362</t>
  </si>
  <si>
    <t>Russian Foundation for Basic Research [18-05-60192]; US National Science Foundation [1913962, 1917515]</t>
  </si>
  <si>
    <t>Russian Foundation for Basic Research(Russian Foundation for Basic Research (RFBR)Spanish Government); US National Science Foundation(National Science Foundation (NSF))</t>
  </si>
  <si>
    <t>The study was supported by the Russian Foundation for Basic Research, project no. 18-05-60192 and US National Science Foundation, grants 1913962 and 1917515.</t>
  </si>
  <si>
    <t>10.1134/S0097807822050165</t>
  </si>
  <si>
    <t>WOS:000853347400006</t>
  </si>
  <si>
    <t>García, VJ; Hotchkiss, ER; Rodríguez, P</t>
  </si>
  <si>
    <t>Garcia, Victoria J.; Hotchkiss, Erin R.; Rodriguez, Patricia</t>
  </si>
  <si>
    <t>Ecosystem metabolism in sub-Antarctic streams and rivers impacted by non-native beaver</t>
  </si>
  <si>
    <t>AQUATIC SCIENCES</t>
  </si>
  <si>
    <t>Gross primary production; Ecosystem respiration; Ecosystem metabolism; Introduced species; Ecosystem engineering; Heterotrophy</t>
  </si>
  <si>
    <t>TIERRA-DEL-FUEGO; CASTOR-CANADENSIS POPULATION; NORTH-AMERICAN BEAVERS; CAPE-HORN; NOTHOFAGUS-FORESTS; PONDS; NITROGEN; PHOSPHORUS; ARGENTINA; INVASION</t>
  </si>
  <si>
    <t>Beavers can modify the hydrology, morphology, chemistry, and biology of ecosystems, though we have limited understanding of how beaver activity alters whole-ecosystem functions. We analyzed the effect of beaver activity and beaver dams on ecosystem metabolism in sub-Antarctic streams and rivers, where beavers are a non-native species. We characterized ecosystem metabolism (gross primary production and ecosystem respiration, GPP and ER) during 1-4 days in six streams and rivers with current beaver activity and dams (active) and three streams with no dams and no beavers (abandoned) as follows: Current beaver activity enhanced metabolism; GPP and ER were higher in sites with beaver activity than in more heterotrophic, abandoned sites. Beavers affect whole-ecosystem metabolism despite no detectable effects on physical and chemical variables in sub-Antarctic streams and rivers.</t>
  </si>
  <si>
    <t>[Garcia, Victoria J.; Rodriguez, Patricia] Consejo Nacl Invest Cient &amp; Tecn, Ctr Austral Invest Cient CADIC, RA-9410 Tierra Del Fuego, Ushuaia, Argentina; [Hotchkiss, Erin R.] Virginia Polytech Inst &amp; State Univ, Dept Biol Sci, Blacksburg, VA 24061 USA; [Rodriguez, Patricia] Univ Nacl Tierra Fuego, Inst Ciencias Polares Ambiente &amp; Recursos Nat ICP, Tierra Del Fuego, Ushuaia, Argentina</t>
  </si>
  <si>
    <t>Consejo Nacional de Investigaciones Cientificas y Tecnicas (CONICET); Virginia Polytechnic Institute &amp; State University</t>
  </si>
  <si>
    <t>Rodríguez, P (corresponding author), Consejo Nacl Invest Cient &amp; Tecn, Ctr Austral Invest Cient CADIC, RA-9410 Tierra Del Fuego, Ushuaia, Argentina.;Rodríguez, P (corresponding author), Univ Nacl Tierra Fuego, Inst Ciencias Polares Ambiente &amp; Recursos Nat ICP, Tierra Del Fuego, Ushuaia, Argentina.</t>
  </si>
  <si>
    <t>victoriajulieta@gmail.com; ehotchkiss@vt.edu; aicirtap.rodriguez@gmail.com</t>
  </si>
  <si>
    <t>Garcia, Victoria Julieta/JWP-7809-2024</t>
  </si>
  <si>
    <t>Garcia, Victoria Julieta/0000-0003-1782-2142; Hotchkiss, Erin/0000-0001-6132-9107</t>
  </si>
  <si>
    <t>ANPCyT [PICT 2015 1152, PICT 2017 0164]; PUE CADICCONICET 2016; GEF project [GCP/ARG/023/GFF]; CONICET</t>
  </si>
  <si>
    <t>ANPCyT(ANPCyT); PUE CADICCONICET 2016; GEF project; CONICET(Consejo Nacional de Investigaciones Cientificas y Tecnicas (CONICET))</t>
  </si>
  <si>
    <t>Funding for this research was provided by ANPCyT PICT 2015 1152 and PICT 2017 0164 (to Patricia Rodriguez), PUE CADICCONICET 2016, GEF project GCP/ARG/023/GFF and CONICET grant of partial funding Victoria Garcia for her stay at Virginia Polytechnic Institute and State University.</t>
  </si>
  <si>
    <t>SPRINGER BASEL AG</t>
  </si>
  <si>
    <t>PICASSOPLATZ 4, BASEL, 4052, SWITZERLAND</t>
  </si>
  <si>
    <t>1015-1621</t>
  </si>
  <si>
    <t>1420-9055</t>
  </si>
  <si>
    <t>AQUAT SCI</t>
  </si>
  <si>
    <t>Aquat. Sci.</t>
  </si>
  <si>
    <t>10.1007/s00027-022-00876-1</t>
  </si>
  <si>
    <t>Environmental Sciences; Limnology; Marine &amp; Freshwater Biology</t>
  </si>
  <si>
    <t>4I8AA</t>
  </si>
  <si>
    <t>WOS:000850795200001</t>
  </si>
  <si>
    <t>Guzeva, A</t>
  </si>
  <si>
    <t>Guzeva, Alina</t>
  </si>
  <si>
    <t>Geochemical features of humic acids extracted from sediments of urban lakes of the Arctic</t>
  </si>
  <si>
    <t>ENVIRONMENTAL MONITORING AND ASSESSMENT</t>
  </si>
  <si>
    <t>Lake sediments; Humic acids; Humic substances; Trace metals; Kola Peninsula; Arctic</t>
  </si>
  <si>
    <t>HEAVY-METALS; ORGANIC-MATTER; SUBSTANCES; SOILS; SORPTION; NORTH; PEAT</t>
  </si>
  <si>
    <t>The study focuses on the comprehensive research of geochemical and environmental roles of humic acids isolated from sediments of the urbanized lakes of Kola Peninsula, the Arctic. The sediments were collected from 5 water bodies located in the different parts of Murmansk city. The elemental analysis (C, H, N, and O percentage) of the samples was conducted. The molecular structure of the acids was investigated using solid-state CP/MAS 13C-NMR and FTIR spectroscopy methods. The findings revealed the specific geochemical and environmental features of the sediment humic acids in the urbanized aquatic ecosystems of the Arctic region. The process of humification in the studied lakes is slowed down due to cold climatic conditions and the high level of the pollution of the water bodies. The molecules of the humic acids are immature and high-oxygen. Therefore, on the one hand, they can actively leach the toxic metals from the components of the sediments. On the other hand, despite the relatively low content of chelate-forming groups in the structure of the humic acids, the stable organometallic compounds form due to high percentage of dispersed organic matter in the sediments and structural flexibility of the molecules of the acids. Furthermore, the geochemical composition of the sediments and their enrichment by the trace elements and hydrocarbons significantly influence on the character of the interaction between metals and humic acids.</t>
  </si>
  <si>
    <t>[Guzeva, Alina] RAS, Inst Limnol, St Petersburg Fed Res Ctr, Sevastyanova 9, St Petersburg 196105, Russia; [Guzeva, Alina] Arctic &amp; Antarctic Res Inst, Bering Str 38, St Petersburg 199397, Russia</t>
  </si>
  <si>
    <t>Russian Academy of Sciences; St. Petersburg Scientific Centre of the Russian Academy of Sciences; St. Petersburg Federal Research Center of the Russian Academy of Sciences; Arctic &amp; Antarctic Research Institute</t>
  </si>
  <si>
    <t>Guzeva, A (corresponding author), RAS, Inst Limnol, St Petersburg Fed Res Ctr, Sevastyanova 9, St Petersburg 196105, Russia.</t>
  </si>
  <si>
    <t>alinaguzeva2108@gmail.com</t>
  </si>
  <si>
    <t>Russian Science Foundation [22-27-00131]</t>
  </si>
  <si>
    <t>The research is supported by the Russian Science Foundation project no. 22-27-00131.</t>
  </si>
  <si>
    <t>0167-6369</t>
  </si>
  <si>
    <t>1573-2959</t>
  </si>
  <si>
    <t>ENVIRON MONIT ASSESS</t>
  </si>
  <si>
    <t>Environ. Monit. Assess.</t>
  </si>
  <si>
    <t>10.1007/s10661-022-10419-8</t>
  </si>
  <si>
    <t>Environmental Sciences</t>
  </si>
  <si>
    <t>Environmental Sciences &amp; Ecology</t>
  </si>
  <si>
    <t>4I9IJ</t>
  </si>
  <si>
    <t>WOS:000850885700002</t>
  </si>
  <si>
    <t>Sasaki, S; Irizuki, T; Seto, K; Suganuma, Y</t>
  </si>
  <si>
    <t>Sasaki, Satoshi; Irizuki, Toshiaki; Seto, Koji; Suganuma, Yusuke</t>
  </si>
  <si>
    <t>Ostracoda and paleoenvironment of Holocene-raised beach sediment in Skarvsnes, East Antarctica</t>
  </si>
  <si>
    <t>PALEONTOLOGICAL RESEARCH</t>
  </si>
  <si>
    <t>East Antarctica; Holocene; ostracod; paleo-water depth; raised beach; Skarvsnes</t>
  </si>
  <si>
    <t>ICE-SHEET RETREAT; LUTZOW-HOLM BAY; ISLAND; WATER; PART; SEA</t>
  </si>
  <si>
    <t>Four sediment samples were collected from an outcrop of the Holocene-raised beach in Skarvsnes (Lutzow-Holm Bay, East Antarctica) at an elevation of 0-10 m through a geomorphological survey conducted during the 46th Japanese Antarctic Research Expedition (JARE 46). These samples were used for grain size, CNS (carbon, nitrogen, and sulfur) elemental, and ostracod analyses. The C-14 dating of an annelid tube collected from the same outcrop was also conducted using an accelerator mass spectrometry. The resultant age was estimated at approximately 5,800 cal. year BP. A total of 16 ostracod species belonging to 10 genera were identified for the first time from all study samples near Lake Suribachi-Ike, Lutzow-Holm Bay, East Antarctica. The phytal species were found to be the most dominant, suggesting rich seagrass and/or seaweeds at that time. Autecological methods and modern analog technique of ostracod assemblages were used to estimate the paleoenvironment. The result from the modern analog technique suggested that the paleo-water depth of approximately 30 m at that time is the most probable estimation, implying the glacial-isostatic uplift of approximately 30-40 m (5.1-6.8 mm/year) until sample date.</t>
  </si>
  <si>
    <t>[Sasaki, Satoshi] Shimane Univ, Interdisciplinary Grad Sch Sci &amp; Engn, 1060 Nishikawatsu Cho, Matsue, Shimane 6908504, Japan; [Irizuki, Toshiaki] Shimane Univ, Acad Assembly, Inst Environm Syst Sci, 1060 Nishikawatsu Cho, Matsue, Shimane 6908504, Japan; [Irizuki, Toshiaki; Seto, Koji] Shimane Univ, Estuary Res Ctr, 1060 Nishikawatsu Cho, Matsue, Shimane 6908504, Japan; [Suganuma, Yusuke] Natl Inst Polar Res, 10-3 Midoricho, Tachikawa, Tokyo 1908518, Japan; [Suganuma, Yusuke] Grad Univ Adv Studies SOKENDAI, Sch Multidisciplinary Sci, Dept Polar Res Sci, 10-3 Midoricho, Tachikawa, Tokyo 1908518, Japan</t>
  </si>
  <si>
    <t>Shimane University; Shimane University; Shimane University; Research Organization of Information &amp; Systems (ROIS); National Institute of Polar Research (NIPR) - Japan; Graduate University for Advanced Studies - Japan</t>
  </si>
  <si>
    <t>Sasaki, S (corresponding author), Shimane Univ, Interdisciplinary Grad Sch Sci &amp; Engn, 1060 Nishikawatsu Cho, Matsue, Shimane 6908504, Japan.</t>
  </si>
  <si>
    <t>tokusasa012@gmail.com</t>
  </si>
  <si>
    <t>Sasaki, Satoshi/0000-0001-7541-5372; Sasaki, Satoshi/0000-0003-4736-2394</t>
  </si>
  <si>
    <t>Japan Society for the Promotion of Science [19K03995, 19H00728]</t>
  </si>
  <si>
    <t>Japan Society for the Promotion of Science(Ministry of Education, Culture, Sports, Science and Technology, Japan (MEXT)Japan Society for the Promotion of Science)</t>
  </si>
  <si>
    <t>We greatly thank the members of the 46th Japanese Antarctic Research Expedition for research permission. We thank Kota Katsuki (Shimane University) for the support of dating. We thank Gengo Tanaka (Kumamoto Univ.) and Cristianini T. Bergue (Universidade do Vale do Rio dos Sinos) for their constructive comments on the manuscript. The authors would like to thank Enago (www.enago.jp) for the English language review. The study was partly supported by Grant-in-Aids for Scientific Research (KAKENHI) from the Japan Society for the Promotion of Science (19K03995 to K. Katsuki, Shimane University, 19H00728 to Y. S.).</t>
  </si>
  <si>
    <t>PALAEONTOLOGICAL SOC JAPAN</t>
  </si>
  <si>
    <t>TOKYO</t>
  </si>
  <si>
    <t>MT BLDG 4F, 7-2-2, HONGO, BUNKYO-KU, TOKYO, 113-0033, JAPAN</t>
  </si>
  <si>
    <t>1342-8144</t>
  </si>
  <si>
    <t>PALEONTOL RES</t>
  </si>
  <si>
    <t>Paleontol. Res.</t>
  </si>
  <si>
    <t>10.2517/PR210011</t>
  </si>
  <si>
    <t>Paleontology</t>
  </si>
  <si>
    <t>3O8HD</t>
  </si>
  <si>
    <t>WOS:000837074900008</t>
  </si>
  <si>
    <t>Vives, CR; Schallenberg, C; Strutton, PG; Westwood, KJ</t>
  </si>
  <si>
    <t>Vives, Clara R.; Schallenberg, Christina; Strutton, Peter G.; Westwood, Karen J.</t>
  </si>
  <si>
    <t>Iron and light limitation of phytoplankton growth off East Antarctica</t>
  </si>
  <si>
    <t>JOURNAL OF MARINE SYSTEMS</t>
  </si>
  <si>
    <t>phytoplankton; light limitation; iron limitation; East Antarctica</t>
  </si>
  <si>
    <t>SOUTHERN-OCEAN PHYTOPLANKTON; COMMUNITY STRUCTURE; ORGANIC-LIGANDS; CHLOROPHYLL-A; SEA; VARIABILITY; RESPONSES; DYNAMICS; CHEMTAX; EXPORT</t>
  </si>
  <si>
    <t>Phytoplankton production controls the transfer of carbon dioxide from the atmosphere into the ocean through the biological carbon pump, facilitating the sequestration of carbon dioxide and thus, contributing to the regulation of global climate. In the Southern Ocean, a high-nutrient low-chlorophyll region, productivity is limited by micronutrients including iron. The limiting role of light is also important, especially in the context of Southern Ocean phytoplankton adaptation to the low-iron conditions. To investigate the relative dominance of iron and light limitation on phytoplankton growth, we conducted a series of incubation experiments during a 2019 summer research voyage off East Antarctica. Our results show that, while light was the primary limiting factor of phytoplankton growth, iron addition became favourable for growth under high light conditions. This supports similar findings from laboratory (Strzepek et al., 2019) and field experiments in the Ross Sea (Alderkamp et al., 2019) and provides a new insight from a different region of the Southern Ocean, at a later stage of the austral summer. Similar results have previously been documented in larger diatoms, and here we provide evidence that it is also true for smaller cells. Our findings add to the body of knowledge regarding iron and light limitation in the Southern Ocean, in a poorly sampled area, leading to a better understanding of how primary production will change in a future warming ocean.</t>
  </si>
  <si>
    <t>[Vives, Clara R.; Schallenberg, Christina; Strutton, Peter G.] Univ Tasmania, Inst Marine &amp; Antarctic Studies, 20 Castray Esplanade, Battery Point, Tas 7004, Australia; [Vives, Clara R.; Strutton, Peter G.] Univ Tasmania, Australian Res Council Ctr Excellence Climate Ext, Hobart, Tas, Australia; [Schallenberg, Christina; Westwood, Karen J.] Univ Tasmania, Inst Marine &amp; Antarctic Studies, Australian Antarctic Program Partnership, Hobart, Tas, Australia; [Westwood, Karen J.] Dept Agr Water &amp; Environm, Australian Antarctic Div, 203 Channel Highway, Kingston, Tas 203, Australia</t>
  </si>
  <si>
    <t>University of Tasmania; University of Tasmania; University of Tasmania; Australian Antarctic Division</t>
  </si>
  <si>
    <t>Vives, CR (corresponding author), Univ Tasmania, Inst Marine &amp; Antarctic Studies, 20 Castray Esplanade, Battery Point, Tas 7004, Australia.</t>
  </si>
  <si>
    <t>clara.rodriguezvives@utas.edu.au</t>
  </si>
  <si>
    <t>Schallenberg, Christina/N-4187-2017; Strutton, Peter G/C-4466-2011</t>
  </si>
  <si>
    <t>Schallenberg, Christina/0000-0002-3073-7500; Westwood, Karen/0000-0003-1060-7140; R. Vives, Clara/0000-0002-6150-7644</t>
  </si>
  <si>
    <t>Australians Research Council's Special Research Initiative for Antarctic Gateway Partnership [SR140300001]; Australian Research Council Centre of Excellence for Climate Extremes [CE170100023]; University of Tasmania; Australian Antarctic Division (AAD); CSIRO Marine National Facility (MNF)</t>
  </si>
  <si>
    <t>Australians Research Council's Special Research Initiative for Antarctic Gateway Partnership; Australian Research Council Centre of Excellence for Climate Extremes(Australian Research Council); University of Tasmania; Australian Antarctic Division (AAD); CSIRO Marine National Facility (MNF)</t>
  </si>
  <si>
    <t>The authors would like to thank Eileen Hofmann and two anonymous reviewers for their constructive feedback and help to improve this manuscript. This research was supported by the Australian's Research Council's Special Research Initiative for Antarctic Gateway Partnership (SR140300001); the Australian Research Council Centre of Excellence for Climate Extremes (CE170100023); the University of Tasmania; the Australian Antarctic Division (AAD); and the CSIRO Marine National Facility (MNF). The authors would like to thank the captain and crew of the RV Investigator and the CSIRO MNF support personnel for all their assistance during the voyage. We particularly want to thank Elanor Bell and Mike Double from the AAD for all their work as Deputy Chief Scientist and Chief Scientist, without whom the voyage and this study would have not taken place. We also want to thank the biological oceanography team from ENRICH, especially Maddie Brasier and James O'Brien for helping with CTD deployments and sampling; Abbie Smith, Tom Holmes and Lavenia Ratnarajah for all the support with the trace metal analysis; and Kendall Sherrin for performing all the hydrochemistry and nutrient analysis. We especially acknowledge Robert Strzepek for always providing valuable advice, Ramkrushnbhai Patel and Rachael Sanders for providing feedback on the analysis of CTD data and Philip Boyd for suggesting an earlier version of the experimental design. Finally, we would like to thank Terry Pinfold, from the Menzies Institute of Medical Research in Hobart, for all the help with the flow cytometry analysis, and Lennart Bach and Pauline Latour for providing comments in the gating processing and interpretation of the flow cytometry results. The research on the ENRICH voyage was permitted under the Notice of Determination and Authorisation for the Antarctic Treaty (Environment Protection) Act 1980 issued by the AAD on 27 September 2018.</t>
  </si>
  <si>
    <t>0924-7963</t>
  </si>
  <si>
    <t>1879-1573</t>
  </si>
  <si>
    <t>J MARINE SYST</t>
  </si>
  <si>
    <t>J. Mar. Syst.</t>
  </si>
  <si>
    <t>10.1016/j.jmarsys.2022.103774</t>
  </si>
  <si>
    <t>Geosciences, Multidisciplinary; Marine &amp; Freshwater Biology; Oceanography</t>
  </si>
  <si>
    <t>Geology; Marine &amp; Freshwater Biology; Oceanography</t>
  </si>
  <si>
    <t>3J3UG</t>
  </si>
  <si>
    <t>WOS:000833322900001</t>
  </si>
  <si>
    <t>Qi, D; Ouyang, ZX; Chen, LQ; Wu, YX; Lei, RB; Chen, BS; Feely, RA; Anderson, LG; Zhong, WL; Lin, HM; Polukhin, A; Zhang, YX; Zhang, YL; Bi, HB; Lin, XY; Luo, YM; Zhuang, YP; He, JF; Chen, JF; Cai, WJ</t>
  </si>
  <si>
    <t>Qi, Di; Ouyang, Zhangxian; Chen, Liqi; Wu, Yingxu; Lei, Ruibo; Chen, Baoshan; Feely, Richard A.; Anderson, Leif G.; Zhong, Wenli; Lin, Hongmei; Polukhin, Alexander; Zhang, Yixing; Zhang, Yongli; Bi, Haibo; Lin, Xinyu; Luo, Yiming; Zhuang, Yanpei; He, Jianfeng; Chen, Jianfang; Cai, Wei-Jun</t>
  </si>
  <si>
    <t>Climate change drives rapid decadal acidification in the Arctic Ocean from 1994 to 2020</t>
  </si>
  <si>
    <t>SEA-ICE; SURFACE OCEAN; ARAGONITE UNDERSATURATION; FRESH-WATER; CO2 UPTAKE; IMPACT; 21ST-CENTURY</t>
  </si>
  <si>
    <t>The Arctic Ocean has experienced rapid warming and sea ice loss in recent decades, becoming the first open-ocean basin to experience widespread aragonite undersaturation [saturation state of aragonite (Omega(arag)) &lt; 1]. However, its trend toward long-term ocean acidification and the underlying mechanisms remain undocumented. Here, we report rapid acidification there, with rates three to four times higher than in other ocean basins, and attribute it to changing sea ice coverage on a decadal time scale. Sea ice melt exposes seawater to the atmosphere and promotes rapid uptake of atmospheric carbon dioxide, lowering its alkalinity and buffer capacity and thus leading to sharp declines in pH and Warag. We predict a further decrease in pH, particularly at higher latitudes where sea ice retreat is active, whereas Arctic warming may counteract decreases in Omega(arag)) in the future.</t>
  </si>
  <si>
    <t>[Qi, Di; Chen, Liqi; Wu, Yingxu; Zhuang, Yanpei] Jimei Univ, Polar &amp; Marine Res Inst, Coll Harbor &amp; Coastal Engn, Xiamen 361021, Peoples R China; [Qi, Di; Chen, Liqi; Lin, Hongmei; Zhang, Yixing; Lin, Xinyu] Minist Nat Resources, Inst Oceanog 3, Xiamen 361005, Peoples R China; [Qi, Di; Bi, Haibo] Chinese Acad Sci, Ctr Ocean Mega Sci, Qingdao 266071, Peoples R China; [Ouyang, Zhangxian; Chen, Baoshan; Cai, Wei-Jun] Univ Delaware, Sch Marine Sci &amp; Policy, Newark, DE 19716 USA; [Lei, Ruibo; Chen, Jianfang] Polar Res Inst China, Minist Nat Resources, Key Lab Polar Sci, Shanghai 200136, Peoples R China; [Feely, Richard A.] NOAA, Pacific Marine Environm Lab, Seattle, WA USA; [Anderson, Leif G.] Univ Gothenburg, Dept Marine Sci, SE-41296 Gothenburg, Sweden; [Zhong, Wenli] Ocean Univ China, Key Lab Phys Oceanog, Qingdao, Shandong, Peoples R China; [Polukhin, Alexander] Russian Acad Sci, PP Shirshov Inst Oceanol, Moscow, Russia; [Zhang, Yongli] Tianjin Univ, Sch Marine Sci &amp; Technol, Tianjin, Peoples R China; [Bi, Haibo] Chinese Acad Sci, Key Lab Marine Geol &amp; Environm, Qingdao 266071, Peoples R China; [Luo, Yiming] Sun Yat Sen Univ, Sch Marine Sci, Zhuhai, Peoples R China; [Chen, Jianfang] Minist Nat Resources, Inst Oceanog 2, Hangzhou 310012, Peoples R China</t>
  </si>
  <si>
    <t>Jimei University; Third Institute of Oceanography, Ministry of Natural Resources; Ministry of Natural Resources of the People's Republic of China; Chinese Academy of Sciences; University of Delaware; Ministry of Natural Resources of the People's Republic of China; Polar Research Institute of China; National Oceanic Atmospheric Admin (NOAA) - USA; University of Gothenburg; Ocean University of China; Russian Academy of Sciences; Shirshov Institute of Oceanology; Tianjin University; Chinese Academy of Sciences; Sun Yat Sen University; Ministry of Natural Resources of the People's Republic of China</t>
  </si>
  <si>
    <t>Chen, LQ (corresponding author), Jimei Univ, Polar &amp; Marine Res Inst, Coll Harbor &amp; Coastal Engn, Xiamen 361021, Peoples R China.;Cai, WJ (corresponding author), Univ Delaware, Sch Marine Sci &amp; Policy, Newark, DE 19716 USA.</t>
  </si>
  <si>
    <t>chenliqi@tio.org.cn; wcai@udel.edu</t>
  </si>
  <si>
    <t>Polukhin, Alexander A/S-2879-2016; Lin, Hongmei/GQP-9743-2022; Lin, Xinyu/HLP-8146-2023; Wu, Yingxu/HDO-0449-2022; Chen, Baoshan/C-7284-2018</t>
  </si>
  <si>
    <t>Polukhin, Alexander A/0000-0003-1708-1428; Chen, Baoshan/0000-0002-7001-215X; Anderson, Leif/0000-0001-7363-0212; Qi, Di/0000-0003-4762-266X; Wu, Yingxu/0000-0002-7847-6215; Cai, Wei-Jun/0000-0003-3606-8325</t>
  </si>
  <si>
    <t>National Key Research and Development Program of China [2019YFE0114800]; National Natural Science Foundation of China [41941013, 42176230, 41630969, 42188102]; Ocean Negative Carbon Emissions (ONCE) Program; Key Deployment Project of Centre for Ocean Mega-Research of Science; Chinese Academy of Sciences (CAS) [COMS2020Q12]; Chinese Projects for Investigations [CHINARE2017-2020]; Natural Science Foundation of Fujian Province, China [2019Jo5148]; National Science Foundation (NSF) [ARC-0909330, PLR-1304337, OPP-1926158]; National Oceanic and Atmospheric Administration (NOAA) [NA09OAR4310078]; NOAA Ocean Acidification Program; Pacific Marine Environmental Laboratory</t>
  </si>
  <si>
    <t>National Key Research and Development Program of China; National Natural Science Foundation of China(National Natural Science Foundation of China (NSFC)); Ocean Negative Carbon Emissions (ONCE) Program; Key Deployment Project of Centre for Ocean Mega-Research of Science; Chinese Academy of Sciences (CAS)(Chinese Academy of Sciences); Chinese Projects for Investigations; Natural Science Foundation of Fujian Province, China(Natural Science Foundation of Fujian Province); National Science Foundation (NSF)(National Science Foundation (NSF)); National Oceanic and Atmospheric Administration (NOAA)(National Oceanic Atmospheric Admin (NOAA) - USA); NOAA Ocean Acidification Program(National Oceanic Atmospheric Admin (NOAA) - USA); Pacific Marine Environmental Laboratory</t>
  </si>
  <si>
    <t>This work was supported by the National Key Research and Development Program of China (2019YFE0114800); the National Natural Science Foundation of China (41941013, 42176230, 41630969, and 42188102); the Ocean Negative Carbon Emissions (ONCE) Program, Key Deployment Project of Centre for Ocean Mega-Research of Science; Chinese Academy of Sciences (CAS) (grant no. COMS2020Q12); Chinese Projects for Investigations and Assessments of the Arctic and Antarctic (CHINARE2017-2020); and the Natural Science Foundation of Fujian Province, China (2019Jo5148). The University of Delaware group has been supported by the National Science Foundation (NSF) (ARC-0909330, PLR-1304337, and OPP-1926158) and the National Oceanic and Atmospheric Administration (NOAA) (NA09OAR4310078). R.A.F. was supported by the NOAA Ocean Acidification Program and the Pacific Marine Environmental Laboratory.</t>
  </si>
  <si>
    <t>AMER ASSOC ADVANCEMENT SCIENCE</t>
  </si>
  <si>
    <t>1200 NEW YORK AVE, NW, WASHINGTON, DC 20005 USA</t>
  </si>
  <si>
    <t>0036-8075</t>
  </si>
  <si>
    <t>1095-9203</t>
  </si>
  <si>
    <t>Science</t>
  </si>
  <si>
    <t>SEP 30</t>
  </si>
  <si>
    <t>+</t>
  </si>
  <si>
    <t>10.1126/science.abo0383</t>
  </si>
  <si>
    <t>6Q6HL</t>
  </si>
  <si>
    <t>WOS:000891713300029</t>
  </si>
  <si>
    <t>Bastias, J; Spikings, R; Riley, T; Chew, D; Grunow, A; Ulianov, A; Chiaradia, M; Burton-Johnson, A</t>
  </si>
  <si>
    <t>Bastias, Joaquin; Spikings, Richard; Riley, Teal; Chew, David; Grunow, Anne; Ulianov, Alexey; Chiaradia, Massimo; Burton-Johnson, Alex</t>
  </si>
  <si>
    <t>Cretaceous magmatism in the Antarctic Peninsula and its tectonic implications</t>
  </si>
  <si>
    <t>JOURNAL OF THE GEOLOGICAL SOCIETY</t>
  </si>
  <si>
    <t>Article; Early Access</t>
  </si>
  <si>
    <t>EASTERN PALMER LAND; COAST INTRUSIVE SUITE; U-PB GEOCHRONOLOGY; PACIFIC MARGIN; ARC MAGMATISM; SEA-FLOOR; MIDCRETACEOUS DEFORMATION; MAGNETIC-ANOMALIES; GEOLOGICAL HISTORY; WEST ANTARCTICA</t>
  </si>
  <si>
    <t>Periods of cessation, resumption and enhanced arc activity are recorded in the Cretaceous igneous rocks of the Antarctic Peninsula. We present new geochronological (laser ablation inductively coupled plasma mass spectrometry (LA-ICP-MS) zircon U-Pb) analyses of 36 intrusive and volcanic Cretaceous rocks, along with LA-ICP-MS apatite U-Pb analyses (a medium-temperature thermochronometer) of 28 Triassic-Cretaceous igneous rocks of the Antarctic Peninsula. These are complemented by new zircon Hf isotope data along with whole-rock geochemistry and isotope (Nd, Sr and Pb) data. Our results indicate that the Cretaceous igneous rocks of the Antarctic Peninsula have geochemical signatures consistent with a continental arc setting and were formed during the interval c. 140-79 Ma, whereas the main peak of magmatism occurred during c. 118-110 Ma. Trends in epsilon Hf-t (zircon) combined with elevated heat flow that remagnetized rocks and reset apatite U-Pb ages suggest that Cretaceous magmatism formed within a prevailing extensional setting that was punctuated by periods of compression. A noteworthy compressive period probably occurred during c. 147-128 Ma, triggered by the westward migration of South America during opening of the South Atlantic Ocean. Cretaceous arc rocks that crystallized during c. 140-100 Ma define a belt that extends from southeastern Palmer Land to the west coast of Graham Land. This geographical distribution could be explained by (1) a flat slab with east-dipping subduction of the Phoenix Plate, or (2) west-dipping subduction of the lithosphere of the Weddell Sea, or (3) an allochthonous origin for the rocks of Alexander Island. A better understanding of the geological history of the pre-Cretaceous rocks of Alexander Island and the inaccessible area of the southern Weddell Sea is required.</t>
  </si>
  <si>
    <t>[Bastias, Joaquin; Spikings, Richard; Chiaradia, Massimo] Univ Geneva, Dept Earth Sci, CH-1205 Geneva, Switzerland; [Bastias, Joaquin; Chew, David] Trinity Coll Dublin, Dept Geol, Dublin 2, Ireland; [Bastias, Joaquin] Univ Andres Bello, Fac Ingn, Carrera Geol, Santiago, Chile; [Riley, Teal; Burton-Johnson, Alex] British Antarctic Survey, Madingley Rd, Cambridge CB3 0ET, England; [Grunow, Anne] Ohio State Univ, Byrd Polar Res Ctr, 108 Scott Hall,1090 Carmack Rd, Columbus, OH 43210 USA; [Ulianov, Alexey] Univ Lausanne, Inst Earth Sci, CH-1015 Lausanne, Switzerland</t>
  </si>
  <si>
    <t>University of Geneva; Trinity College Dublin; Universidad Andres Bello; UK Research &amp; Innovation (UKRI); Natural Environment Research Council (NERC); NERC British Antarctic Survey; University System of Ohio; Ohio State University; University of Lausanne</t>
  </si>
  <si>
    <t>Bastias, J (corresponding author), Univ Geneva, Dept Earth Sci, CH-1205 Geneva, Switzerland.;Bastias, J (corresponding author), Trinity Coll Dublin, Dept Geol, Dublin 2, Ireland.;Bastias, J (corresponding author), Univ Andres Bello, Fac Ingn, Carrera Geol, Santiago, Chile.</t>
  </si>
  <si>
    <t>joaquin.bastias@unige.ch</t>
  </si>
  <si>
    <t>Bastias, Joaquin/A-6995-2016; Chew, David M/B-7828-2008</t>
  </si>
  <si>
    <t>Bastias, Joaquin/0000-0001-6678-3173; Chew, David M/0000-0002-6940-1035; Riley, Teal/0000-0002-3333-5021</t>
  </si>
  <si>
    <t>Instituto Antartico Chileno (INACH) [RT-06-14]; University of Geneva; Swiss National Science Foundation [P500PN_202847]; Science Foundation Ireland [13/RC/2092, 13/RC/2092_P2]; ANID-Chile; Swiss National Science Foundation (SNF) [P500PN_202847] Funding Source: Swiss National Science Foundation (SNF)</t>
  </si>
  <si>
    <t>Instituto Antartico Chileno (INACH); University of Geneva; Swiss National Science Foundation(Swiss National Science Foundation (SNSF)); Science Foundation Ireland(Science Foundation Ireland); ANID-Chile; Swiss National Science Foundation (SNF)(Swiss National Science Foundation (SNSF))</t>
  </si>
  <si>
    <t>This research was funded by the Instituto Antartico Chileno (INACH, project RT-06-14) and the University of Geneva. J.B. acknowledges support from a PhD scholarship of ANID-Chile and the Swiss National Science Foundation (project P500PN_202847). D.C. acknowledges support from Science Foundation Ireland under Grants 13/RC/2092 and 13/RC/2092_P2.</t>
  </si>
  <si>
    <t>GEOLOGICAL SOC PUBL HOUSE</t>
  </si>
  <si>
    <t>BATH</t>
  </si>
  <si>
    <t>UNIT 7, BRASSMILL ENTERPRISE CENTRE, BRASSMILL LANE, BATH BA1 3JN, AVON, ENGLAND</t>
  </si>
  <si>
    <t>0016-7649</t>
  </si>
  <si>
    <t>2041-479X</t>
  </si>
  <si>
    <t>J GEOL SOC LONDON</t>
  </si>
  <si>
    <t>J. Geol. Soc.</t>
  </si>
  <si>
    <t>2022 SEP 30</t>
  </si>
  <si>
    <t>10.1144/jgs2022-067</t>
  </si>
  <si>
    <t>SEP 2022</t>
  </si>
  <si>
    <t>7U5FA</t>
  </si>
  <si>
    <t>WOS:000912157200001</t>
  </si>
  <si>
    <t>Scardilli, AS; Salvó, CS; Saez, LG</t>
  </si>
  <si>
    <t>Scardilli, Alvaro S.; Salvo, Constanza S.; Gomez Saez, Ludmila</t>
  </si>
  <si>
    <t>Southern Ocean ice charts at the Argentine Naval Hydrographic Service and their impact on safety of navigation</t>
  </si>
  <si>
    <t>ice chart; Antarctica; satellite imagery; icebergs; sea ice; GIS</t>
  </si>
  <si>
    <t>SEA-ICE</t>
  </si>
  <si>
    <t>Antarctica is a largely inhospitable and inaccessible continent that plays a key role in regulating the climate through ocean currents, winds, icebergs drift, and sea-ice concentration and thickness. The study area of this work corresponds to the Weddell Sea, Bellingshausen Sea and the South Atlantic Ocean. These areas are relevant because of supply operations to Antarctic stations and scientific and tourist activities. The Antarctic Peninsula is the most visited region of the continent for tourist and research vessels and requires special efforts in the development and dissemination of updated ice information for Safety of Navigation. For this purpose, it is critical to have information that discriminates the origin of the ice from land and open water, sea-ice concentration, and stage of development. The high recurrence of cloud cover over the Antarctic Peninsula during the summer hinders the operational use of visible/infra red satellite imagery, therefore access to Synthetic Aperture Radar (SAR) sensors is considered to be a high priority. Between 2018 and 2020, with the launch of the SAOCOM (Satelite Argentino de Observacion Con Microondas) constellation, Argentina has evidenced an increase in the availability of SAR images for sea-ice operations. This paper presents the current state of routine production of operational ice charts at the Argentine Naval Hydrographic Service for mariners in the vicinity of the Antarctic Peninsula and South Atlantic Ocean and discuss future developments in place to prepare for expected increases in marine traffic in these areas.</t>
  </si>
  <si>
    <t>[Scardilli, Alvaro S.; Salvo, Constanza S.; Gomez Saez, Ludmila] Serv Hidrog Naval, Dept Meteorol, Buenos Aires, DF, Argentina</t>
  </si>
  <si>
    <t>Servicio de Hidrografia Naval</t>
  </si>
  <si>
    <t>Scardilli, AS (corresponding author), Serv Hidrog Naval, Dept Meteorol, Buenos Aires, DF, Argentina.</t>
  </si>
  <si>
    <t>asscardilli@hidro.gov.ar</t>
  </si>
  <si>
    <t>10.3389/fmars.2022.971894</t>
  </si>
  <si>
    <t>5K9GK</t>
  </si>
  <si>
    <t>WOS:000870026500001</t>
  </si>
  <si>
    <t>Bracegirdle, J; Casandra, D; Rocca, JR; Adams, JH; Baker, BJ</t>
  </si>
  <si>
    <t>Bracegirdle, Joe; Casandra, Debora; Rocca, James R.; Adams, John H.; Baker, Bill J.</t>
  </si>
  <si>
    <t>Highly N-Methylated Peptides from the Antarctic Sponge Inflatella coelosphaeroides Are Active against Plasmodium falciparum</t>
  </si>
  <si>
    <t>JOURNAL OF NATURAL PRODUCTS</t>
  </si>
  <si>
    <t>NATURAL-PRODUCTS; MALARIA</t>
  </si>
  <si>
    <t>Malaria, caused by the parasite Plasmodium falciparum, continues to threaten much of the world's population, and there is a pressing need for expanding treatment options. Natural products have been a vital source of such drugs, and here we report seven new highly N-methylated linear peptides, friomaramide B (2) and shagamides A-F (3-8) from the marine sponge Inflatella coelosphaeroides, collected in Antarctic waters, which demonstrate activity against three strains of blood-stage P. falciparum. The planar structures of these metabolites were solved by interpreting NMR data, as well as HRESIMS/MS fragmentation patterns, while Marfey's analysis was used to establish the configurations of the amino acids. Reisolation of the previously reported compound friomaramide A (1) allowed us to revise its structure. The panel of isolated compounds allowed establishing structure/activity relationships and provided information for future structure optimization for this class of P. falciparum inhibitory metabolites.</t>
  </si>
  <si>
    <t>[Bracegirdle, Joe; Baker, Bill J.] Univ S Florida, Dept Chem, Tampa, FL 33620 USA; [Casandra, Debora; Adams, John H.] Univ S Florida, Coll Publ Hlth, Ctr Global Hlth &amp; Infect Dis Res, Tampa, FL 33612 USA; [Rocca, James R.] Univ Florida, McKnight Brain Inst, AMRIS, Gainesville, FL 32610 USA</t>
  </si>
  <si>
    <t>State University System of Florida; University of South Florida; State University System of Florida; University of South Florida; State University System of Florida; University of Florida</t>
  </si>
  <si>
    <t>Baker, BJ (corresponding author), Univ S Florida, Dept Chem, Tampa, FL 33620 USA.</t>
  </si>
  <si>
    <t>bjbaker@usf.edu</t>
  </si>
  <si>
    <t>Baker, Bill/N-4312-2019; Adams, John H./ABB-8458-2020; Adams, John H./G-1800-2015</t>
  </si>
  <si>
    <t>Adams, John H./0000-0003-3707-7979; Bracegirdle, Joe/0000-0001-7725-3477</t>
  </si>
  <si>
    <t>National Science Foundation [PLR-1341339]; Antarctic Organisms and Ecosystems Program [ANT-1043749]; National Science Foundation Cooperative Agreement [DMR-1644779]; State of Florida</t>
  </si>
  <si>
    <t>National Science Foundation(National Science Foundation (NSF)); Antarctic Organisms and Ecosystems Program(National Science Foundation (NSF)NSF - Directorate for Geosciences (GEO)); National Science Foundation Cooperative Agreement(National Science Foundation (NSF)); State of Florida</t>
  </si>
  <si>
    <t>This work was supported by the National Science Foundation awards PLR-1341339 (B.J.B.) and ANT-1043749 (to Nerida G. Wilson, Western Australia Museum) from the Antarctic Organisms and Ecosystems Program. We thank the crew and research scientists on board the Nathaniel B. Palmer for assistance during the research cruise. A portion of this work was performed in the McKnight Brain Institute at the National High Magnetic Field Laboratory's Advanced Magnetic Resonance Imaging and Spectroscopy (AMRIS) Facility, which is supported by National Science Foundation Cooperative Agreement DMR-1644779 and the State of Florida. Nerida G. Wilson and Greg W. Rouse, Scripps Institution of Oceanography, were instrumental in the logistical and conceptual implementation of this research.</t>
  </si>
  <si>
    <t>AMER CHEMICAL SOC</t>
  </si>
  <si>
    <t>1155 16TH ST, NW, WASHINGTON, DC 20036 USA</t>
  </si>
  <si>
    <t>0163-3864</t>
  </si>
  <si>
    <t>1520-6025</t>
  </si>
  <si>
    <t>J NAT PROD</t>
  </si>
  <si>
    <t>J. Nat. Prod.</t>
  </si>
  <si>
    <t>OCT 28</t>
  </si>
  <si>
    <t>10.1021/acs.jnatprod.2c00684</t>
  </si>
  <si>
    <t>Plant Sciences; Chemistry, Medicinal; Pharmacology &amp; Pharmacy</t>
  </si>
  <si>
    <t>Science Citation Index Expanded (SCI-EXPANDED); Index Chemicus (IC)</t>
  </si>
  <si>
    <t>Plant Sciences; Pharmacology &amp; Pharmacy</t>
  </si>
  <si>
    <t>7N6VX</t>
  </si>
  <si>
    <t>WOS:000869703000001</t>
  </si>
  <si>
    <t>Xue, X; Adams, BJ; Dilman, AR</t>
  </si>
  <si>
    <t>Xue, Xia; Adams, Byron J.; Dilman, Adler R.</t>
  </si>
  <si>
    <t>A Draft Mitogenome of Plectus murrayi</t>
  </si>
  <si>
    <t>JOURNAL OF NEMATOLOGY</t>
  </si>
  <si>
    <t>Antarctica; genomics; genome decay; mitochondrial genome; MitoZ; phylogeny</t>
  </si>
  <si>
    <t>TOLERANCE; NEMATODES; EVOLUTION; SURVIVAL</t>
  </si>
  <si>
    <t>Plectus murrayi is a free-living microbivorous nematode endemic to Antarctic soils. Our draft assembly of its mitogenome was 15,656 bp long, containing 12 protein-coding, eight transfer RNA (tRNA), and two ribosomal RNA (rRNA) genes. Mitophylogenomic analyses extend our understanding of mitochondrial evolution in Nematoda</t>
  </si>
  <si>
    <t>[Xue, Xia] Zhengzhou Univ, Affiliated Hosp 5, Henan Key Lab Helicobacter Pylori &amp; Microbiota &amp;, Marshall Med Res Ctr, Zhengzhou, Henan, Peoples R China; [Xue, Xia; Adams, Byron J.] Brigham Young Univ BYU, Dept Biol &amp; Evolutionary Ecol Labs, Provo, UT 84602 USA; [Adams, Byron J.] BYU Life Sci Museum, Provo, UT USA; [Dilman, Adler R.] Univ Calif Riverside, Dept Nematol, Riverside, CA 92521 USA</t>
  </si>
  <si>
    <t>Zhengzhou University; University of California System; University of California Riverside</t>
  </si>
  <si>
    <t>Xue, X (corresponding author), Zhengzhou Univ, Affiliated Hosp 5, Henan Key Lab Helicobacter Pylori &amp; Microbiota &amp;, Marshall Med Res Ctr, Zhengzhou, Henan, Peoples R China.;Xue, X (corresponding author), Brigham Young Univ BYU, Dept Biol &amp; Evolutionary Ecol Labs, Provo, UT 84602 USA.</t>
  </si>
  <si>
    <t>xue-xiasophia@hotmail.com</t>
  </si>
  <si>
    <t>XUE, XIA/HJZ-1573-2023</t>
  </si>
  <si>
    <t>National Science Foundation [OPP-1637708]</t>
  </si>
  <si>
    <t>National Science Foundation(National Science Foundation (NSF))</t>
  </si>
  <si>
    <t>This project was supported by the National Science Foundation (grant number OPP-1637708 for Long-Term Ecological Research). We thank the Millard and Muriel Jacobs Genetics and Genomics Laboratory at Caltech for their assistance with genome and transcriptome sequencing. The Research Supercomputing Centers at Brigham Young University and Zhengzhou University were used for genomic assembly and annotation. Any opinions, findings, conclusions, or recommendations expressed here are those of the author(s) and do not necessarily reflect the views of the National Science Foundation.</t>
  </si>
  <si>
    <t>SOC NEMATOLOGISTS</t>
  </si>
  <si>
    <t>MARCELINE</t>
  </si>
  <si>
    <t>PO BOX 311, MARCELINE, MO 64658 USA</t>
  </si>
  <si>
    <t>0022-300X</t>
  </si>
  <si>
    <t>2640-396X</t>
  </si>
  <si>
    <t>J NEMATOL</t>
  </si>
  <si>
    <t>J. Nematol.</t>
  </si>
  <si>
    <t>e2022-1</t>
  </si>
  <si>
    <t>10.2478/jofnem-2022-0035</t>
  </si>
  <si>
    <t>Zoology</t>
  </si>
  <si>
    <t>5D3MK</t>
  </si>
  <si>
    <t>WOS:000864850200002</t>
  </si>
  <si>
    <t>Rudd, RC; Tyler, JJ; Tibby, J; Tanabe, Y; Kudoh, S</t>
  </si>
  <si>
    <t>Rudd, Rachel Claire; Tyler, Jonathan James; Tibby, John; Tanabe, Yukiko; Kudoh, Sakae</t>
  </si>
  <si>
    <t>Ecological and habitat preferences of diatoms in lakes of Lutzow-Holm Bay, East Antarctica</t>
  </si>
  <si>
    <t>FRESHWATER BIOLOGY</t>
  </si>
  <si>
    <t>algae; climate; ecology; Lake salinity; Palaeolimnology; polar region</t>
  </si>
  <si>
    <t>JAMES-ROSS-ISLAND; HIGH ARCTIC LAKE; FRESH-WATER; PALEOSALINITY HISTORY; LARSEMANN HILLS; VESTFOLD HILLS; RAUER ISLANDS; BUNGER HILLS; SALINE LAKES; PRYDZ BAY</t>
  </si>
  <si>
    <t>Lakes and ponds along the Antarctic coastline provide an opportunity for palaeoclimate reconstructions to complement ice core records from the interior of the continent, including via their diatom records. Diatom palaeoecological studies in remote Antarctica are partially undermined by uncertainty concerning the relative influence of climate, water quality and substrate on diatom species assemblages. The relative abundance and distribution of diatoms across a range of substrates and water depths were analysed from nine lakes in the coastal ice-free regions of Lutzow-Holm Bay, East Antarctica. Specific conductivity and sample position (whether from the shallow, littoral zone, or from deeper parts of the lake) were identified as significant variables in explaining diatom distribution, using non-metric multidimensional scaling and regression tree analysis to identify statistically significant groupings of diatom assemblages and associated environmental variables. In contrast to the significant difference between the diatom assemblages from the shallow littoral region and the lake floor at most sites, the diatom flora from different substrates in the littoral zone were not significantly different, which may be related to the extent of ice cover. Humodophila australis was the most common species in the lakes with lowest specific conductivity, whereas Halamphora vyvermaniana was associated with lake-floor habitats and Psammothidium papilio with samples from littoral zones at several sites. These observations hold significance for the interpretation of lake sediment diatom assemblages in Lutzow-Holm Bay as archives of past climate and indicate that sampling strategies should consider a range of locations in lakes, with samples from the lake floor prioritised for the interpretation of sediment core diatom records.</t>
  </si>
  <si>
    <t>[Rudd, Rachel Claire] Univ Queensland, Sch Earth &amp; Environm Sci, St Lucia, Qld, Australia; [Rudd, Rachel Claire; Tyler, Jonathan James] Univ Adelaide, Dept Earth Sci, Adelaide, SA, Australia; [Rudd, Rachel Claire; Tyler, Jonathan James; Tibby, John] Univ Adelaide, Sprigg Geobiol Ctr, Adelaide, SA, Australia; [Tibby, John] Univ Adelaide, Dept Geog Environm &amp; Populat, Adelaide, SA, Australia; [Tanabe, Yukiko; Kudoh, Sakae] Natl Inst Polar Res, Res Org Informat &amp; Syst, Tokyo, Japan; [Tanabe, Yukiko; Kudoh, Sakae] Sokendai Grad Univ Adv Studies, Dept Polar Sci, Tokyo, Japan</t>
  </si>
  <si>
    <t>University of Queensland; University of Adelaide; University of Adelaide; University of Adelaide; Research Organization of Information &amp; Systems (ROIS); National Institute of Polar Research (NIPR) - Japan; Graduate University for Advanced Studies - Japan</t>
  </si>
  <si>
    <t>Rudd, RC (corresponding author), Univ Queensland, Sch Earth &amp; Environm Sci, St Lucia, Qld, Australia.</t>
  </si>
  <si>
    <t>r.rudd@uq.edu.au</t>
  </si>
  <si>
    <t>Rudd, Rachel/0000-0003-1139-5805</t>
  </si>
  <si>
    <t>Australian Government Research Training Program</t>
  </si>
  <si>
    <t>Australian Government Research Training Program(Australian Government)</t>
  </si>
  <si>
    <t>0046-5070</t>
  </si>
  <si>
    <t>1365-2427</t>
  </si>
  <si>
    <t>FRESHWATER BIOL</t>
  </si>
  <si>
    <t>Freshw. Biol.</t>
  </si>
  <si>
    <t>10.1111/fwb.14000</t>
  </si>
  <si>
    <t>Ecology; Marine &amp; Freshwater Biology</t>
  </si>
  <si>
    <t>5X4DJ</t>
  </si>
  <si>
    <t>WOS:000862029100001</t>
  </si>
  <si>
    <t>Tranter, SN; Estradivari; Ahmadia, GN; Andradi-Brown, DA; Muenzel, D; Agung, F; Amkieltiela; Ford, AK; Habibi, A; Handayani, CN; Iqbal, M; Krueck, NC; Lazuardi, ME; Muawanah, U; Papilaya, RL; Razak, TB; Sapari, A; Sjahruddin, FF; Veverka, L; Yusri, S; Beger, M</t>
  </si>
  <si>
    <t>Tranter, Sylvie N.; Estradivari; Ahmadia, Gabby N.; Andradi-Brown, Dominic A.; Muenzel, Dominic; Agung, Firdaus; Amkieltiela; Ford, Amanda K.; Habibi, Abdullah; Handayani, Christian N.; Iqbal, Mohamad; Krueck, Nils C.; Lazuardi, Muhammad E.; Muawanah, Umi; Papilaya, Renoldy L.; Razak, Tries B.; Sapari, Agus; Sjahruddin, Fikri F.; Veverka, Laura; Yusri, Safran; Beger, Maria</t>
  </si>
  <si>
    <t>The inclusion of fisheries and tourism in marine protected areas to support conservation in Indonesia</t>
  </si>
  <si>
    <t>MARINE POLICY</t>
  </si>
  <si>
    <t>Marine protected areas; Indonesia; Area -based management; Fisheries; Tourism; Climate change</t>
  </si>
  <si>
    <t>SOUTHEAST MALUKU; MANAGEMENT; CHALLENGES; KEY; RESERVES; IMPACTS; DESIGN</t>
  </si>
  <si>
    <t>With the rapid growth of Indonesia's marine protected area (MPAs) estate in Indonesia, reaching 23.9 million hectares by January 2020, attention needs to be focused on strengthening the effectiveness of MPA management. Consolidating and expanding protection of Indonesia's marine resources is critical with increasing pressure from a fast-expanding population, illegal, unreported, and unregulated fishing, pollution, coastal development, un-sustainable tourism and climate change. Biodiversity conservation must therefore concurrently consider multiple economic sectors such as fisheries and tourism, and their synergies with MPA management. This paper aims to outline the current landscape of fisheries and marine tourism pertaining to area-based conservation in Indonesia, to inform and support improved integration into effective MPA management. Four areas to focus efforts were identified: diversification of governance types of community-based management, improved coordination be-tween fisheries and MPAs during planning and management implementation, the development and support of pathways for sustainable tourism, and planning for future conditions. Sustainable development for fisheries and tourism must be incorporated into all aspects of MPA management, whilst recognising that current management systems are insufficient to ensure long-term sustainability for natural resources and local communities, and strategies need to increase resilience of social-ecological systems in anticipation of future conditions.</t>
  </si>
  <si>
    <t>[Tranter, Sylvie N.; Muenzel, Dominic; Beger, Maria] Univ Leeds, Fac Biol Sci, Sch Biol, Leeds, England; [Estradivari; Amkieltiela] WWF Indonesia, Conservat Sci Unit, Graha Simatupang Tower,Jalan Letjen TB Simatupang, Jakarta 12540, Indonesia; [Estradivari] Leibniz Ctr Trop Marine Res ZMT, Ecol Dept, Fahrenheitstr 6, D-28359 Bremen, Germany; [Ahmadia, Gabby N.; Andradi-Brown, Dominic A.; Sapari, Agus; Veverka, Laura] World Wildlife Fund, Ocean Conservat, 1250 24th St NW, Washington, DC 20037 USA; [Agung, Firdaus] Minist Marine Affairs &amp; Fisheries, Jakarta 10110, Indonesia; [Amkieltiela] Katholieke Univ Leuven, Dept Earth &amp; Environm Sci, Celestijnenlaan 200E, B-3001 Leuven, Belgium; [Ford, Amanda K.] Univ South Pacific, Sch Agr Geog Environm Ocean &amp; Nat Sci, Suva, Fiji; [Habibi, Abdullah] Univ Washington, Sch Aquat &amp; Fishery Sci, Seattle, WA 98105 USA; [Iqbal, Mohamad; Lazuardi, Muhammad E.] WWF Indonesia, Marine &amp; Fisheries Program, Denpasar 80226, Bali, Indonesia; [Krueck, Nils C.] Univ Tasmania, Inst Marine &amp; Antarctic Studies IMAS, Hobart, Tas, Australia; [Muawanah, Umi] Minist Marine Affairs &amp; Fisheries, Res Ctr Socio Econ Marine Affairs &amp; Fisheries, Jakarta, Indonesia; [Papilaya, Renoldy L.; Beger, Maria] Pattimura Univ, Fac Fisheries &amp; Marine Sci, Ambon, Maluku, Indonesia; [Razak, Tries B.] IPB Univ, Fac Fisheries &amp; Marine Sci, Dept Marine Sci &amp; Technol, Darmaga Bogor 16680, West Java, Indonesia; [Sjahruddin, Fikri F.] Univ Queensland, Sch Biol Sci, Marine Spatial Ecol Lab, Brisbane, Australia; [Yusri, Safran] Yayasan TERANGI, Jl Asyibaniah 105-106, Depok, West Java, Indonesia; [Beger, Maria] Univ Queensland, Ctr Biodivers &amp; Conservat Sci, Sch Biol Sci, Brisbane, Qld 4072, Australia</t>
  </si>
  <si>
    <t>University of Leeds; World Wildlife Fund; Leibniz Zentrum fur Marine Tropenforschung (ZMT); World Wildlife Fund; Ministry of Marine Affairs and Fisheries; KU Leuven; University of the South Pacific; University of Washington; University of Washington Seattle; World Wildlife Fund; University of Tasmania; Ministry of Marine Affairs and Fisheries; Universitas Pattimura; University of Queensland; University of Queensland</t>
  </si>
  <si>
    <t>Andradi-Brown, DA (corresponding author), World Wildlife Fund, Ocean Conservat, 1250 24th St NW, Washington, DC 20037 USA.</t>
  </si>
  <si>
    <t>Dominic.Andradi-Brown@wwfus.org</t>
  </si>
  <si>
    <t>Beger, Maria/ABC-5975-2022; , Estradivari/ABI-2837-2020</t>
  </si>
  <si>
    <t>Beger, Maria/0000-0003-1363-3571; , Estradivari/0000-0002-2789-8522; Papilaya, Renoldy Lamberthy/0000-0003-2799-5549; Muenzel, Dominic/0000-0002-7158-7748; Razak, Tries Blandine/0000-0003-4664-9334</t>
  </si>
  <si>
    <t>ELSEVIER SCI LTD</t>
  </si>
  <si>
    <t>THE BOULEVARD, LANGFORD LANE, KIDLINGTON, OXFORD OX5 1GB, OXON, ENGLAND</t>
  </si>
  <si>
    <t>0308-597X</t>
  </si>
  <si>
    <t>1872-9460</t>
  </si>
  <si>
    <t>MAR POLICY</t>
  </si>
  <si>
    <t>Mar. Pol.</t>
  </si>
  <si>
    <t>10.1016/j.marpol.2022.105301</t>
  </si>
  <si>
    <t>Environmental Studies; International Relations</t>
  </si>
  <si>
    <t>Social Science Citation Index (SSCI)</t>
  </si>
  <si>
    <t>Environmental Sciences &amp; Ecology; International Relations</t>
  </si>
  <si>
    <t>5X5JK</t>
  </si>
  <si>
    <t>Green Accepted</t>
  </si>
  <si>
    <t>WOS:000878635600007</t>
  </si>
  <si>
    <t>Lois, NA; Balza, U; Brasso, R; Dodino, S; Pütz, K; Polito, MJ; Riccialdelli, L; Ciancio, J; Quillfeldt, P; Mahler, B; Rey, AR</t>
  </si>
  <si>
    <t>Lois, Nicolas A.; Balza, Ulises; Brasso, Rebecka; Dodino, Samanta; Puetz, Klemens; Polito, Michael J.; Riccialdelli, Luciana; Ciancio, Javier; Quillfeldt, Petra; Mahler, Bettina; Raya Rey, Andrea</t>
  </si>
  <si>
    <t>Mercury and stable isotopes portray colony-specific foraging grounds in southern rockhopper penguins over the Patagonian Shelf</t>
  </si>
  <si>
    <t>MARINE POLLUTION BULLETIN</t>
  </si>
  <si>
    <t>Seabirds; Feathers; Southwest Atlantic; Mercury hotspot; Bioaccumulation; Trophic position</t>
  </si>
  <si>
    <t>EUDYPTES-CHRYSOCOME-CHRYSOCOME; MARINE ECOSYSTEMS; FEATHER MERCURY; INTERANNUAL VARIATION; TROPHIC CALCULATIONS; POPULATION TRENDS; DIET COMPOSITION; EXPOSURE; BIOINDICATORS; SEGREGATION</t>
  </si>
  <si>
    <t>Mercury pollution is a serious global environmental issue and the characterization of its distribution and its driving forces should be urgently included in research agendas. We report unusually high mercury (Hg) con-centrations (&gt;5 mu g/g) along with stable isotopes values in feathers of southern rockhopper penguins (Eudyptes chrysocome) from colonies in the Southwest Atlantic Ocean. We found a highly heterogenous prevalence of Hg throughout the study area and over a three-fold higher mean Hg concentration in southernmost colonies. Variation in Hg concentrations among colonies is primarily explained by site, rather than by trophic position. We provide further support to the existence of a Hg hotspot in the food web of the Patagonian Shelf and spatially restrict it to the southern tip of South America. Our findings highlight the need for regional and colony-based seabird conservation management when high local variability and plasticity in foraging habits is evident.</t>
  </si>
  <si>
    <t>[Lois, Nicolas A.; Mahler, Bettina] Univ Buenos Aires, DEGE FCEyN UBA, Fac Ciencias Exactas &amp; Nat, Dept Ecol Genet &amp; Evoluc, Buenos Aires, DF, Argentina; [Lois, Nicolas A.; Mahler, Bettina] Consejo Nacl Invest Cient &amp; Tecn IEGEBA CONICET, Inst Ecol Genet &amp; Evoluc Buenos Aires, Buenos Aires, DF, Argentina; [Balza, Ulises; Dodino, Samanta; Riccialdelli, Luciana; Raya Rey, Andrea] Consejo Nacl Invest Cient &amp; Tecn CADIC CONICET, Ctr Austral Invest Cient, Ushuaia, Argentina; [Brasso, Rebecka] Weber State Univ, Ogden, UT 84408 USA; [Puetz, Klemens] Antarctic Res Trust, Bremervorde, Germany; [Polito, Michael J.] Louisiana State Univ, Dept Oceanog &amp; Coastal Sci, Baton Rouge, LA 70803 USA; [Ciancio, Javier] Ctr Estudio Sistemas Marinos CESIMAR CONICET, Puerto Madryn, Chubut, Argentina; [Quillfeldt, Petra] Justus Liebig Univ Giessen, Dept Anim Ecol &amp; Systemat, Giessen, Germany; [Raya Rey, Andrea] Univ Nacl Tierra del Fuego ICPA UNTdF, Inst Ciencias Polares Ambiente &amp; Recursos Nat, Ushuaia, Argentina; [Raya Rey, Andrea] Wildlife Conservat Soc, Buenos Aires, DF, Argentina</t>
  </si>
  <si>
    <t>University of Buenos Aires; Utah System of Higher Education; Weber State University; Louisiana State University System; Louisiana State University; Justus Liebig University Giessen</t>
  </si>
  <si>
    <t>Lois, NA (corresponding author), Univ Buenos Aires, DEGE FCEyN UBA, Fac Ciencias Exactas &amp; Nat, Dept Ecol Genet &amp; Evoluc, Buenos Aires, DF, Argentina.</t>
  </si>
  <si>
    <t>nlois@ege.fcen.uba.ar</t>
  </si>
  <si>
    <t>Dodino, Samanta/HHS-1916-2022; Polito, Michael/G-9118-2012; Brasso, Rebecka L/I-7014-2013; Balza, Ulises/AAO-6580-2020</t>
  </si>
  <si>
    <t>Dodino, Samanta/0000-0002-5091-6063; Polito, Michael/0000-0001-8639-4431; Balza, Ulises/0000-0003-1538-2438; Ciancio, Javier/0000-0003-1674-842X; Lois, Nicolas A./0000-0001-5664-0486</t>
  </si>
  <si>
    <t>PERGAMON-ELSEVIER SCIENCE LTD</t>
  </si>
  <si>
    <t>THE BOULEVARD, LANGFORD LANE, KIDLINGTON, OXFORD OX5 1GB, ENGLAND</t>
  </si>
  <si>
    <t>0025-326X</t>
  </si>
  <si>
    <t>1879-3363</t>
  </si>
  <si>
    <t>MAR POLLUT BULL</t>
  </si>
  <si>
    <t>Mar. Pollut. Bull.</t>
  </si>
  <si>
    <t>NOV</t>
  </si>
  <si>
    <t>10.1016/j.marpolbul.2022.114137</t>
  </si>
  <si>
    <t>5U6IP</t>
  </si>
  <si>
    <t>WOS:000876648700002</t>
  </si>
  <si>
    <t>Li, YF; Tan, LJ; Liu, FY; Li, MY; Zeng, SY; Gui, YL; Zhao, Y; Wang, JJ</t>
  </si>
  <si>
    <t>Li, Yufeng; Tan, Lijun; Liu, Fanyu; Li, Mengyu; Zeng, Siying; Gui, Yunlei; Zhao, Yong; Wang, Jing Jing</t>
  </si>
  <si>
    <t>Effects of soluble Antarctic krill protein-curcumin complex combined with photodynamic inactivation on the storage quality of shrimp</t>
  </si>
  <si>
    <t>FOOD CHEMISTRY</t>
  </si>
  <si>
    <t>Photodynamic inactivation (PDI); Curcumin; Shrimp; Soluble Antarctic krill protein; Storage quality</t>
  </si>
  <si>
    <t>ISOLATE</t>
  </si>
  <si>
    <t>A new protein complex (SAKP-Cur) was successfully prepared by combining soluble Antarctic krill protein with curcumin through hydrophobic action. The potency of photodynamic inactivation (PDI) mediated by the com-plex on preserving the storage quality of shrimp at 4 degrees C was investigated by microbiological, chemical, physical and histological methods. Results showed that the SAKP-Cur significantly improved the stability of curcumin, and greatly inactivated the native bacteria in shrimp driven by PDI. Meanwhile, the complex-mediated PDI effectively reduced the endogenous enzyme activity, the production of total volatile basic nitrogen (TVB-N) and malondialdehyde (MDA) in shrimp. Moreover, it obviously maintained the integrity and elasticity of the muscle fibers, thereby reducing the loss of water in myofibrils. Notably, the SAKP-Cur enhanced the PDI potency to preserve the freshness of shrimp during 4 degrees C storage or freeze-thaw cycles treatment. Therefore, the SAKP-Cur coupled with PDI is an effective fresh-keeping technology for aquatic products.</t>
  </si>
  <si>
    <t>[Li, Yufeng; Liu, Fanyu; Li, Mengyu; Zeng, Siying; Gui, Yunlei] Anhui Polytech Univ, Coll Biol &amp; Food Engn, Wuhu 241000, Peoples R China; [Li, Yufeng; Tan, Lijun; Zhao, Yong; Wang, Jing Jing] Shanghai Ocean Univ, Coll Food Sci &amp; Technol, Shanghai 201306, Peoples R China; [Zhao, Yong; Wang, Jing Jing] Minist Agr &amp; Rural Affairs, Lab Qual &amp; Safety Risk Assessment Aquat Prod Stora, Shanghai 201306, Peoples R China; [Tan, Lijun] Hefei Univ Technol, Sch Food &amp; Biol Engn, Hefei 230601, Peoples R China</t>
  </si>
  <si>
    <t>Anhui Polytechnic University; Shanghai Ocean University; Ministry of Agriculture &amp; Rural Affairs; Hefei University of Technology</t>
  </si>
  <si>
    <t>Zhao, Y; Wang, JJ (corresponding author), Shanghai Ocean Univ, Coll Food Sci &amp; Technol, Shanghai 201306, Peoples R China.</t>
  </si>
  <si>
    <t>yzhao@shou.edu.cn; w_j2010@126.com</t>
  </si>
  <si>
    <t>Li, yu/HHZ-5236-2022; LI, Wenhui/JCD-9947-2023; LI, yi/HKO-0480-2023; Tan, Lijun/GRX-8547-2022; Li, Yuxiang/HNJ-4258-2023</t>
  </si>
  <si>
    <t>Tan, Lijun/0000-0003-1090-8314;</t>
  </si>
  <si>
    <t>National Natural Science Foundation of China [31571917, 32102105]; Scientific Research Foundation of Anhui Polytechic University [2021YQQ046]; National Key Research and Development Program [2018YFC1602205]</t>
  </si>
  <si>
    <t>National Natural Science Foundation of China(National Natural Science Foundation of China (NSFC)); Scientific Research Foundation of Anhui Polytechic University; National Key Research and Development Program</t>
  </si>
  <si>
    <t>This research was supported by the National Natural Science Foundation of China (31571917, 32102105); the Scientific Research Foundation of Anhui Polytechic University (2021YQQ046); the National Key Research and Development Program (2018YFC1602205).</t>
  </si>
  <si>
    <t>0308-8146</t>
  </si>
  <si>
    <t>1873-7072</t>
  </si>
  <si>
    <t>FOOD CHEM</t>
  </si>
  <si>
    <t>Food Chem.</t>
  </si>
  <si>
    <t>MAR 1</t>
  </si>
  <si>
    <t>10.1016/j.foodchem.2022.134388</t>
  </si>
  <si>
    <t>Chemistry, Applied; Food Science &amp; Technology; Nutrition &amp; Dietetics</t>
  </si>
  <si>
    <t>Chemistry; Food Science &amp; Technology; Nutrition &amp; Dietetics</t>
  </si>
  <si>
    <t>5O5SS</t>
  </si>
  <si>
    <t>WOS:000872533500009</t>
  </si>
  <si>
    <t>Beech, N; Rackow, T; Semmler, T; Danilov, S; Wang, Q; Jung, T</t>
  </si>
  <si>
    <t>Beech, Nathan; Rackow, Thomas; Semmler, Tido; Danilov, Sergey; Wang, Qiang; Jung, Thomas</t>
  </si>
  <si>
    <t>Long-term evolution of ocean eddy activity in a warming world</t>
  </si>
  <si>
    <t>NATURE CLIMATE CHANGE</t>
  </si>
  <si>
    <t>POLEWARD SHIFT; MESOSCALE VARIABILITY; AGULHAS LEAKAGE; ATLANTIC; MODEL; KUROSHIO; NORTH; CIRCULATION; TRENDS; IMPACT</t>
  </si>
  <si>
    <t>Mesoscale ocean eddies, an important element of the climate system, impact ocean circulation, heat uptake, gas exchange, carbon sequestration and nutrient transport. Much of what is known about ongoing changes in ocean eddy activity is based on satellite altimetry; however, the length of the altimetry record is limited, making it difficult to distinguish anthropogenic change from natural variability. Using a climate model that exploits a variable-resolution unstructured mesh in the ocean component to enhance grid resolution in eddy-rich regions, we investigate the long-term response of ocean eddy activity to anthropogenic climate change. Eddy kinetic energy is projected to shift poleward in most eddy-rich regions, to intensify in the Kuroshio Current, Brazil and Malvinas currents and Antarctic Circumpolar Current and to decrease in the Gulf Stream. Modelled changes are linked to elements of the broader climate including Atlantic meridional overturning circulation decline, intensifying Agulhas leakage and shifting Southern Hemisphere westerlies.</t>
  </si>
  <si>
    <t>[Beech, Nathan; Semmler, Tido; Danilov, Sergey; Wang, Qiang; Jung, Thomas] Helmholtz Ctr Polar &amp; Marine Res, Alfred Wegener Inst, Bremerhaven, Germany; [Rackow, Thomas] European Ctr Medium Range Weather Forecasts, Bonn, Germany; [Danilov, Sergey] Jacobs Univ, Math &amp; Logist, Bremen, Germany; [Jung, Thomas] Univ Bremen, Dept Phys &amp; Elect Engn, Bremen, Germany</t>
  </si>
  <si>
    <t>Helmholtz Association; Alfred Wegener Institute, Helmholtz Centre for Polar &amp; Marine Research; Jacobs University; University of Bremen</t>
  </si>
  <si>
    <t>Beech, N (corresponding author), Helmholtz Ctr Polar &amp; Marine Res, Alfred Wegener Inst, Bremerhaven, Germany.</t>
  </si>
  <si>
    <t>nathan.beech@awi.de</t>
  </si>
  <si>
    <t>Rackow, Thomas/AAP-2735-2020; Jung, Thomas/J-5239-2012; Danilov, Sergey/S-6184-2016; Semmler, Tido/B-7666-2017</t>
  </si>
  <si>
    <t>Rackow, Thomas/0000-0002-5468-575X; Jung, Thomas/0000-0002-2651-1293; Danilov, Sergey/0000-0001-8098-182X; Beech, Nathan/0000-0002-2051-0038; Semmler, Tido/0000-0002-2254-4901; Wang, Qiang/0000-0002-2704-5394</t>
  </si>
  <si>
    <t>Helmholtz Association [ZT-0003]; Scientific Steering Committee (WLA) [995]; European Union [101003470]; Helmholtz Climate Initiative REKLIM (Regional Climate Change); EPICA project in the research theme 'MARE:N-Polarforschung/MOSAiC' - German Federal Ministry for Education and Research [03F0889A]</t>
  </si>
  <si>
    <t>Helmholtz Association(Helmholtz Association); Scientific Steering Committee (WLA); European Union(European Union (EU)); Helmholtz Climate Initiative REKLIM (Regional Climate Change); EPICA project in the research theme 'MARE:N-Polarforschung/MOSAiC' - German Federal Ministry for Education and Research</t>
  </si>
  <si>
    <t>The work described in this paper has received funding from the Helmholtz Association through the project 'Advanced Earth System Model Capacity' (project leader: T.J., support code: ZT-0003) in the frame of the initiative 'Zukunftsthemen'. The content of the paper is the sole responsibility of the authors and it does not represent the opinion of the Helmholtz Association, and the Helmholtz Association is not responsible for any use that might be made of information contained. This work used resources of the Deutsches Klimarechenzentrum (DKRZ) granted by its Scientific Steering Committee (WLA) under project ID 995. The CMIP data used in this study were replicated and made available by the DKRZ. This work was supported by the European Union's Horizon 2020 collaborative project NextGEMS (grant number 101003470). This work was supported by the Helmholtz Climate Initiative REKLIM (Regional Climate Change) and the EPICA project in the research theme 'MARE:N-Polarforschung/MOSAiC' funded by the German Federal Ministry for Education and Research with funding number 03F0889A.</t>
  </si>
  <si>
    <t>1758-678X</t>
  </si>
  <si>
    <t>1758-6798</t>
  </si>
  <si>
    <t>NAT CLIM CHANGE</t>
  </si>
  <si>
    <t>Nat. Clim. Chang.</t>
  </si>
  <si>
    <t>10.1038/s41558-022-01478-3</t>
  </si>
  <si>
    <t>Environmental Sciences; Environmental Studies; Meteorology &amp; Atmospheric Sciences</t>
  </si>
  <si>
    <t>Science Citation Index Expanded (SCI-EXPANDED); Social Science Citation Index (SSCI)</t>
  </si>
  <si>
    <t>5B8YM</t>
  </si>
  <si>
    <t>WOS:000863215100004</t>
  </si>
  <si>
    <t>Ariza, A; Lengaigne, M; Menkes, C; Lebourges-Dhaussy, A; Receveur, A; Gorgues, T; Habasque, J; Gutiérrez, M; Maury, O; Bertrand, A</t>
  </si>
  <si>
    <t>Ariza, Alejandro; Lengaigne, Matthieu; Menkes, Christophe; Lebourges-Dhaussy, Anne; Receveur, Aurore; Gorgues, Thomas; Habasque, Jeremie; Gutierrez, Mariano; Maury, Olivier; Bertrand, Arnaud</t>
  </si>
  <si>
    <t>Global decline of pelagic fauna in a warmer ocean</t>
  </si>
  <si>
    <t>BIOGEOGRAPHIC CLASSIFICATION; MESOPELAGIC FISH; MICRONEKTON; SCATTERING; FISHERIES; ATLANTIC; ZOOPLANKTON; COMMUNITIES; PACIFIC; BIOMASS</t>
  </si>
  <si>
    <t>Pelagic fauna is expected to be impacted under climate change according to ecosystem simulations. However, the direction and magnitude of the impact is still uncertain and still not corroborated by observation-based statistical studies. Here we compile a global underwater sonar database and 20 ocean climate projections to predict the future distribution of sound-scattering fauna around the world's oceans. We show that global pelagic fauna will be seriously compromised by the end of the twenty-first century if we continue under the current greenhouse emission scenario. Low and mid latitudes are expected to lose from 3% to 22% of animal biomass due to the expansion of low-productive systems, while higher latitudes would be populated by present-day temperate fauna, supporting results from ecosystem simulations. We further show that strong mitigation measures to contain global warming below 2 degrees C would reduce these impacts to less than half.</t>
  </si>
  <si>
    <t>[Ariza, Alejandro; Lengaigne, Matthieu; Maury, Olivier; Bertrand, Arnaud] Univ Montpellier, IFREMER, CNRS, MARBEC,IRD, Sete, France; [Menkes, Christophe] Univ Nouvelle Caledonie, Univ la Reunion, IFREMER, ENTROPIE,IRD,CNRS, Noumea, New Caledonia; [Lebourges-Dhaussy, Anne; Habasque, Jeremie] IFREMER, CNRS, UBO, LEMAR,IRD, Plouzane, France; [Receveur, Aurore] CESAB FRB, Montpellier, France; [Gorgues, Thomas] IFREMER, CNRS, UBO, LOPS,IRD, Plouzane, France; [Gutierrez, Mariano] Inst Humboldt Invest Marina &amp; Acuicola, Lima, Peru</t>
  </si>
  <si>
    <t>Institut de Recherche pour le Developpement (IRD); Ifremer; Centre National de la Recherche Scientifique (CNRS); Universite de Montpellier; Ifremer; Institut de Recherche pour le Developpement (IRD); Universite Nouvelle Caledonie; Universite de Bretagne Occidentale; Institut Universitaire Europeen de la Mer (IUEM); Centre National de la Recherche Scientifique (CNRS); Ifremer; Institut de Recherche pour le Developpement (IRD); Universite de Bretagne Occidentale; Institut Universitaire Europeen de la Mer (IUEM); Institut de Recherche pour le Developpement (IRD); Centre National de la Recherche Scientifique (CNRS); Ifremer</t>
  </si>
  <si>
    <t>Ariza, A (corresponding author), Univ Montpellier, IFREMER, CNRS, MARBEC,IRD, Sete, France.</t>
  </si>
  <si>
    <t>alejandro.ariza@ird.fr</t>
  </si>
  <si>
    <t>Maury, Olivier/I-4513-2013; Bertrand, Arnaud/E-4251-2010; Gorgues, Thomas/G-4544-2010; Lengaigne, Matthieu/M-8321-2014; Gutierrez, Mariano S./HII-3345-2022; Ariza, Alejandro/IZQ-3603-2023</t>
  </si>
  <si>
    <t>Maury, Olivier/0000-0002-7999-9982; Bertrand, Arnaud/0000-0003-4723-179X; Gorgues, Thomas/0000-0003-0091-0314; Lengaigne, Matthieu/0000-0002-0044-036X; Ariza, Alejandro/0000-0001-7864-4381; receveur, aurore/0000-0003-0675-4172</t>
  </si>
  <si>
    <t>International Joint Laboratory TAPIOCA; Horizon 2020 UE project PADDLE [73427]; Horizon 2020 UE project TRIATLAS [817578]</t>
  </si>
  <si>
    <t>International Joint Laboratory TAPIOCA; Horizon 2020 UE project PADDLE; Horizon 2020 UE project TRIATLAS</t>
  </si>
  <si>
    <t>We acknowledge the Australian Integrated Marine Observing System (IMOS), the French National Research Institute for Sustainable Development (IRD), the British Antarctic Survey (BAS), the Peruvian Marine Institute (IMARPE), the Pierre and Marie Curie University (UPMC) and the Spanish National Research Council (CSIC) for thaluable contributions to the public acoustic databases used in the present studyeir generous and inv. A.A. was funded by a post-doctoral IRD fellowship. This work is a contribution to and was supported by the International Joint Laboratory TAPIOCA and the Horizon 2020 UE projects PADDLE (grant agreement no. 73427) and TRIATLAS (grant agreement no. 817578).</t>
  </si>
  <si>
    <t>10.1038/s41558-022-01479-2</t>
  </si>
  <si>
    <t>Green Submitted, Green Accepted</t>
  </si>
  <si>
    <t>WOS:000863215100001</t>
  </si>
  <si>
    <t>George, JV; Naik, RK; Anilkumar, N; Sabu, P; Patil, SM; Mishra, RK</t>
  </si>
  <si>
    <t>George, Jenson Vilayil; Naik, Ravidas Krishna; Anilkumar, Narayanapillai; Sabu, Prabhakaran; Patil, Shramik Maruti; Mishra, Rajani Kanta</t>
  </si>
  <si>
    <t>Physical control on the inter-annual variability of summer dissolved nutrient concentration and phytoplankton biomass in the Indian sector of the Southern Ocean</t>
  </si>
  <si>
    <t>OCEANOLOGIA</t>
  </si>
  <si>
    <t>Indian sector of the Southern Ocean; Chlorophyll-a; Nutrients; Winter mixing; Sea ice; Fronts</t>
  </si>
  <si>
    <t>SUBTROPICAL FRONTAL REGION; SEA-ICE ZONE; AUSTRAL SUMMER; MESOSCALE EDDIES; IRON LIMITATION; THERMOHALINE STRUCTURE; COMMUNITY STRUCTURE; CROZET ISLANDS; WATER MASSES; CHLOROPHYLL</t>
  </si>
  <si>
    <t>To understand the role of physical processes and their interannual variability on the dissolved nutrient concentration and phytoplankton biomass distribution, field data collected in the Indian sector of the Southern Ocean (ISSO) during the austral summer of 2009-2011 are used. In the subtropical zone, macronutrients were limited (N:P &lt; 1, N:Si &lt; 1, Si:P approximate to 1) and the phytoplankton biomass variability was mainly governed by the mesoscale eddy activity associated with the Agulhas Return Current. High nutrient low chlorophyll condition prevailed in the sub-Antarctic zone and further south. A South-North gradient of the upper layer dissolved SiO 2 was higher than that of NO 3 . The sub-Antarctic zone was characterized by the highest N:Si ratio ( &gt; 4) and it was associated with the enhanced draw down of silicate due to the winter/spring diatom blooms in the region. The chlorophyll- a (CHL) concentration in the Polar Frontal Zone was low ( similar to 0.2 mg m -3 ) in 2009 and 2010 but it was high (0.5 mg m -3 ) in 2011. This increase in CHL in 2011 was due to the supply of dissolved iron from the strong winds and subsequent mixing during the winter of 2010. Further, the increased CHL values in the Antarctic zone (0.5 mg m -3 ) in 2011 compared to 2009 and 2010 could be due to the increased sea ice melting associated with positive Southern Annular Mode. The increased phytoplankton biomass in the summer of 2011 coincides with an increase in nitrate utilization (N:P approximate to 13) compared to 2009 and 2010. Observations showed that ISSO frontal zones are characterized by inter-annual variability in terms of nutrient utilization and phytoplankton biomass production. (c) 2022 Institute of Oceanology of the Polish Academy of Sciences. Production and host-ing by Elsevier B.V. This is an open access article under the CC BY license ( http://creativecommons.org/licenses/by/4.0/ ).</t>
  </si>
  <si>
    <t>[George, Jenson Vilayil; Naik, Ravidas Krishna; Anilkumar, Narayanapillai; Sabu, Prabhakaran; Patil, Shramik Maruti; Mishra, Rajani Kanta] Natl Ctr Polar &amp; Ocean Res, Vasco da Gama, Goa, India; [George, Jenson Vilayil] Minist Earth Sci, Natl Ctr Polar &amp; Ocean Res, Vasco da Gama, Goa, India</t>
  </si>
  <si>
    <t>Ministry of Earth Sciences (MoES) - India; National Centre for Polar and Ocean Research (NCPOR); Ministry of Earth Sciences (MoES) - India; National Centre for Polar and Ocean Research (NCPOR)</t>
  </si>
  <si>
    <t>George, JV (corresponding author), Minist Earth Sci, Natl Ctr Polar &amp; Ocean Res, Vasco da Gama, Goa, India.</t>
  </si>
  <si>
    <t>jenson@ncpor.res.in</t>
  </si>
  <si>
    <t>Ministry of Earth Sciences, Government of India; [J-15/2022-23]</t>
  </si>
  <si>
    <t>Ministry of Earth Sciences, Government of India(Ministry of Earth Science (MoES), Government of India);</t>
  </si>
  <si>
    <t>Acknowledgements This work was supported by the Ministry of Earth Sciences, Government of India. We are thankful to Director, NCPOR for the constant support. The authors also would like to thank the vessel management cell and the ship staff of both r/v Sagar Nidhi and r/v Akademic Boris Petrov for the suc- cessfull completion of Indian expedition to Southern Ocean 2009, 2010 and 2011. The in -situ data sets used in this study are available from NCPOR data bank. This is NCPOR contri- bution number J-15/2022-23.</t>
  </si>
  <si>
    <t>POLISH ACAD SCIENCES INST OCEANOLOGY</t>
  </si>
  <si>
    <t>SOPOT</t>
  </si>
  <si>
    <t>POWSTANCOW WASZAWY 55, PL-81-712 SOPOT, POLAND</t>
  </si>
  <si>
    <t>0078-3234</t>
  </si>
  <si>
    <t>2300-7370</t>
  </si>
  <si>
    <t>Oceanologia</t>
  </si>
  <si>
    <t>10.1016/j.oceano.2022.06.003</t>
  </si>
  <si>
    <t>5D2OM</t>
  </si>
  <si>
    <t>WOS:000864787800009</t>
  </si>
  <si>
    <t>Norton, M</t>
  </si>
  <si>
    <t>Norton, Marieke</t>
  </si>
  <si>
    <t>Making a network of patches, gaps, and spaces: marine and coastal governance in Stilbaai, South Africa</t>
  </si>
  <si>
    <t>MARITIME STUDIES</t>
  </si>
  <si>
    <t>Coastal sustainability; Marine governance; Stewardship; Relationality; Care; Marine Protected Areas</t>
  </si>
  <si>
    <t>SMALL-SCALE FISHERIES; PROTECTED AREAS; MANAGEMENT; IMPLEMENTATION</t>
  </si>
  <si>
    <t>Based on research conducted by myself and colleagues as part of the Southern Cape Interdisciplinary Fisheries Research Project, I present an overview of residents' perspectives on the Stilbaai Marine Protected Area, located on the Southern Cape coast of South Africa. Currently, South Africa's marine governance sector is often fraught with politicking, inefficiencies, and other effects that strain the social-ecological system. This research shows that despite some fragmentation of governance, there are opportunities, and a general willingness, to engage in activities that take care of the local environment on the behalf of residents, that serve to educate about ocean-positive behaviours and engage visitors more meaningfully on the benefits and value of the Stilbaai Marine Protected Area. Problems that residents perceive to be associated with the Marine Protected Area are noted, and suggestions are made to enhance a sense of caretaking, or sorgskap, within the community to fill the gaps of certain governance or regulation inadequacies. Indeed, I argue that in lieu of efficient formal governance structures and collaborations, it is the informal characteristic of caretaking activities by the community that renders these activities more sustainable, long term, and effective in building a culture of caretaking.</t>
  </si>
  <si>
    <t>[Norton, Marieke] Univ Cape Town, Dept Biol Sci, Cape Town, South Africa; [Norton, Marieke] Univ Cape Town, Marine &amp; Antarctic Res Ctr Innovat &amp; Sustainabil, Cape Town, South Africa</t>
  </si>
  <si>
    <t>University of Cape Town; University of Cape Town</t>
  </si>
  <si>
    <t>Norton, M (corresponding author), Univ Cape Town, Dept Biol Sci, Cape Town, South Africa.;Norton, M (corresponding author), Univ Cape Town, Marine &amp; Antarctic Res Ctr Innovat &amp; Sustainabil, Cape Town, South Africa.</t>
  </si>
  <si>
    <t>Marieke.norton@uct.ac.za</t>
  </si>
  <si>
    <t>Norton, Marieke/JZE-4204-2024</t>
  </si>
  <si>
    <t>Norton, Marieke/0000-0001-8672-3469</t>
  </si>
  <si>
    <t>South African Research Chair in Marine Ecology and Fisheries, Prof Astrid Jarre (NRF Grant) [65238]</t>
  </si>
  <si>
    <t>South African Research Chair in Marine Ecology and Fisheries, Prof Astrid Jarre (NRF Grant)</t>
  </si>
  <si>
    <t>This study was funded by the South African Research Chair in Marine Ecology and Fisheries, Prof Astrid Jarre (NRF Grant No. 65238).</t>
  </si>
  <si>
    <t>SPRINGER HEIDELBERG</t>
  </si>
  <si>
    <t>HEIDELBERG</t>
  </si>
  <si>
    <t>TIERGARTENSTRASSE 17, D-69121 HEIDELBERG, GERMANY</t>
  </si>
  <si>
    <t>1872-7859</t>
  </si>
  <si>
    <t>2212-9790</t>
  </si>
  <si>
    <t>MARIT STUD</t>
  </si>
  <si>
    <t>Marit. Stud.</t>
  </si>
  <si>
    <t>10.1007/s40152-022-00283-0</t>
  </si>
  <si>
    <t>Environmental Studies</t>
  </si>
  <si>
    <t>5Z2FC</t>
  </si>
  <si>
    <t>Bronze, Green Published</t>
  </si>
  <si>
    <t>WOS:000863123700001</t>
  </si>
  <si>
    <t>Larchenko, AV; Lebed, OM; Blagoveshchenskaya, NF; Pil'gaev, SV; Beketova, EB; Fedorenko, YV</t>
  </si>
  <si>
    <t>Larchenko, A. V.; Lebed, O. M.; Blagoveshchenskaya, N. F.; Pil'gaev, S. V.; Beketova, E. B.; Fedorenko, Yu. V.</t>
  </si>
  <si>
    <t>Features of the ELF/VLF Wave Generation and Propagation Processes during Ionospheric Modulated High-Frequency Heating</t>
  </si>
  <si>
    <t>RADIOPHYSICS AND QUANTUM ELECTRONICS</t>
  </si>
  <si>
    <t>ENERGY-TRANSFER; VLF WAVES; ELF; POLARIZATION; DEPENDENCE; REGION</t>
  </si>
  <si>
    <t>We consider the results of observations of the ELF/VLF horizontal magnetic field of the ionospheric source using a high-latitude network of PGI stations in the heating experiment of 2016 at the EISCAT/Heating facility. We have discovered that at frequencies close to the frequency of the first transverse resonance of the Earth-ionosphere waveguide (similar to 1.8 kHz), the amplitude of the horizontal magnetic field of the ionospheric source at the Barentsburg station (located 961 km from the heating facility) often exceeded the amplitudes at the mainland stations located closer to the heater (the nearest station Lotta is 395 km away). With all other conditions being equal, at frequencies considerably different from the frequency of the first transverse resonance, this effect was not observed. We identified and analyzed two possible physical mechanisms that can be responsible for the observed effect. The first is related to a fairly low decay of waves with frequencies close to the frequency of the first transverse resonance of the Earth-ionosphere waveguide when propagating above a highly conductive sea surface with a high reflection coefficient. The second is due to the non-uniformity of the radiation pattern of the ionospheric source. Numerical modeling of the generation and propagation of ELF/VLF waves in the Earth-ionosphere waveguide was carried out and the contribution of the proposed mechanisms was estimated. It is shown that the radiation pattern of the source does not have a notable effect and the experimental data are explained only by taking into account the high conductivity of the lower boundary of the waveguide along the EISCAT-Barentsburg path and low conductivity along the EISCAT-Lotta path. The state of the ionosphere is assessed and a family of electron density profiles for which a similar effect can be observed is obtained.</t>
  </si>
  <si>
    <t>[Larchenko, A. V.; Lebed, O. M.; Pil'gaev, S. V.; Fedorenko, Yu. V.] Polar Geophys Inst, Apatity, Russia; [Blagoveshchenskaya, N. F.] Arctic &amp; Antarctic Res Inst, St Petersburg, Russia; [Beketova, E. B.] Artctic State Univ, Branch Murmansk, Apatity, Russia</t>
  </si>
  <si>
    <t>Russian Academy of Sciences; Polar Geophysical Institute; Arctic &amp; Antarctic Research Institute</t>
  </si>
  <si>
    <t>Larchenko, AV (corresponding author), Polar Geophys Inst, Apatity, Russia.</t>
  </si>
  <si>
    <t>alexey.larchenko@gmail.com</t>
  </si>
  <si>
    <t>Larchenko, Alexey/A-5916-2017; Pilgaev, Sergei S.V./A-5784-2017</t>
  </si>
  <si>
    <t>0033-8443</t>
  </si>
  <si>
    <t>1573-9120</t>
  </si>
  <si>
    <t>RADIOPHYS QUANT EL+</t>
  </si>
  <si>
    <t>Radiophys. Quantum Electron.</t>
  </si>
  <si>
    <t>APR</t>
  </si>
  <si>
    <t>10.1007/s11141-022-10177-0</t>
  </si>
  <si>
    <t>Engineering, Electrical &amp; Electronic; Physics, Applied; Physics, Fluids &amp; Plasmas</t>
  </si>
  <si>
    <t>Engineering; Physics</t>
  </si>
  <si>
    <t>5F1VK</t>
  </si>
  <si>
    <t>WOS:000863176500001</t>
  </si>
  <si>
    <t>Devine, C</t>
  </si>
  <si>
    <t>Devine, Carol</t>
  </si>
  <si>
    <t>Mapping Antarctic and Arctic Women: An exploration of polar women's experiences and contributions through place names</t>
  </si>
  <si>
    <t>POLAR RECORD</t>
  </si>
  <si>
    <t>Mapping; Polar; Women; Arctic; Antarctic</t>
  </si>
  <si>
    <t>In this commentary, I investigate the Poles differently, and in situ, rather than only as stereotypically barren uninhabited expansive places on a globe or maps. The human stories are behind the relatively white space on which few place names are marked. But the more visible ones are made and told through a male-dominated, colonial narrator and mapmaker, until more recently. Cartography, like history, has overwhelmingly documented men's worlds, stories, dominations and accomplishments, creating a virtual whiteout of women's and notably Indigenous women's stories also in polar regions. In this commentary, I report on a journey into (re)mapmaking I did of women's stories told through female place names and toponymies of women especially in the Antarctic, through a crowd-sourced project, Mapping Antarctic Women. I explore not only mapping female place names and women's stories in the Arctic, exploring gendered, colonial and western culture mapping but also newer digital Indigenous place name mapping and also mapping of human-exacerbated changes in the ice that makes the Antarctic map.</t>
  </si>
  <si>
    <t>[Devine, Carol] York Univ, Dahdaleh Inst Global Hlth Res, Toronto, ON, Canada</t>
  </si>
  <si>
    <t>York University - Canada</t>
  </si>
  <si>
    <t>Devine, C (corresponding author), York Univ, Dahdaleh Inst Global Hlth Res, Toronto, ON, Canada.</t>
  </si>
  <si>
    <t>carol@caroldevine.org</t>
  </si>
  <si>
    <t>Devine, Carol/0000-0002-4656-2549</t>
  </si>
  <si>
    <t>0032-2474</t>
  </si>
  <si>
    <t>1475-3057</t>
  </si>
  <si>
    <t>POLAR REC</t>
  </si>
  <si>
    <t>POLAR REC.</t>
  </si>
  <si>
    <t>SEP 29</t>
  </si>
  <si>
    <t>e35</t>
  </si>
  <si>
    <t>10.1017/S003224742100070X</t>
  </si>
  <si>
    <t>Ecology; Environmental Sciences</t>
  </si>
  <si>
    <t>4Y3UR</t>
  </si>
  <si>
    <t>WOS:000861454300001</t>
  </si>
  <si>
    <t>Zhang, CM; Li, HR; Zeng, YX; Ding, HT; Wang, B; Li, YJ; Ji, ZQ; Bi, YH; Luo, W</t>
  </si>
  <si>
    <t>Zhang, Chunmei; Li, Huirong; Zeng, Yinxin; Ding, Haitao; Wang, Bin; Li, Yangjie; Ji, Zhongqiang; Bi, Yonghong; Luo, Wei</t>
  </si>
  <si>
    <t>Diversity and assembly processes of microbial eukaryotic communities in Fildes Peninsula Lakes (West Antarctica)</t>
  </si>
  <si>
    <t>BIOGEOSCIENCES</t>
  </si>
  <si>
    <t>KING GEORGE ISLAND; SUMMER PHYTOPLANKTON; MOLECULAR DIVERSITY; WATER; DISPERSAL; PICOEUKARYOTES; AVAILABILITY; BIODIVERSITY; BIOGEOGRAPHY; ECOSYSTEMS</t>
  </si>
  <si>
    <t>The diversity, co-occurrence patterns, and assembly processes of microbial eukaryotes (0.2-20 mu m) in Antarctic freshwater lakes are not well understood, despite their wide distribution and ecological importance. This study used Illumina high-throughput sequencing to investigate the microbial eukaryotic communities of five freshwater lakes on the Fildes Peninsula over three summer seasons. A total of 28 phyla were detected, with phytoplankton occupying the highest percentage of sequences (accounting for up to 98 %). The dominant taxa consisted of Chrysophyta, Chlorophyta, and Cryptophyta. The species richness (113-268) and Shannon index (1.70-3.50) varied among the lakes, with higher values recorded in Lake Chang Hu and Lake Kitec and the lowest value obtained for Lake Yue Ya. There were significant differences between the microbial eukaryotic communities of the lakes, with spatial and temporal heterogeneity in the relative abundance of the dominant taxa (P &lt; 0.05). Environmental variables explained about 39 % of the variation in community structures, with water temperature and phosphate identified as the driving factors (P &lt; 0.05). Network analysis revealed comprehensive co-occurrence relationships (positive correlation 82 % vs. negative correlation 18 %). The neutral community model revealed that neutral processes explained more than 55 % of the community variation. Stochastic processes (e.g. homogenizing dispersal and undominated processes) predominated in community assembly over the deterministic processes. These findings demonstrate the diversity of the microbial eukaryotic communities in the freshwater lakes of the Fildes Peninsula and have important implications for understanding the community assembly in these ecosystems.</t>
  </si>
  <si>
    <t>[Zhang, Chunmei; Li, Huirong; Zeng, Yinxin; Ding, Haitao; Luo, Wei] Minist Nat Resources, Key Lab Polar Sci, Polar Res Inst China, Shanghai 200136, Peoples R China; [Zhang, Chunmei; Bi, Yonghong] Chinese Acad Sci, Inst Hydrobiol, State Key Lab Freshwater Ecol &amp; Biotechnol, Wuhan 430072, Peoples R China; [Li, Huirong; Zeng, Yinxin; Ding, Haitao; Luo, Wei] Minist Nat Resources, Polar Res Inst China, Antarctic Great Wall Ecol Natl Observat &amp; Res Stn, Shanghai 200136, Peoples R China; [Li, Huirong; Zeng, Yinxin; Ding, Haitao; Luo, Wei] Shanghai Jiao Tong Univ, Sch Oceanog, Shanghai 200030, Peoples R China; [Wang, Bin; Li, Yangjie; Ji, Zhongqiang] Minist Nat Resources, Inst Oceanog 2, Key Lab Marine Ecosyst Dynam, Hangzhou 310012, Peoples R China</t>
  </si>
  <si>
    <t>Polar Research Institute of China; Ministry of Natural Resources of the People's Republic of China; Chinese Academy of Sciences; Institute of Hydrobiology, CAS; Ministry of Natural Resources of the People's Republic of China; Polar Research Institute of China; Shanghai Jiao Tong University; Ministry of Natural Resources of the People's Republic of China</t>
  </si>
  <si>
    <t>Luo, W (corresponding author), Minist Nat Resources, Key Lab Polar Sci, Polar Res Inst China, Shanghai 200136, Peoples R China.;Bi, YH (corresponding author), Chinese Acad Sci, Inst Hydrobiol, State Key Lab Freshwater Ecol &amp; Biotechnol, Wuhan 430072, Peoples R China.;Luo, W (corresponding author), Minist Nat Resources, Polar Res Inst China, Antarctic Great Wall Ecol Natl Observat &amp; Res Stn, Shanghai 200136, Peoples R China.;Luo, W (corresponding author), Shanghai Jiao Tong Univ, Sch Oceanog, Shanghai 200030, Peoples R China.</t>
  </si>
  <si>
    <t>biyh@ihb.ac.cn; luowei@pric.org.cn</t>
  </si>
  <si>
    <t>zhang, chunmei/IUQ-7038-2023; Li, Yangjie/ABF-3407-2021; zhang, chen/JES-0371-2023</t>
  </si>
  <si>
    <t>Luo, Wei/0000-0002-4472-2182</t>
  </si>
  <si>
    <t>National Natural Science Foundation of China [91851201, 31971477]; Hubei Key Laboratory of Three Gorges Project for Conservation of Fishes [SXSN/4194]</t>
  </si>
  <si>
    <t>National Natural Science Foundation of China(National Natural Science Foundation of China (NSFC)); Hubei Key Laboratory of Three Gorges Project for Conservation of Fishes</t>
  </si>
  <si>
    <t>This research has been supported by the National Natural Science Foundation of China (grant nos. 91851201 and 31971477) and the Open Fund from Hubei Key Laboratory of Three Gorges Project for Conservation of Fishes (SXSN/4194).</t>
  </si>
  <si>
    <t>COPERNICUS GESELLSCHAFT MBH</t>
  </si>
  <si>
    <t>GOTTINGEN</t>
  </si>
  <si>
    <t>BAHNHOFSALLEE 1E, GOTTINGEN, 37081, GERMANY</t>
  </si>
  <si>
    <t>1726-4170</t>
  </si>
  <si>
    <t>1726-4189</t>
  </si>
  <si>
    <t>Biogeosciences</t>
  </si>
  <si>
    <t>10.5194/bg-19-4639-2022</t>
  </si>
  <si>
    <t>Ecology; Geosciences, Multidisciplinary</t>
  </si>
  <si>
    <t>4Y4CM</t>
  </si>
  <si>
    <t>WOS:000861475000001</t>
  </si>
  <si>
    <t>Henry, ACJ; Drews, R; Schannwell, C; Visnjevic, V</t>
  </si>
  <si>
    <t>Henry, A. Clara J.; Drews, Reinhard; Schannwell, Clemens; Visnjevic, Vjeran</t>
  </si>
  <si>
    <t>Hysteretic evolution of ice rises and ice rumples in response to variations in sea level</t>
  </si>
  <si>
    <t>CRYOSPHERE</t>
  </si>
  <si>
    <t>MODEL INTERCOMPARISON PROJECT; DRONNING MAUD LAND; PINNING POINTS; WEST ANTARCTICA; SHEET; STABILITY; DYNAMICS; STREAM; MISMIP; SHELF</t>
  </si>
  <si>
    <t>Ice rises and ice rumples are locally grounded features found in coastal Antarctica and are surrounded by otherwise freely floating ice shelves. An ice rise has an independent flow regime, whereas the flow regime of an ice rumple conforms to that of the ice shelf and merely slows the flow of ice. In both cases, local highs in the bathymetry are in contact with the ice shelf from below, thereby regulating the large-scale ice flow, with implications for the upstream continental grounding line position. This buttressing effect, paired with the suitability of ice rises as a climate archive, necessitates a better understanding of the transition between ice rise and ice rumple, their evolution in response to a change in sea level, and their dynamic interaction with the surrounding ice shelf. We investigate this behaviour using a three-dimensional full Stokes ice flow model with idealised ice rises and ice rumples. The simulations span end-member basal friction scenarios of almost stagnant and fully sliding ice at the ice-bed interface. We analyse the coupling with the surrounding ice shelf by comparing the deviations between the non-local full Stokes surface velocities and the local shallow ice approximation (SIA). Deviations are generally high at the ice divides and small on the lee sides. On the stoss side, where ice rise and ice shelf have opposing flow directions, deviations can be significant. Differences are negligible in the absence of basal sliding where the corresponding steady-state ice rise is larger and develops a fully independent flow regime that is well described by SIA. When sea level is increased, and a transition from ice rise to ice rumple is approached, the divide migration is more abrupt the higher the basal friction. In each scenario, the transition occurs after the stoss-side grounding line has moved over the bed high and is positioned on a retrograde slope. We identify a hysteretic response of ice rises and ice rumples to changes in sea level, with grounded area being larger in a sea-level-increase scenario than in a sea-level-decrease scenario. This hysteresis shows not only irreversibility following an equal increase and subsequent decrease in sea level but also that the perturbation history is important when the ice rise or ice rumple geometry is not known. The initial grounded area needs to be carefully considered, as this will determine the formation of either an ice rise or an ice rumple, thereby causing different buttressing effects.</t>
  </si>
  <si>
    <t>[Henry, A. Clara J.; Schannwell, Clemens] Max Planck Inst Meteorol, Ocean Earth Syst, Hamburg, Germany; [Henry, A. Clara J.; Drews, Reinhard; Visnjevic, Vjeran] Univ Tubingen, Dept Geosci, Tubingen, Germany; [Henry, A. Clara J.] Max Planck Inst Meteorol, Int Max Planck Res Sch Earth Syst Modelling, Hamburg, Germany</t>
  </si>
  <si>
    <t>Max Planck Society; Eberhard Karls University of Tubingen; Max Planck Society</t>
  </si>
  <si>
    <t>Henry, ACJ (corresponding author), Max Planck Inst Meteorol, Ocean Earth Syst, Hamburg, Germany.;Henry, ACJ (corresponding author), Univ Tubingen, Dept Geosci, Tubingen, Germany.;Henry, ACJ (corresponding author), Max Planck Inst Meteorol, Int Max Planck Res Sch Earth Syst Modelling, Hamburg, Germany.</t>
  </si>
  <si>
    <t>clara.henry@mpimet.mpg.de</t>
  </si>
  <si>
    <t>Drews, reinhard/AAP-4134-2021</t>
  </si>
  <si>
    <t>Drews, reinhard/0000-0002-2328-294X; Henry, Clara/0000-0003-3894-5117; Schannwell, Clemens/0000-0002-6160-2107</t>
  </si>
  <si>
    <t>Deutsche Forschungsgemeinschaft (DFG) [SCHA 2139/1-1]; German Federal Ministry of Education and Research (BMBF) [01LP1915C]; Deutsche Forschungsgemeinschaft [DR 822/3-1]</t>
  </si>
  <si>
    <t>Deutsche Forschungsgemeinschaft (DFG)(German Research Foundation (DFG)); German Federal Ministry of Education and Research (BMBF)(Federal Ministry of Education &amp; Research (BMBF)); Deutsche Forschungsgemeinschaft(German Research Foundation (DFG))</t>
  </si>
  <si>
    <t>A. Clara J. Henry was supported by the Deutsche Forschungsgemeinschaft (DFG) in the framework of the priority programme 1158 Antarctic Research with Comparative Investigations in Arctic Ice Areas by grant SCHA 2139/1-1. Clemens Schannwell was supported by the German Federal Ministry of Education and Research (BMBF) as a Research for Sustainability initiative (FONA) through the PalMod project under the grant number 01LP1915C. Reinhard Drews and Vjeran Visnjevi ' c were supported by an Emmy Noether grant of the Deutsche Forschungsgemeinschaft (DR 822/3-1).</t>
  </si>
  <si>
    <t>1994-0416</t>
  </si>
  <si>
    <t>1994-0424</t>
  </si>
  <si>
    <t>Cryosphere</t>
  </si>
  <si>
    <t>10.5194/tc-16-3889-2022</t>
  </si>
  <si>
    <t>4Y4CQ</t>
  </si>
  <si>
    <t>WOS:000861475400001</t>
  </si>
  <si>
    <t>Schwamborn, G; Schirrmeister, L; Mohammadi, A; Meyer, H; Kartoziia, A; Maggioni, F; Strauss, J</t>
  </si>
  <si>
    <t>Schwamborn, Georg; Schirrmeister, Lutz; Mohammadi, Ali; Meyer, Hanno; Kartoziia, Andrei; Maggioni, Flavio; Strauss, Jens</t>
  </si>
  <si>
    <t>Fluvial and permafrost history of the lower Lena River, north-eastern Siberia, over late Quaternary time</t>
  </si>
  <si>
    <t>SEDIMENTOLOGY</t>
  </si>
  <si>
    <t>Lena River; north-eastern Siberia; palaeoenvironment; permafrost; Quaternary</t>
  </si>
  <si>
    <t>LAPTEV SEA; ORGANIC-MATTER; DELTA; CARBON; CLIMATE; ICE; DYNAMICS; PATTERNS; HOLOCENE; TRANSPORT</t>
  </si>
  <si>
    <t>Arctic warming and permafrost thaw visibly expose changes in the landscape of the Lena River delta, the largest Arctic delta. Determining the past and modern river regime of thick deltaic deposits shaping the Lena River mouth in north-eastern Siberia is critical for understanding the history of delta formation and carbon sequestration. Using a 65 m long sediment core from the delta apex a set of sedimentological techniques is applied to aid in reconstructing the Lena River history. The analysis includes: (i) grain-size measurements and the determination of the bedload composition; (ii) X-ray fluorescence, X-ray diffractometry, and magnetic susceptibility measurements and heavy mineral analysis for tracking mineral change; (iii) pH, electrical conductivity, ionic concentrations, and the delta O-18 and delta D stable isotope composition from ground ice for reconstructing permafrost formation. In addition; (iv) total and dissolved organic carbon is assessed. Chronology is based on; (vi) radiocarbon dating of organic material (accelerator mass spectrometry and conventional) and is complemented by two infrared - optically stimulated luminescence dates. The record stretches back approximately to Marine Isotope Stage 7. It holds periods from traction, over saltation, to suspension load sedimentation. Minerogenic signals do not indicate provenance change over time. They rather reflect the change from high energy to a lower energy regime after Last Glacial Maximum time parallel to the fining-up grain-size trend. A prominent minimum in the ground ice stable isotope record at early Holocene highlights that a river arm migration and an associated refreeze of the underlying river talik has altered the isotopic composition at that time. Fluvial re-routing might be explained by internal dynamics in the Lena River lowland or due to a tectonic movement, since the study area is placed in a zone of seismic activity. At the southern Laptev Sea margin, onshore continental compressional patterns are bordering offshore extensional normal faults.</t>
  </si>
  <si>
    <t>[Schwamborn, Georg; Mohammadi, Ali] Istanbul Tech Univ, Eurasia Inst Earth Sci, TR-34469 Maslak, Turkey; [Schirrmeister, Lutz; Meyer, Hanno; Maggioni, Flavio; Strauss, Jens] Helmholtz Ctr Polar &amp; Marine Res, Alfred Wegener Inst, D-14473 Potsdam, Germany; [Kartoziia, Andrei] AA Trofimuk Inst Petr Geol &amp; Geophys SB RAS, Novosibirsk 630090, Russia; [Kartoziia, Andrei] VS Sobolev Inst Geol &amp; Mineral SB RAS, Novosibirsk, Russia; [Kartoziia, Andrei] Novosibirsk State Univ, Dept Geol &amp; Geophys, Novosibirsk 630090, Russia</t>
  </si>
  <si>
    <t>Istanbul Technical University; Helmholtz Association; Alfred Wegener Institute, Helmholtz Centre for Polar &amp; Marine Research; Russian Academy of Sciences; Trofimuk Institute of Petroleum Geology &amp; Geophysics; Russian Academy of Sciences; Sobolev Institute of Geology &amp; Mineralogy of the Russian Academy of Sciences; Novosibirsk State University</t>
  </si>
  <si>
    <t>Schwamborn, G (corresponding author), Istanbul Tech Univ, Eurasia Inst Earth Sci, TR-34469 Maslak, Turkey.</t>
  </si>
  <si>
    <t>schwamborn@itu.edu.tr</t>
  </si>
  <si>
    <t>Mohammadi, Ali/ABC-9603-2020; Kartoziia, Andrei/C-2854-2016; Schwamborn, Georg Johannes/ABC-9636-2020; Strauss, Jens/P-6544-2014; Meyer, Hanno/E-2870-2016</t>
  </si>
  <si>
    <t>Mohammadi, Ali/0000-0003-2400-8392; Kartoziia, Andrei/0000-0001-6120-788X; Schwamborn, Georg Johannes/0000-0001-9635-0539; Strauss, Jens/0000-0003-4678-4982; Meyer, Hanno/0000-0003-4129-4706</t>
  </si>
  <si>
    <t>AWI (Alfred Wegener Institute, Helmholtz Centre for Polar and Marine Research, Potsdam); BAP grant [42610 MAB-2021-42610]; Open Access Publication Funds of the Alfred Wegener Institute, Helmholtz Centre for Polar and Marine Research; Projekt DEAL</t>
  </si>
  <si>
    <t>AWI (Alfred Wegener Institute, Helmholtz Centre for Polar and Marine Research, Potsdam); BAP grant; Open Access Publication Funds of the Alfred Wegener Institute, Helmholtz Centre for Polar and Marine Research(Helmholtz Association); Projekt DEAL</t>
  </si>
  <si>
    <t>The financial and logistical support from AWI (Alfred Wegener Institute, Helmholtz Centre for Polar and Marine Research, Potsdam) is highly appreciated. We thank colleagues from AARI (Arctic and Antarctic Research Institute, St. Petersburg), IPGG (Trofimuk Institute for Petroleum Geology and Geophysics, Siberian Branch, Russian Academy of Sciences, Novosibirsk), and MPI-Y (Melnikov Permafrost Institute, Yakutsk) for making this drilling successful. ITU (Istanbul Technical University) supported the project through a BAP grant (ID: 42610 MAB-2021-42610). Loeka Jongejans, Mikhail Grigoriev, Dmitry Bolshiyanov, Paul Overduin, Antje Eulenburg, Mikaela Weiner, Justin Lindemann, Emin Ciftci and Gultekin Topuz are thanked a lot, since they helped at various stages of sample processing. Comments of two reviewers (G. Fedorov and anonymous) on the first draft helped to improve the manuscript. The authors declare no conflict of interest with regard to this manuscript. We acknowledge support by the Open Access Publication Funds of the Alfred Wegener Institute, Helmholtz Centre for Polar and Marine Research. Open Access funding enabled and organized by Projekt DEAL.</t>
  </si>
  <si>
    <t>0037-0746</t>
  </si>
  <si>
    <t>1365-3091</t>
  </si>
  <si>
    <t>Sedimentology</t>
  </si>
  <si>
    <t>10.1111/sed.13037</t>
  </si>
  <si>
    <t>7I2JK</t>
  </si>
  <si>
    <t>Green Published</t>
  </si>
  <si>
    <t>WOS:000861641200001</t>
  </si>
  <si>
    <t>Dartnall, HJG</t>
  </si>
  <si>
    <t>Dartnall, Herbert J. G.</t>
  </si>
  <si>
    <t>Keeping it in the family: Relationships between Polar medallists</t>
  </si>
  <si>
    <t>Polar Medal; Medal recipient; Relative</t>
  </si>
  <si>
    <t>During the 19th century, members of British Arctic expeditions received one of two silver Arctic medals. In 1904, the British Polar Medal was established in both silver and bronze to returning members of the British National Antarctic Expedition. Subsequently awarded to members of both Arctic and Antarctic expeditions, the medal in silver is still awarded today. This paper explores the family links of the recipients from 1904 to the present. Polar medallists related by blood comprise five pairs of brothers, five father-and-son pairs, one grandfather-and-grandson pair, one uncle-and-nephew pair and six pairs of cousins including one male-to-female pair. A female-to-female link has yet to be recorded. Family links resulting from marriage include six husband-and-wife pairs and four pairs of brothers-in-law.</t>
  </si>
  <si>
    <t>[Dartnall, Herbert J. G.] Macquarie Univ, Sch Nat Sci, Macquarie Pk, NSW 2109, Australia</t>
  </si>
  <si>
    <t>Macquarie University</t>
  </si>
  <si>
    <t>Dartnall, HJG (corresponding author), Macquarie Univ, Sch Nat Sci, Macquarie Pk, NSW 2109, Australia.</t>
  </si>
  <si>
    <t>herbdartnall@pip.com.au</t>
  </si>
  <si>
    <t>SEP 28</t>
  </si>
  <si>
    <t>e34</t>
  </si>
  <si>
    <t>10.1017/S0032247422000250</t>
  </si>
  <si>
    <t>6M1GU</t>
  </si>
  <si>
    <t>WOS:000888625700001</t>
  </si>
  <si>
    <t>Morris, RL; Bilkovic, DM; Walles, B; Strain, EMA</t>
  </si>
  <si>
    <t>Morris, Rebecca L.; Bilkovic, Donna M.; Walles, Brenda; Strain, Elisabeth M. A.</t>
  </si>
  <si>
    <t>Nature-based coastal defence: Developing the knowledge needed for wider implementation of living shorelines</t>
  </si>
  <si>
    <t>ECOLOGICAL ENGINEERING</t>
  </si>
  <si>
    <t>OYSTER REEF; ARTIFICIAL STRUCTURES; MANGROVE RESTORATION; ESTUARINE SHORELINES; COMMUNITIES; MARSHES; DAMAGE; PACE</t>
  </si>
  <si>
    <t>[Morris, Rebecca L.] Univ Melbourne, Sch BioSci, Natl Ctr Coasts &amp; Climate, Melbourne, Vic, Australia; [Bilkovic, Donna M.] William &amp; Mary, Virginia Inst Marine Sci, Gloucester Point, VA USA; [Walles, Brenda] Wageningen Univ &amp; Res, Wageningen Marine Res, Yerseke, AB, Netherlands; [Strain, Elisabeth M. A.] Univ Tasmania, Inst Marine &amp; Antarctic Sci, Hobart, Tas, Australia; [Strain, Elisabeth M. A.] Univ Tasmania, Ctr Marine Socioecol, Hobart, Tas, Australia</t>
  </si>
  <si>
    <t>Melbourne Genomics Health Alliance; University of Melbourne; William &amp; Mary; Virginia Institute of Marine Science; Wageningen University &amp; Research; University of Tasmania; University of Tasmania</t>
  </si>
  <si>
    <t>Morris, RL (corresponding author), Univ Melbourne, Sch BioSci, Natl Ctr Coasts &amp; Climate, Melbourne, Vic, Australia.</t>
  </si>
  <si>
    <t>rebecca.morris@unimelb.edu.au</t>
  </si>
  <si>
    <t>Strain, Elisabeth/U-3520-2017</t>
  </si>
  <si>
    <t>Walles, Brenda/0000-0002-1421-9922; Bilkovic, Donna Marie/0000-0003-2002-1901</t>
  </si>
  <si>
    <t>0925-8574</t>
  </si>
  <si>
    <t>1872-6992</t>
  </si>
  <si>
    <t>ECOL ENG</t>
  </si>
  <si>
    <t>Ecol. Eng.</t>
  </si>
  <si>
    <t>10.1016/j.ecoleng.2022.106798</t>
  </si>
  <si>
    <t>Ecology; Engineering, Environmental; Environmental Sciences</t>
  </si>
  <si>
    <t>Environmental Sciences &amp; Ecology; Engineering</t>
  </si>
  <si>
    <t>5D0YQ</t>
  </si>
  <si>
    <t>WOS:000864677500002</t>
  </si>
  <si>
    <t>Schulz, K; Nguyen, AT; Pillar, HR</t>
  </si>
  <si>
    <t>Schulz, K.; Nguyen, A. T.; Pillar, H. R.</t>
  </si>
  <si>
    <t>An Improved and Observationally-Constrained Melt Rate Parameterization for Vertical Ice Fronts of Marine Terminating Glaciers</t>
  </si>
  <si>
    <t>GEOPHYSICAL RESEARCH LETTERS</t>
  </si>
  <si>
    <t>ice-ocean interaction; Greenland; submarine melting; melt rate parameterization; numerical modeling; vertical glacier fronts</t>
  </si>
  <si>
    <t>SUBMARINE MELT; TIDEWATER GLACIER; FRESH-WATER; GREENLAND; MODEL; FJORD; SHELF; CIRCULATION; CONVECTION; TERMINUS</t>
  </si>
  <si>
    <t>Submarine melting at Greenland's marine terminating glaciers is a crucial, yet poorly constrained process in the coupled ice-ocean system. Application of Antarctic melt rate representations, derived for floating glacier tongues, to non-floating marine terminating glaciers commonly found in Greenland, results in a dramatic underestimation of submarine melting. Here, we revisit the physical theory underlying melt rate parameterizations and leverage recently published observational data to derive a novel melt rate parameterization. This is the first parameterization that (a) consistently comprises both convective- and shear-dominated melt regimes, (b) includes coefficients quantitatively constrained using observational data, and (c) is applicable to any vertical glacier front. We show that, compared to the current state-of-the-art approach, the scheme provides an improved fit to observed melt rates on the scale of the terminating front, offering an opportunity to incorporate this critical missing forcing into ocean circulation models.</t>
  </si>
  <si>
    <t>[Schulz, K.; Nguyen, A. T.; Pillar, H. R.] Univ Texas Austin, Oden Inst Computat Engn &amp; Sci, Austin, TX 78712 USA</t>
  </si>
  <si>
    <t>University of Texas System; University of Texas Austin</t>
  </si>
  <si>
    <t>Schulz, K (corresponding author), Univ Texas Austin, Oden Inst Computat Engn &amp; Sci, Austin, TX 78712 USA.</t>
  </si>
  <si>
    <t>kiki.schulz@utexas.edu</t>
  </si>
  <si>
    <t>Schulz, Kirstin/0000-0001-8404-944X; Nguyen, An/0000-0002-6033-3726; Pillar, Helen/0000-0002-7431-4796</t>
  </si>
  <si>
    <t>[NSF-AccelNet-2020387]; [NSF-OCE-1924546]</t>
  </si>
  <si>
    <t>;</t>
  </si>
  <si>
    <t>This work was supported by NSF-AccelNet-2020387 (ATN, KS) and NSF-OCE-1924546 (HRP). The authors would like to thank Rebecca Jackson for her extensive advice and the inspiring discussions, and for providing the observational data for this study. The numerical implementation of the melt rate parameterization builds up on excellent code written and provided by Tom Cowton. The authors would also like to thank Fiammetta Straneo, James Holte, and Eric Rignot for providing the hydrographic profiles used in Section 4.3, and everyone involved in the data acquisition and processing. For Store glacier, data acquisition and processing was performed at the University of California Irvine under a contract with the National Aeronautics and Space Administration Cryosphere Science Programs. The authors are grateful for the clarification on glacier terminology kindly provided by Lorenz Meire. The authors thank Michael Wood and the three anonymous reviewers, whose comments and suggestions greatly helped to improve the manuscript.</t>
  </si>
  <si>
    <t>0094-8276</t>
  </si>
  <si>
    <t>1944-8007</t>
  </si>
  <si>
    <t>GEOPHYS RES LETT</t>
  </si>
  <si>
    <t>Geophys. Res. Lett.</t>
  </si>
  <si>
    <t>e2022GL100654</t>
  </si>
  <si>
    <t>10.1029/2022GL100654</t>
  </si>
  <si>
    <t>4Y0KG</t>
  </si>
  <si>
    <t>WOS:000861222800001</t>
  </si>
  <si>
    <t>Johnson, GC</t>
  </si>
  <si>
    <t>Johnson, Gregory C.</t>
  </si>
  <si>
    <t>Antarctic Bottom Water Warming and Circulation Slowdown in the Argentine Basin From Analyses of Deep Argo and Historical Shipboard Temperature Data</t>
  </si>
  <si>
    <t>WESTERN SOUTH ATLANTIC; OCEAN; VENTILATION; ABYSSAL; HEAT</t>
  </si>
  <si>
    <t>A decadal warming trend of 2.1 (+/- 0.2) m degrees C yr(-1) in Antarctic Bottom Water within the western Argentine Basin is found by comparing Deep Argo temperature profiles from 2021 to 2022 to nearby historical shipboard data from 1972 to 1998. This trend is similar in magnitude, but about 10 times more certain, than a previously published trend in the eastern Argentine Basin estimated using repeat hydrographic section data (World Ocean Circulation Experiment Section A16S) from 1989, 1995, and 2014. The present analysis also detects a warming rate in the coldest water entering the basin about double that in the interior. The observed reduction in deep meridional temperature gradient indicates a reduction in geostrophic shear, consistent with a reduced flow rate, and transport, of the coldest, deepest water entering the basin. The falling isotherms in the basin are consistent with an 0.6 x 10(6) m(-3) s(-1) reduction in inflow of the coldest waters to the basin. Plain Language Summary The coldest, densest waters that sink to the ocean floor around Antarctica and spread northward have been warming in recent decades, as observed in much of the global ocean by shipboard oceanographic surveys since the 1990s. However, large portions of the ocean are unsampled by these surveys, which are only repeated at decadal intervals. Quantifying the warming of the deep ocean, the sea level rise that this warming drives, and associated changes in ocean currents are important for validating projections of future warming and understanding climate change impacts. As a result, regional pilot arrays of freely drifting robotic profiling floats capable of measuring temperature and salinity from the sea surface to the seafloor, called Deep Argo floats, are being deployed to demonstrate their capabilities and build toward a global array. We compare data from Deep Argo floats recently deployed in the Argentine Basin of the western South Atlantic Ocean to historical temperature profiles measured from ships prior to the year 2000. By doing so, we quantify the warming rate of these bottom waters over the bottom 1.5 km of that basin with about 10 times more certainty than by previously published studies using shipboard data alone.</t>
  </si>
  <si>
    <t>[Johnson, Gregory C.] NOAA, Pacific Marine Environm Lab, 7600 Sand Point Way Ne, Seattle, WA 98115 USA</t>
  </si>
  <si>
    <t>National Oceanic Atmospheric Admin (NOAA) - USA</t>
  </si>
  <si>
    <t>Johnson, GC (corresponding author), NOAA, Pacific Marine Environm Lab, 7600 Sand Point Way Ne, Seattle, WA 98115 USA.</t>
  </si>
  <si>
    <t>gregory.c.johnson@noaa.gov</t>
  </si>
  <si>
    <t>Johnson, Gregory C/I-6559-2012</t>
  </si>
  <si>
    <t>Johnson, Gregory C/0000-0002-8023-4020</t>
  </si>
  <si>
    <t>NOAA Global Ocean Monitoring and Observation Program; NOAA Research</t>
  </si>
  <si>
    <t>NOAA Global Ocean Monitoring and Observation Program(National Oceanic Atmospheric Admin (NOAA) - USA); NOAA Research(National Oceanic Atmospheric Admin (NOAA) - USA)</t>
  </si>
  <si>
    <t>Thanks to Dr. Elizabeth Steffen for her invaluable Deep Argo logistics work, Chanelle Cadot then Dr. John Lyman for piloting the PMEL Deep Argo floats, and Linus Kamb and Willa Zhu for IT assistance. Thanks to Dr. Brian King for his help with deployment logistics for PMEL Deep Argo floats and for deploying UK Deep Argo floats that provided data used for this manuscript in the Argentine Basin. Thanks to the crews and science parties of the RRS Discovery and the R/V Sarmiento de Gamboa for Deep Argo float deployment assistance in the Argentine Basin. MRV Systems built the Deep Argo floats used here using a design (Deep SOLO) licensed from the Scripps Institution of Oceanography (SIO) Instrument Development Group. Thanks to that group, the Argo Group at SIO, and MRV Systems for their Deep SOLO advice and assistance. Thanks to all those who helped to collect, process, and calibrate the historical shipboard CTD data from the WOD18 data analyzed here. Thanks to two anonymous reviewers for their helpful comments on the first draft of this manuscript. This work was supported by NOAA Global Ocean Monitoring and Observation Program and NOAA Research. PMEL Contribution Number 5393.</t>
  </si>
  <si>
    <t>e2022GL100526</t>
  </si>
  <si>
    <t>10.1029/2022GL100526</t>
  </si>
  <si>
    <t>4V9ZQ</t>
  </si>
  <si>
    <t>Green Published, Bronze</t>
  </si>
  <si>
    <t>WOS:000859828200001</t>
  </si>
  <si>
    <t>van Wijk, EM; Rintoul, SR; Wallace, LO; Ribeiro, N; Herraiz-Borreguero, L</t>
  </si>
  <si>
    <t>van Wijk, Esmee M.; Rintoul, Stephen R.; Wallace, Luke O.; Ribeiro, Natalia; Herraiz-Borreguero, Laura</t>
  </si>
  <si>
    <t>Vulnerability of Denman Glacier to Ocean Heat Flux Revealed by Profiling Float Observations</t>
  </si>
  <si>
    <t>ICE-SHELF; CONTINENTAL-SHELF; EAST ANTARCTICA; BASAL MELT; WATER; CIRCULATION; DRIVEN; TOTTEN</t>
  </si>
  <si>
    <t>Denman Glacier, which drains a marine-based sector of the East Antarctic Ice Sheet with an ice volume equivalent to 1.5 m of global sea level rise, has accelerated and undergone grounding line retreat in recent decades. A deep trough and retrograde bed slope inward of the grounding line leave this glacier prone to marine ice sheet instability. The ocean heat flux to the ice shelf cavity is a critical factor determining the susceptibility of the glacier to unstable retreat. Profiling float observations show modified Circumpolar Deep Water as warm as -0.16 degrees C reaches a deep trough extending beneath the Denman Ice Tongue. The ocean heat transport (0.77 +/- 0.35 TW) is sufficient to drive high rates of basal melt (70.8 +/- 31.5 Gt y(-1)), consistent with rates inferred from glaciological observations. These results suggest the Denman Glacier is potentially at risk of unstable retreat triggered by transport of warm water to the ice shelf cavity. Plain Language Summary The Denman Glacier is a vast river of ice that drains the East Antarctic Ice Sheet. The Denman holds a volume of ice equivalent to 1.5 m of global sea level rise, so changes in the glacier could have a large impact on future sea level rise. The vulnerability of the Denman Glacier to melting by warm ocean waters has been difficult to assess because very few oceanographic observations have been collected in the region. We use new profiling float measurements to show warm water reaches a deep trough that extends inland beneath the glacier, exposing the base of the ice to ocean-driven melting. We estimate that the amount of warm water entering the cavity is sufficient to melt 70.8 billion tons of ice each year. These observations suggest that the Denman Glacier is potentially at risk from unstable retreat driven by warm water flowing into the cavity and melting the ice from below.</t>
  </si>
  <si>
    <t>[van Wijk, Esmee M.; Rintoul, Stephen R.; Herraiz-Borreguero, Laura] CSIRO Oceans &amp; Atmosphere, Hobart, Tas, Australia; [van Wijk, Esmee M.; Rintoul, Stephen R.] Univ Tasmania, Australian Antarctic Program Partnership, Hobart, Tas, Australia; [Rintoul, Stephen R.; Herraiz-Borreguero, Laura] Ctr Southern Hemisphere Oceans Res, Hobart, Tas, Australia; [Wallace, Luke O.] Univ Tasmania, Sch Geog Planning &amp; Spatial Sci, Hobart, Tas, Australia; [Ribeiro, Natalia] Univ Tasmania, Inst Marine &amp; Antarctic Studies, Hobart, Tas, Australia</t>
  </si>
  <si>
    <t>Commonwealth Scientific &amp; Industrial Research Organisation (CSIRO); University of Tasmania; University of Tasmania; University of Tasmania</t>
  </si>
  <si>
    <t>van Wijk, EM (corresponding author), CSIRO Oceans &amp; Atmosphere, Hobart, Tas, Australia.;van Wijk, EM (corresponding author), Univ Tasmania, Australian Antarctic Program Partnership, Hobart, Tas, Australia.</t>
  </si>
  <si>
    <t>Esmee.vanWijk@csiro.au</t>
  </si>
  <si>
    <t>van Wijk, Esmee/AAB-2451-2020; Wallace, Luke/HKO-4124-2023; Borreguero, Laura Herraiz/D-5795-2015</t>
  </si>
  <si>
    <t>van Wijk, Esmee/0000-0002-9375-4383; Ribeiro Santos, Natalia/0000-0001-5427-9746</t>
  </si>
  <si>
    <t>Antarctic Science Collaboration Initiative; Australian Antarctic Program Partnership; CSIRO Oceans and Atmosphere; University of Tasmania (Graduate Research Scholarship); Centre for Southern Hemisphere Oceans Research</t>
  </si>
  <si>
    <t>Antarctic Science Collaboration Initiative; Australian Antarctic Program Partnership; CSIRO Oceans and Atmosphere(Commonwealth Scientific &amp; Industrial Research Organisation (CSIRO)); University of Tasmania (Graduate Research Scholarship); Centre for Southern Hemisphere Oceans Research(Commonwealth Scientific &amp; Industrial Research Organisation (CSIRO))</t>
  </si>
  <si>
    <t>We thank colleagues onboard RV Shirase for deploying the float on behalf of the Australian program, and the reviewers whose comments have improved this manuscript. This work was supported by the Antarctic Science Collaboration Initiative; the Australian Antarctic Program Partnership; CSIRO Oceans and Atmosphere; the Centre for Southern Hemisphere Oceans Research and the University of Tasmania (Graduate Research Scholarship).</t>
  </si>
  <si>
    <t>e2022GL100460</t>
  </si>
  <si>
    <t>10.1029/2022GL100460</t>
  </si>
  <si>
    <t>4V8QM</t>
  </si>
  <si>
    <t>WOS:000859736600001</t>
  </si>
  <si>
    <t>Maclennan, ML; Lenaerts, JTM; Shields, C; Wille, JD</t>
  </si>
  <si>
    <t>Maclennan, Michelle L.; Lenaerts, Jan T. M.; Shields, Christine; Wille, Jonathan D.</t>
  </si>
  <si>
    <t>Contribution of Atmospheric Rivers to Antarctic Precipitation</t>
  </si>
  <si>
    <t>Antarctica; surface mass balance; precipitation; atmospheric rivers; detection; ice sheet mass balance</t>
  </si>
  <si>
    <t>ICE; CLIMATE; SNOWFALL</t>
  </si>
  <si>
    <t>Atmospheric rivers (ARs) are efficient mechanisms for transporting atmospheric moisture from low latitudes to the Antarctic Ice Sheet (AIS). While AR events occur infrequently, they can lead to extreme precipitation and surface melt events on the AIS. Here we estimate the contribution of ARs to total Antarctic precipitation, by combining precipitation from atmospheric reanalyses and a polar-specific AR detection algorithm. We show that ARs contribute substantially to Antarctic precipitation, especially in East Antarctica at elevations below 3,000 m. ARs contribute substantially to year-to-year variability in Antarctic precipitation. Our results highlight that ARs are an important component for understanding present and future Antarctic mass balance trends and variability.</t>
  </si>
  <si>
    <t>[Maclennan, Michelle L.; Lenaerts, Jan T. M.] Univ Colorado, Dept Atmospher &amp; Ocean Sci, Boulder, CO 80309 USA; [Shields, Christine] Natl Ctr Atmospher Res, POB 3000, Boulder, CO 80307 USA; [Wille, Jonathan D.] Inst Geosci Environm, Grenoble, France</t>
  </si>
  <si>
    <t>University of Colorado System; University of Colorado Boulder; National Center Atmospheric Research (NCAR) - USA</t>
  </si>
  <si>
    <t>Maclennan, ML (corresponding author), Univ Colorado, Dept Atmospher &amp; Ocean Sci, Boulder, CO 80309 USA.</t>
  </si>
  <si>
    <t>Michelle.Maclennan@colorado.edu</t>
  </si>
  <si>
    <t>Wille, Jonathan/KFQ-5871-2024; Lenaerts, Jan/D-9423-2012</t>
  </si>
  <si>
    <t>Wille, Jonathan/0000-0002-3918-5204; Lenaerts, Jan/0000-0003-4309-4011; Shields, Christine A./0000-0003-4481-1377; Maclennan, Michelle L./0000-0002-7591-2704</t>
  </si>
  <si>
    <t>NASA [80NSSC20K0888]; National Science foundation (NSF) [1952199, 1929991]; Natural Environment Research Council (NERC) [NE/S006419/1]; U.S. Department of Energy, Office of Science, Office of Biological Environmental Research, Regional and Global Model Analysis (RGMA) component of the Earth and Environmental System Modeling Program [DE-SC0022070]; NSF [IA 1947282, 1852977]; National Center for Atmospheric Research (NCAR); RGMA [DE-SC0022070]; NASA FINESST [80NSSC21K1610]; Agence Nationale de la Recherche projects (ARCA) [ANR-20-CE01-0013]; Agence Nationale de la Recherche (ANR) [ANR-20-CE01-0013] Funding Source: Agence Nationale de la Recherche (ANR)</t>
  </si>
  <si>
    <t>NASA(National Aeronautics &amp; Space Administration (NASA)); National Science foundation (NSF)(National Science Foundation (NSF)National Research Foundation of Korea); Natural Environment Research Council (NERC)(UK Research &amp; Innovation (UKRI)Natural Environment Research Council (NERC)); U.S. Department of Energy, Office of Science, Office of Biological Environmental Research, Regional and Global Model Analysis (RGMA) component of the Earth and Environmental System Modeling Program(United States Department of Energy (DOE)); NSF(National Science Foundation (NSF)); National Center for Atmospheric Research (NCAR)(National Science Foundation (NSF)NSF - Directorate for Geosciences (GEO)); RGMA; NASA FINESST; Agence Nationale de la Recherche projects (ARCA)(Agence Nationale de la Recherche (ANR)); Agence Nationale de la Recherche (ANR)(Agence Nationale de la Recherche (ANR))</t>
  </si>
  <si>
    <t>J. T. M. Lenaerts acknowledges support from NASA (grant 80NSSC20K0888) and the National Science foundation (NSF, award 1952199). This work is from the TARSAN project, a component of the International Thwaites Glacier Collaboration (ITGC). Support from National Science Foundation (NSF: Grant 1929991) and Natural Environment Research Council (NERC: Grant NE/S006419/1). Logistics provided by NSF-U.S. Antarctic Program and NERC-British Antarctic Survey. ITGC Contribution No. ITGC-080. This material is based upon work supported by the U.S. Department of Energy, Office of Science, Office of Biological Environmental Research, Regional and Global Model Analysis (RGMA) component of the Earth and Environmental System Modeling Program under Award Number DE-SC0022070 and NSF IA 1947282. This work was also supported by the National Center for Atmospheric Research (NCAR), which is a major facility sponsored by the NSF under Cooperative Agreement No. 1852977. C. Shields and M. Maclennan were partially supported under RGMA Award Number DE-SC0022070. M. L. Maclennan has also been supported by a NASA FINESST (grant 80NSSC21K1610). J. D. Wille acknowledges support from the Agence Nationale de la Recherche projects ANR-20-CE01-0013 (ARCA).</t>
  </si>
  <si>
    <t>e2022GL100585</t>
  </si>
  <si>
    <t>10.1029/2022GL100585</t>
  </si>
  <si>
    <t>4P7OW</t>
  </si>
  <si>
    <t>WOS:000855582100001</t>
  </si>
  <si>
    <t>Guillaumot, C; Belmaker, J; Buba, Y; Fourcy, D; Dubois, P; Danis, B; Le Moan, E; Saucède, T</t>
  </si>
  <si>
    <t>Guillaumot, Charlene; Belmaker, Jonathan; Buba, Yehezkel; Fourcy, Damien; Dubois, Philippe; Danis, Bruno; Le Moan, Eline; Saucede, Thomas</t>
  </si>
  <si>
    <t>Classic or hybrid? The performance of next generation ecological models to study the response of Southern Ocean species to changing environmental conditions</t>
  </si>
  <si>
    <t>DIVERSITY AND DISTRIBUTIONS</t>
  </si>
  <si>
    <t>Bayesian inference; data-poor systems; integrated approaches; Kerguelen Islands; sea urchin; species distribution modelling</t>
  </si>
  <si>
    <t>ABATUS-CORDATUS ECHINODERMATA; DYNAMIC ENERGY BUDGET; CLIMATE-CHANGE; SEASONAL-CHANGES; PSEUDO-ABSENCES; SAMPLE-SIZE; NICHE; KERGUELEN; PREDICTION; DISTRIBUTIONS</t>
  </si>
  <si>
    <t>Aim In the context of intensifying threats of climate change on marine communities, ecological models are widely applied for conservation strategies, though polar studies remain scarce given the limited number of datasets available. Correlative (e.g. species distribution models, SDM) and mechanistic (e.g. dynamic energy budget models, DEB) modelling approaches are usually used independently in studies. Using both approaches in integrative, hybrid models could help to better estimate the species potential ecological niche, as mechanistic and correlative models complement each other very well, giving more insights into species potential response to fast-changing environmental conditions. Location The study focusses on the Baie du Morbihan, a silled basin located in the east of the Kerguelen Islands (sub-Antarctic). Methods A hybrid, correlative-mechanistic model was implemented to predict the response of the endemic sea urchin Abatus cordatus (Verrill, 1876). We compared the performances of classic and integrated approaches to predict A. cordatus distribution according to two dates representing seasonal contrasts. Two integrated approaches were studied and performed by either (1) including the spatial projection of the DEB model as an input layer inside the SDM ('integrated SDM-DEB') or (2) using a Bayesian procedure to use DEB model outputs as priors of the SDM ('integrated Bayesian' approach). Results Results show higher performances of 'integrated Bayesian' approaches to evaluate A. cordatus potential ecological niche compared with 'classic' and 'integrated SDM-DEB' methods. The influence of environmental conditions on model predictions is further captured with these Bayesian procedures and better highlights the environmental influence on the species-predicted distribution. Model performance is good for the different simulations, and uncertainty in predictions is well-highlighted. Main conclusions The good performances of 'integrated Bayesian' approaches to estimate species potential ecological niche opens perspectives for future applications to a broad panel of natural examples, noteworthy for decision-making and conservation management purposes.</t>
  </si>
  <si>
    <t>[Guillaumot, Charlene; Dubois, Philippe; Danis, Bruno] Univ Libre Bruxelles, Marine Biol Lab, Ave FD Roosevelt 50,CP 160-15, B-1050 Brussels, Belgium; [Guillaumot, Charlene; Le Moan, Eline; Saucede, Thomas] Univ Bourgogne Franche Comte, CNRS, UMR 6282, Biogeosci, Dijon, France; [Belmaker, Jonathan; Buba, Yehezkel] Tel Aviv Univ, George S Wise Fac Life Sci, Sch Zool, Tel Aviv, Israel; [Fourcy, Damien] INRAE, ESE, Ecol &amp; Ecosyst Hlth, Rennes, France</t>
  </si>
  <si>
    <t>Universite Libre de Bruxelles; Universite de Bourgogne; Centre National de la Recherche Scientifique (CNRS); Tel Aviv University; INRAE</t>
  </si>
  <si>
    <t>Guillaumot, C (corresponding author), Univ Libre Bruxelles, Marine Biol Lab, Ave FD Roosevelt 50,CP 160-15, B-1050 Brussels, Belgium.</t>
  </si>
  <si>
    <t>charleneguillaumot21@gmail.com</t>
  </si>
  <si>
    <t>Le Moan, Eline/GXV-6949-2022; Belmaker, Jonathan/I-1004-2019</t>
  </si>
  <si>
    <t>Le Moan, Eline/0000-0001-5455-113X; Belmaker, Jonathan/0000-0002-5618-7359; FOURCY, Damien/0000-0002-5175-9565</t>
  </si>
  <si>
    <t>Belgian Science Policy Office [BR/154/A1/RECTO, BR/132/A1/vERSO]; Fonds pour la formation a la Recherche dans l'Industrie et l'Agriculture; Bourse Fondation de la mer</t>
  </si>
  <si>
    <t>Belgian Science Policy Office(Belgian Federal Science Policy Office); Fonds pour la formation a la Recherche dans l'Industrie et l'Agriculture(Fonds de la Recherche Scientifique - FNRS); Bourse Fondation de la mer</t>
  </si>
  <si>
    <t>Belgian Science Policy Office, Grant/Award Number: BR/154/A1/RECTO and BR/132/A1/vERSO; Bourse Fondation de la mer; Fonds pour la formation a la Recherche dans l'Industrie et l'Agriculture</t>
  </si>
  <si>
    <t>1366-9516</t>
  </si>
  <si>
    <t>1472-4642</t>
  </si>
  <si>
    <t>DIVERS DISTRIB</t>
  </si>
  <si>
    <t>Divers. Distrib.</t>
  </si>
  <si>
    <t>10.1111/ddi.13617</t>
  </si>
  <si>
    <t>5K7FD</t>
  </si>
  <si>
    <t>WOS:000860425800001</t>
  </si>
  <si>
    <t>Roseby, ZA; Smith, JA; Hillenbrand, CD; Allen, CS; Leventer, A; Hogan, K; Cartigny, MJB; Rosenheim, BE; Kuhn, G; Larter, RD</t>
  </si>
  <si>
    <t>Roseby, Zoe A.; Smith, James A.; Hillenbrand, Claus-Dieter; Allen, Claire S.; Leventer, Amy; Hogan, Kelly; Cartigny, Matthieu J. B.; Rosenheim, Brad E.; Kuhn, Gerhard; Larter, Robert D.</t>
  </si>
  <si>
    <t>History of Anvers-Hugo Trough, western Antarctic Peninsula shelf, since the Last Glacial Maximum. Part II: Palaeo-productivity and palaeoceanographic changes during the Last Glacial Transition</t>
  </si>
  <si>
    <t>QUATERNARY SCIENCE REVIEWS</t>
  </si>
  <si>
    <t>Antarctica; Antarctic Peninsula; Palaeoceanography; Micropalaeontology; Diatoms; Sedimentology; Deglaciation; Primary productivity; Last glacial transition; Quaternary</t>
  </si>
  <si>
    <t>SOUTHERN-OCEAN SEDIMENTS; ICE-SHEET RETREAT; GENUS THALASSIOSIRA BACILLARIOPHYCEAE; HOLOCENE PALEOENVIRONMENTAL CHANGE; SEASONAL DIATOM RECORD; SEA-ICE; SURFACE SEDIMENTS; WEDDELL SEA; PALMER-DEEP; ROSS SEA</t>
  </si>
  <si>
    <t>Following the Last Glacial Maximum (LGM; ca. 23-19 calibrated [cal.] kyr before present [BP]), atmo-spheric and oceanic warming, together with global sea-level rise, drove widespread deglaciation of the Antarctic Ice Sheet, increasing the flux of freshwater to the ocean and leading to substantial changes in marine biological productivity. On the Antarctic continental shelf, periods of elevated biological pro-ductivity, often preserved in the sediment record as laminated (and sometimes varved) diatomaceous oozes (LDO), have been reported from several locations and are typically associated with the formation of calving bay re-entrants during ice sheet retreat. Understanding what drives the formation and deposition of LDOs, and the impact of deglacial processes on biogenic productivity more generally, can help inform how Antarctic coastal environments will respond to current and future ice sheet melting. In this study we utilise a suite of sediment cores recovered from Anvers-Hugo Trough (AHT), western Antarctic Peninsula shelf, which documents the transition from subglacial to glacimarine conditions following retreat of an expanded ice stream after the LGM. We present quantitative absolute diatom abundance (ADA) and species assemblage data, to investigate changes in biological productivity during the Last Glacial Transition (19-11 cal kyr BP). In combination with radiocarbon dating, we show that seasonally open marine conditions were established on the mid-shelf by 13.6 cal kyr BP, but LDOs did not start to accumulate until-11.5 cal kyr BP. The-1.4 kyr delay between the onset of seasonally open marine conditions and LDO deposition indicates that physiographic changes, and specifically the establishment of a calving bay in AHT, is insufficient to explain LDO deposition alone. LDO deposition in AHT coincides with the early Holocene climatic optimum (-11.5 e 9.0 kyr) and is therefore explained in terms of increased atmospheric/ocean temperatures, high rates of sea and glacial ice melt and the formation of a well-stratified water column in the austral spring. An implication of our study is that extensive bathy-metric mapping in conjunction with detailed core analyses is required to reliably infer environmental controls on LDO deposition.(c) 2022 The Authors. Published by Elsevier Ltd. This is an open access article under the CC BY license (http://creativecommons.org/licenses/by/4.0/).</t>
  </si>
  <si>
    <t>[Roseby, Zoe A.; Smith, James A.; Hillenbrand, Claus-Dieter; Allen, Claire S.; Hogan, Kelly; Larter, Robert D.] British Antarctic Survey, Cambridge CB3 0ET, Cambs, England; [Roseby, Zoe A.] Univ Southampton, Southampton SO14 3ZH, England; [Roseby, Zoe A.] Natl Oceanography Ctr, Southampton SO14 3ZH, England; [Leventer, Amy] Colgate Univ, 13 Oak Dr, Hamilton, NY 13346 USA; [Cartigny, Matthieu J. B.] Univ Durham, Durham DH1 3LE, England; [Rosenheim, Brad E.] Univ S Florida, Coll Marine Sci, 140 7th Ave S,, St Petersburg, FL 33701 USA; [Kuhn, Gerhard] Alfred Wegener Inst Helmholtz, Zent Polar und Meeresforschung, Marine Geol, Alten Hafen 26, D-27568 Bremerhaven, Germany; [Roseby, Zoe A.] Trinity Coll Dublin, Dept Geol, Museum Bldg, Dublin, Ireland</t>
  </si>
  <si>
    <t>UK Research &amp; Innovation (UKRI); Natural Environment Research Council (NERC); NERC British Antarctic Survey; University of Southampton; NERC National Oceanography Centre; Colgate University; Durham University; State University System of Florida; University of South Florida; Helmholtz Association; Alfred Wegener Institute, Helmholtz Centre for Polar &amp; Marine Research; Trinity College Dublin</t>
  </si>
  <si>
    <t>Roseby, ZA (corresponding author), British Antarctic Survey, Cambridge CB3 0ET, Cambs, England.;Roseby, ZA (corresponding author), Univ Southampton, Southampton SO14 3ZH, England.;Roseby, ZA (corresponding author), Natl Oceanography Ctr, Southampton SO14 3ZH, England.;Roseby, ZA (corresponding author), Trinity Coll Dublin, Dept Geol, Museum Bldg, Dublin, Ireland.</t>
  </si>
  <si>
    <t>rosebyz@tcd.ie</t>
  </si>
  <si>
    <t>Cartigny, Matthieu J.B./N-2683-2014</t>
  </si>
  <si>
    <t>Leventer, Amy/0000-0001-9401-0987; Larter, Robert/0000-0002-8414-7389</t>
  </si>
  <si>
    <t>Natural Environment Research Council [NE/L002531/1, NE/J006548/1]; International Association of Sedimentologists, Trans-Antarctic Association; British Sedimentological Research Group; Quaternary Research Association; Alfred-Wegener-Institut; Royal Society [DHF/R1/180166]; Irish Marine Research Programme [PBA/CC/18/01]</t>
  </si>
  <si>
    <t>Natural Environment Research Council(UK Research &amp; Innovation (UKRI)Natural Environment Research Council (NERC)); International Association of Sedimentologists, Trans-Antarctic Association; British Sedimentological Research Group; Quaternary Research Association; Alfred-Wegener-Institut; Royal Society(Royal Society); Irish Marine Research Programme</t>
  </si>
  <si>
    <t>This work was supported by the Natural Environment Research Council (grant number NE/L002531/1 and NE/J006548/1) , Z. Roseby acknowledges further support from the International Association of Sedimentologists, Trans-Antarctic Association, British Sedimentological Research Group, Quaternary Research Association and Alfred-Wegener-Institut. M. Cartigny was supported by a Collaborative Antarctic Science Scheme and a Research Fellowship from the Royal Society (DHF/R1/180166) . This manuscript was additionally supported by the A4 project (Grant -Aid Agreement No. PBA/CC/18/01) funded under the Irish Marine Research Programme. We are grateful to the captains, of ficers, crew, support staff and scientists who participated in cruise JR284, as well as staff at the British Ocean Sediment Core Research Facility (BOSCORF, Southampton, UK) . We thank and acknowledge M. Edwards, S. MacLachlan, I. Dove, N. Kozlowski, R. Frohlking-Teichert, S. Wiebe, D. Peck, C. Subt, R. Venturelli, L. Freeman and A. McNichol for their expert technical assistance and advice and two anonymous referees for their constructive reviews.</t>
  </si>
  <si>
    <t>0277-3791</t>
  </si>
  <si>
    <t>1873-457X</t>
  </si>
  <si>
    <t>QUATERNARY SCI REV</t>
  </si>
  <si>
    <t>Quat. Sci. Rev.</t>
  </si>
  <si>
    <t>OCT 15</t>
  </si>
  <si>
    <t>10.1016/j.quascirev.2022.107503</t>
  </si>
  <si>
    <t>6I4IM</t>
  </si>
  <si>
    <t>WOS:000886090600001</t>
  </si>
  <si>
    <t>Burton-Johnson, A; Riley, TR; Harrison, RJ; Mac Niocaill, C; Muraszko, JR; Rowley, PD</t>
  </si>
  <si>
    <t>Burton-Johnson, A.; Riley, T. R.; Harrison, R. J.; Mac Niocaill, C.; Muraszko, J. R.; Rowley, P. D.</t>
  </si>
  <si>
    <t>Does tectonic deformation control episodic continental arc magmatism? Evidence from granitic magnetic fabrics (AMS)</t>
  </si>
  <si>
    <t>GONDWANA RESEARCH</t>
  </si>
  <si>
    <t>Tectonic-magmatic relations; Continental arcs; Flare-up events; Granitic intrusions; Anisotropy of magnetic susceptibility; Antarctica</t>
  </si>
  <si>
    <t>SIERRA-NEVADA BATHOLITH; COAST INTRUSIVE SUITE; MONTE-CAPANNE ELBA; RITA FLAT PLUTON; PB ZIRCON AGES; MELT SEGREGATION; LASSITER COAST; ANTARCTIC PENINSULA; INTERNAL STRUCTURE; PALMER-LAND</t>
  </si>
  <si>
    <t>This paper applies magnetic fabric analyses to plutons of the East Pacific continental arc. Continental arc magmatism is strongly episodic, with voluminous granitic magma addition occurring during discrete high-flux events ('flare-ups'). The cause of these flare-ups is debated, variously invoking tectonic, mantle, or crustal controls. To understand how the syn-magmatic strain history changes during a flare-up, we compare granitic magnetic fabric (Anisotropy of Magnetic Susceptibility, AMS) and geochronological data from the Antarctic Peninsula (Lassiter Coast), Sierra Nevada, and Chile. This comparison indicates a common pattern in orientation and magnitude of syn-magmatic deformation, showing flare-up events occur during increased tectonic compression driven by enhanced interplate coupling and fast subduction. Flare-ups terminate as tectonic compression reduces or the regime becomes extensional, even if convergence rates remain high. As with enhanced seismicity, magmatic flare-ups result from high tectonic compression, during discrete periods of enhanced interplate coupling within broader periods of increased subduction rates. The enhanced magmatic flux results either from crustal thickening leading to partial melting of a newly accreted, hydrous mafic underplate, enhanced melt segregation in the source, or in response to high tectonic compression rendering lithostatic compression the weakest compressive force, enhancing magma extraction and ascent from the mantle. (c) 2022 The Authors. Published by Elsevier B.V. on behalf of International Association for Gondwana Research. This is an open access article under the CC BY license (http://creativecommons.org/licenses/by/ 4.0/).</t>
  </si>
  <si>
    <t>[Burton-Johnson, A.; Riley, T. R.] British Antarctic Survey, High Cross, Madingley Rd, Cambridge CB3 0ET, England; [Harrison, R. J.; Muraszko, J. R.] Univ Cambridge, Dept Earth Sci, Cambridge CB2 3EQ, England; [Mac Niocaill, C.] Univ Oxford, Dept Earth Sci, Oxford OX1 3AN, England; [Muraszko, J. R.] Peking Univ, Sch Earth &amp; Space Sci, Beijing, Peoples R China; [Rowley, P. D.] Geol Mapping Inc, New Harmony, UT 84757 USA</t>
  </si>
  <si>
    <t>UK Research &amp; Innovation (UKRI); Natural Environment Research Council (NERC); NERC British Antarctic Survey; University of Cambridge; University of Oxford; Peking University</t>
  </si>
  <si>
    <t>Burton-Johnson, A (corresponding author), British Antarctic Survey, High Cross, Madingley Rd, Cambridge CB3 0ET, England.</t>
  </si>
  <si>
    <t>alerto@bas.ac.uk</t>
  </si>
  <si>
    <t>Harrison, Richard J/B-3609-2010; Niocaill, Conall Mac/B-9834-2009</t>
  </si>
  <si>
    <t>Niocaill, Conall Mac/0000-0002-3782-0198; Riley, Teal/0000-0002-3333-5021</t>
  </si>
  <si>
    <t>Natural Environmental Research Council; Antarctic Science Bursary</t>
  </si>
  <si>
    <t>Natural Environmental Research Council(UK Research &amp; Innovation (UKRI)Natural Environment Research Council (NERC)); Antarctic Science Bursary</t>
  </si>
  <si>
    <t>We thank Andrea Biedermann, Antonio Castro, Michel de St Blanquat, and an anonymous reviewer for taking the time to review and improve our manuscript, and Taras Gerya for their editorial assistance. This study is part of the British Antarctic Survey Polar Science for Planet Earth program, funded by the Natural Environmental Research Council. We wish to thank Caspar Mackeever, Dave Routeledge, Malcolm Airey, and the operations staff of the British Antarctic Survey and Rothera Base for their support. We also wish to recognise the work of the USGS geologists whose unpublished field maps and notes contributed to this research, and Hilary Blagbrough for her assistance in sample preparation. Financial support for analyses was provided by the Antarctic Science Bursary. The U-Pb zircon dating was enabled via the NERC Ion Microprobe Facility Steering Committee, and we thank them and Richard Hinton for their support.</t>
  </si>
  <si>
    <t>1342-937X</t>
  </si>
  <si>
    <t>1878-0571</t>
  </si>
  <si>
    <t>GONDWANA RES</t>
  </si>
  <si>
    <t>Gondwana Res.</t>
  </si>
  <si>
    <t>10.1016/j.gr.2022.09.006</t>
  </si>
  <si>
    <t>5Y8MT</t>
  </si>
  <si>
    <t>WOS:000879536400001</t>
  </si>
  <si>
    <t>Dabek, P; Gastineau, R; Bornman, TG; Lemieux, C; Turmel, M; Hallegraeff, G; Mouget, JL; Witkowski, A</t>
  </si>
  <si>
    <t>Dabek, Przemyslaw; Gastineau, Romain; Bornman, Thomas G.; Lemieux, Claude; Turmel, Monique; Hallegraeff, Gustaaf; Mouget, Jean-Luc; Witkowski, Andrzej</t>
  </si>
  <si>
    <t>The blue diatom Haslea ostrearia from the Indian Ocean coast of South Africa, with comparative analysis of Haslea organellar genomes</t>
  </si>
  <si>
    <t>Bacillariophyceae; marennine; Kei Mouth; mitochondrial genome; plastid genome; cox1 phylogeny</t>
  </si>
  <si>
    <t>MARINE LITTORAL DIATOMS; CAPE-PROVINCE; CHLOROPLAST GENOME; SALDANHA BAY; BACILLARIOPHYTA; MARENNINE; SEQUENCE; PIGMENT; CYMATOSIRACEAE; ALGORITHM</t>
  </si>
  <si>
    <t>Haslea ostrearia represents the model species of blue diatoms, a cluster of benthic marine species all belonging to the genus Haslea, noticeable for producing a blue pigment called marennine famous for its greening activity on the gills of bivalves but also for its potential in biotechnology. The exact distribution of H. ostrearia is unknown. It has been long considered a cosmopolitan diatom, but recent studies provided evidence for cryptic diversity and the existence of several other blue species, some of them inhabiting places where diatoms described as H. ostrearia had previously been observed. Recently, a marine diatom with blue tips was isolated into clonal culture from a plankton net sample from Kei Mouth on the Indian Ocean coast of South Africa. It was identified as H. ostrearia through a combination of LM/SEM microscopy and molecular analysis. This constitutes the first established record of this species from South Africa and the Indian Ocean and the second record for the southern hemisphere. Molecular barcoding clearly discriminated the South African strain from an Australian strain and cox1 based molecular phylogeny associated it instead with strains from the French Atlantic Coast, raising questions about the dispersal of this species. The complete mitochondrial and plastid genomes were compared to those of Haslea nusantara and Haslea silbo. Multigene phylogenies performed with all protein-coding genes of the plastome and the mitogenome associated H. ostrearia with H. silbo. In addition, complete sequences of circular plasmids were obtained and one of them showed an important conservation with a plasmid found in H. silbo.</t>
  </si>
  <si>
    <t>[Dabek, Przemyslaw; Gastineau, Romain; Witkowski, Andrzej] Univ Szczecin, Inst Marine &amp; Environm Sci, Szczecin, Poland; [Bornman, Thomas G.] Nelson Mandela Univ, South African Environm Observat Network, Elwandle Coastal Node, Gomery Ave, Gqeberha, South Africa; [Bornman, Thomas G.] Nelson Mandela Univ, Inst Coastal &amp; Marine Res, Gqeberha Port Elizabeth, Gqeberha, South Africa; [Lemieux, Claude; Turmel, Monique] Univ Laval, Inst Biol Integrat &amp; Syst, Dept Biochim Microbiol &amp; Bioinformat, Quebec City, PQ, Canada; [Hallegraeff, Gustaaf] Univ Tasmania, Inst Marine &amp; Antarctic Studies, Hobart, Tas, Australia; [Mouget, Jean-Luc] Le Mans Univ, CNRS Inst Univ Mer Littoral IUML 3473, Federat Rech FR Le Ctr Natl Rech Sci French Natl C, Mer Mol Sante MMS Equipe accueil EA 2160, Le Mans, France</t>
  </si>
  <si>
    <t>University of Szczecin; Nelson Mandela University; National Research Foundation - South Africa; South African Environmental Observation Network (SAEON); Nelson Mandela University; Laval University; University of Tasmania; Le Mans Universite</t>
  </si>
  <si>
    <t>Dabek, P (corresponding author), Univ Szczecin, Inst Marine &amp; Environm Sci, Szczecin, Poland.</t>
  </si>
  <si>
    <t>pdabek@usz.edu.pl</t>
  </si>
  <si>
    <t>Bornman, Thomas George/V-7794-2019</t>
  </si>
  <si>
    <t>Bornman, Thomas George/0000-0003-1868-479X; Mouget, Jean-Luc/0000-0003-0154-7289</t>
  </si>
  <si>
    <t>GHaNA project: The Genus Haslea, New marine resources for blue biotechnology and Aquaculture [734708/GHANA/H2020MSCA-RISE-2016]; Polish Ministry of Science and Higher Education; Natural Sciences and Engineering Research Council of Canada [RGPIN2017-04506]; South Africa-Poland Bilateral Collaboration Project [PL-RPA/TemBioDiaSA/02/2016]; National Research Foundation of South Africa (NRF) [UID 102283]; Shallow Marine and Coastal Research Infrastructure (SMCRI) platforms of the Department of Science and Innovation (South Africa)</t>
  </si>
  <si>
    <t>GHaNA project: The Genus Haslea, New marine resources for blue biotechnology and Aquaculture; Polish Ministry of Science and Higher Education(Ministry of Science and Higher Education, Poland); Natural Sciences and Engineering Research Council of Canada(Natural Sciences and Engineering Research Council of Canada (NSERC)CGIAR); South Africa-Poland Bilateral Collaboration Project; National Research Foundation of South Africa (NRF)(National Research Foundation - South Africa); Shallow Marine and Coastal Research Infrastructure (SMCRI) platforms of the Department of Science and Innovation (South Africa)</t>
  </si>
  <si>
    <t>The work has been supported by the GHaNA project: The Genus Haslea, New marine resources for blue biotechnology and Aquaculture, grant agreement no. 734708/GHANA/H2020MSCA-RISE-2016, granted to J-LM. The project was also supported by the 2017-2022 research funds granted for implementation of a co-financed international research project from the Polish Ministry of Science and Higher Education. This work was also supported by the Natural Sciences and Engineering Research Council of Canada under Grant RGPIN2017-04506. Authors acknowledge the funding from the South Africa-Poland Bilateral Collaboration Project facilitated by the National Research and Development Centre in Warsaw, Poland (NCBiR -project number PL-RPA/TemBioDiaSA/02/2016 granted to AW) and the National Research Foundation of South Africa (NRF -Grant UID 102283 to TB). The project was supported by the Shallow Marine and Coastal Research Infrastructure (SMCRI) platforms of the Department of Science and Innovation (South Africa) hosted by the SAEON Elwandle Coastal Node. The samples were collected with full permission from the South African Department of Agriculture, Forestry and Fisheries and the Department of Environmental Affairs (Permit number: RES2018-83).</t>
  </si>
  <si>
    <t>SEP 27</t>
  </si>
  <si>
    <t>10.3389/fmars.2022.950716</t>
  </si>
  <si>
    <t>5R6BI</t>
  </si>
  <si>
    <t>WOS:000874593200001</t>
  </si>
  <si>
    <t>Coppo, R; Cosentino, NJ; Torre, G; del Rio, I; Sawakuchi, AO; Berman, AL; Koester, E; Delmonte, B; Gaiero, DM</t>
  </si>
  <si>
    <t>Coppo, Renata; Cosentino, Nicolas J.; Torre, Gabriela; del Rio, Ian; Sawakuchi, Andre O.; Berman, Ana Laura; Koester, Edinei; Delmonte, Barbara; Gaiero, Diego M.</t>
  </si>
  <si>
    <t>Coeval minimum south American and maximum Antarctic last glacial maximum dust deposition: A causal link?</t>
  </si>
  <si>
    <t>Pampean loess; Antarctica; Provenance; Luminescence dating; Isotope mixing model; Radiogenic isotopes; Dust</t>
  </si>
  <si>
    <t>CENTRAL EAST ANTARCTICA; WESTERLY WIND CHANGES; C ICE-CORE; DOME-C; GRAIN-SIZE; LATE PLEISTOCENE; CHINESE LOESS; ISOTOPIC COMPOSITIONS; NORTHERN PAMPA; VICTORIA LAND</t>
  </si>
  <si>
    <t>Records of wind-blown mineral dust provide an excellent proxy of past atmospheric circulation, a key parameter to understanding Earth's climate changes. Dust deposition at distal sites depends on atmo-spheric conditions both in sink areas, along transport pathways, and close to dust sources. To disentangle the contributions of changes in these conditions to distal dust deposition, it is necessary to retrieve complementary information from geological dust archives at different distances from sources. In the Southern Hemisphere, paleo-dust recorded at proximal loess remains under-studied compared to dust recorded at medium-and long-range archives. Here, we expand previous sampling of southern South America's Pampean loess. New age models based on luminescence dating of potassium feldspar imply minimum dust mass accumulation rates during the early part of the Last Glacial Maximum (LGM) across all three sampled sites, in opposition to coeval maximum dust deposition in the East Antarctic Plateau (EAP). In turn, provenance analysis based on neodymium and strontium isotopes suggests that &lt;5 -mm loess mostly derived from the Puna-Altiplano Plateau (PAP). In EAP, unmixing of neodymium, strontium and lead isotopic signals confirms that LGM dust mostly derived from southern South America (con-trasting with Holocene EAP dust records that suggest a combined dust contribution from southern South America and Australia), either from southern central-western Argentina or from a combination of Patagonia/Tierra del Fuego and southern Puna in the PAP. Our results favor this second scenario, in which the coincidence of minimum dust deposition in the Pampas and maximum deposition in the EAP during the LGM is in part associated with reduced close-to-source wet scavenging of fine-grained dust due to more local arid conditions and less frequent rainfall, allowing more vigorous long-range transport of southern Puna dust.(c) 2022 Elsevier Ltd. All rights reserved.</t>
  </si>
  <si>
    <t>[Coppo, Renata; Torre, Gabriela; Gaiero, Diego M.] UNC CONICET, CICTERRA, Av Velez Sarsfield, RA-1699 Cordoba, Argentina; [Coppo, Renata; Torre, Gabriela; Gaiero, Diego M.] Univ Nacl Cordoba, Fac Ciencias Exactas Fis &amp; Nat, Av Velez Sarsfield, RA-1611 Cordoba, Argentina; [Cosentino, Nicolas J.] Pontificia Univ Catolica Chile, Inst Geog, Fac Hist Geog &amp; Ciencia Polit, Ave Vicuna Mackenna, Santiago 4860, Chile; [del Rio, Ian; Sawakuchi, Andre O.] Univ Sao Paulo, Luminescence &amp; Gamma Spectrometry Lab LEGaL, Inst Geosci, Rua do Lago 562, Sao Paulo, Brazil; [Berman, Ana Laura] Univ Buenos Aires UBA, Inst Franco Argentino Estudio Clima &amp; sus Impactos, CONICET, IFAECI,UBA CONICET CNRS IRD, Buenos Aires, Argentina; [Koester, Edinei] Univ Fed Rio Grande do Sul, Dept Geol, Campus do Vale Av Bento Goncalves 9500, Porto Alegre, Brazil; [Delmonte, Barbara] Univ Milano Bicocca, EuroCold Lab, DISAT, Piazza Sci 1, Milan, Italy</t>
  </si>
  <si>
    <t>Consejo Nacional de Investigaciones Cientificas y Tecnicas (CONICET); National University of Cordoba; National University of Cordoba; Pontificia Universidad Catolica de Chile; Universidade de Sao Paulo; Consejo Nacional de Investigaciones Cientificas y Tecnicas (CONICET); University of Buenos Aires; Universidade Federal do Rio Grande do Sul; University of Milano-Bicocca</t>
  </si>
  <si>
    <t>Gaiero, DM (corresponding author), UNC CONICET, CICTERRA, Av Velez Sarsfield, RA-1699 Cordoba, Argentina.</t>
  </si>
  <si>
    <t>renata.coppo@unc.edu.ar; diego.gaiero@unc.edu.ar</t>
  </si>
  <si>
    <t>Delmonte, Barbara/L-2555-2015; del Rio, Ian/T-6065-2019; Koester, Edinei/L-3684-2017</t>
  </si>
  <si>
    <t>Delmonte, Barbara/0000-0002-9074-2061; del Rio, Ian/0000-0002-4782-5443; Koester, Edinei/0000-0002-4424-4782; Berman, Ana Laura/0000-0003-2068-1440</t>
  </si>
  <si>
    <t>SECyT-UNC; International Association of Sedimentologists Doctoral Grant; ANID-FONDECYT-POSTDOCTORADO [2020-3200085]; Conselho Nacional de Desenvolvimento Cientifico e Tecnologico (CNPq) [307179/2021-4]; [FONCyT-PICT2017-2705]</t>
  </si>
  <si>
    <t>SECyT-UNC(Secretaria de Ciencia y Tecnologia (SECYT)); International Association of Sedimentologists Doctoral Grant; ANID-FONDECYT-POSTDOCTORADO; Conselho Nacional de Desenvolvimento Cientifico e Tecnologico (CNPq)(Conselho Nacional de Desenvolvimento Cientifico e Tecnologico (CNPQ));</t>
  </si>
  <si>
    <t>We would like to thank Ileana Perasi, Andrea Lojo, Thays Desiree Mineli, and Luciana Nogueira for their help with laboratory determinations, Diego Montesino and Victoria Nogues for the information they provided about K-feldspar dose estimates from the upper portion of Tortugas, and Nicolas Madelon for helping with designing Fig. 1b. This work was financed by award FONCyT-PICT2017-2705 and by awards from SECyT-UNC to D. M. Gaiero. It was also supported by the International Association of Sedimentologists Doctoral Grant to R. Coppo. N. J. Cosentino acknowledges support from award ANID-FONDECYT-POSTDOCTORADO 2020-3200085. A. O. Sawakuchi is supported by Conselho Nacional de Desenvolvimento Cientifico e Tecnologico (CNPq, grant 307179/2021-4). We also acknowledge the contribution of two anonymous reviewers that greatly helped to improve the manuscript.</t>
  </si>
  <si>
    <t>NOV 1</t>
  </si>
  <si>
    <t>10.1016/j.quascirev.2022.107768</t>
  </si>
  <si>
    <t>5F6CW</t>
  </si>
  <si>
    <t>WOS:000866402400007</t>
  </si>
  <si>
    <t>Manney, GL; Butler, AH; Wargan, K; Grooss, JU</t>
  </si>
  <si>
    <t>Manney, Gloria L.; Butler, Amy H.; Wargan, Krzysztof; Grooss, Jens-Uwe</t>
  </si>
  <si>
    <t>Introduction to Special Collection The Exceptional Arctic Stratospheric Polar Vortex in 2019/2020: Causes and Consequences</t>
  </si>
  <si>
    <t>JOURNAL OF GEOPHYSICAL RESEARCH-ATMOSPHERES</t>
  </si>
  <si>
    <t>stratospheric polar vortex; Arctic ozone loss; middle; lower atmosphere coupling</t>
  </si>
  <si>
    <t>OZONE LOSS; PLANETARY; WAVES</t>
  </si>
  <si>
    <t>This paper introduces the special collection in Geophysical Research Letters and Journal of Geophysical Research: Atmospheres on the exceptional stratospheric polar vortex in 2019/2020. Papers in this collection show that the 2019/2020 stratospheric polar vortex was the strongest, most persistent, and coldest on record in the Arctic. The unprecedented Arctic chemical processing and ozone loss in spring 2020 have been studied using numerous satellite and ground-based data sets and chemistry-transport models. Quantitative estimates of chemical loss are broadly consistent among the studies and show profile loss of about the same magnitude as in the Arctic in 2011, but with most loss at lower altitudes; column loss was comparable to or larger than that in 2011. Several papers show evidence of dynamical coupling from the mesosphere down to the surface. Studies of tropospheric influence and impacts link the exceptionally strong vortex to reflection of upward propagating waves and show coupling to tropospheric anomalies, including extreme heat, precipitation, windstorms, and marine cold air outbreaks. Predictability of the exceptional stratospheric polar vortex in 2019/2020 and related predictability of surface conditions are explored. The exceptionally strong stratospheric polar vortex in 2019/2020 highlights the extreme interannual variability in the Arctic winter/spring stratosphere and the far-reaching consequences of such extremes. Plain Language Summary The Arctic stratospheric polar vortex-a band of strong winds roughly encircling the pole at about 65 degrees N latitude from about 15 to 50 km above the Earth's surface that forms every winter-was exceptionally strong during the 2019/2020 winter. The strong vortex in the stratosphere was linked to unusual conditions at both higher and lower altitudes. This collection of papers explores the far-reaching consequences of the exceptionally strong stratospheric polar vortex in 2019/2020, including impacts on Arctic chemical ozone loss and on surface weather conditions. Chemical ozone loss in spring 2020 matched or exceeded the most previously on record (for 2011) and showed some features similar to the larger loss that occurs over the Antarctic every spring. The exceptionally strong stratospheric polar vortex was linked to weather extremes, including record heat, unusual patterns of precipitation, marine cold air outbreaks, and windstorms.</t>
  </si>
  <si>
    <t>[Manney, Gloria L.] NorthWest Res Associates, Socorro, NM 87801 USA; [Manney, Gloria L.] New Mexico Inst Min &amp; Technol, Socorro, NM 87801 USA; [Butler, Amy H.] NOAA, Chem Sci Lab, Boulder, CO USA; [Wargan, Krzysztof] NASA, Goddard Space Flight Ctr, Greenbelt, MD USA; [Wargan, Krzysztof] Sci Syst &amp; Applicat Inc, Lamham, MD USA; [Grooss, Jens-Uwe] Forschungszentrum Julich, Inst Energy &amp; Climate Res Stratosphere IEK 7, Julich, Germany</t>
  </si>
  <si>
    <t>NorthWest Research Associates; New Mexico Institute of Mining Technology; National Oceanic Atmospheric Admin (NOAA) - USA; National Aeronautics &amp; Space Administration (NASA); NASA Goddard Space Flight Center; Helmholtz Association; Research Center Julich</t>
  </si>
  <si>
    <t>Manney, GL (corresponding author), NorthWest Res Associates, Socorro, NM 87801 USA.;Manney, GL (corresponding author), New Mexico Inst Min &amp; Technol, Socorro, NM 87801 USA.</t>
  </si>
  <si>
    <t>manney@nwra.com</t>
  </si>
  <si>
    <t>Butler, Amy H/K-6190-2012; Manney, Gloria/JED-7207-2023; Grooss, Jens-Uwe/A-7315-2013</t>
  </si>
  <si>
    <t>Butler, Amy H/0000-0002-3632-0925; Manney, Gloria/0000-0003-4489-4811; Wargan, Krzysztof/0000-0002-3795-2983; Grooss, Jens-Uwe/0000-0002-9485-866X</t>
  </si>
  <si>
    <t>Jet Propulsion Laboratory (JPL) Microwave Limb Sounder team under JPL [1521127]; NSF Climate and Large Scale Dynamics Grant [2015906]; NASA's Global Modeling and Assimilation; Directorate For Geosciences; Div Atmospheric &amp; Geospace Sciences [2015906] Funding Source: National Science Foundation</t>
  </si>
  <si>
    <t>Jet Propulsion Laboratory (JPL) Microwave Limb Sounder team under JPL; NSF Climate and Large Scale Dynamics Grant; NASA's Global Modeling and Assimilation; Directorate For Geosciences; Div Atmospheric &amp; Geospace Sciences(National Science Foundation (NSF)NSF - Directorate for Geosciences (GEO))</t>
  </si>
  <si>
    <t>Thanks to the JPL Microwave Limb Sounder team (especially Ryan Fuller) and to Zachary D Lawrence for help with data management and analysis for products shown in Figure 1, and all of the Special Collection authors whose work is discussed herein. Thanks to AGU Publications Program Coordinator Tanya Dzekon for managing this special collection. G.L. Manney was supported by the Jet Propulsion Laboratory (JPL) Microwave Limb Sounder team under JPL subcontract #1521127 to NWRA and by NSF Climate and Large Scale Dynamics Grant #2015906. K. Wargan was supported by NASA's Global Modeling and Assimilation core funding.</t>
  </si>
  <si>
    <t>2169-897X</t>
  </si>
  <si>
    <t>2169-8996</t>
  </si>
  <si>
    <t>J GEOPHYS RES-ATMOS</t>
  </si>
  <si>
    <t>J. Geophys. Res.-Atmos.</t>
  </si>
  <si>
    <t>e2022JD037381</t>
  </si>
  <si>
    <t>10.1029/2022JD037381</t>
  </si>
  <si>
    <t>4U8II</t>
  </si>
  <si>
    <t>WOS:000859030700001</t>
  </si>
  <si>
    <t>Engelberts, JP; Wahab, MAA; Maldonado, M; Rix, L; Marangon, E; Robbins, SJ; Wagner, M; Webster, NS</t>
  </si>
  <si>
    <t>Engelberts, J. Pamela; Abdul Wahab, Muhammad A.; Maldonado, Manuel; Rix, Laura; Marangon, Emma; Robbins, Steven J.; Wagner, Michael; Webster, Nicole S.</t>
  </si>
  <si>
    <t>Microbes from Mum: symbiont transmission in the tropical reef sponge Ianthella basta</t>
  </si>
  <si>
    <t>ISME COMMUNICATIONS</t>
  </si>
  <si>
    <t>IN-SITU HYBRIDIZATION; VERTICAL TRANSMISSION; DIVERSITY; METAMORPHOSIS; DEMOSPONGES; BACTERIA</t>
  </si>
  <si>
    <t>Most marine sponge species harbour distinct communities of microorganisms which contribute to various aspects of their host's health and physiology. In addition to their key roles in nutrient transformations and chemical defence, these symbiotic microbes can shape sponge phenotype by mediating important developmental stages and influencing the environmental tolerance of the host. However, the characterisation of each microbial taxon throughout a sponge's life cycle remains challenging, with several sponge species hosting up to 3000 distinct microbial species. Ianthella basta, an abundant broadcast spawning species in the Indo-Pacific, is an emerging model for sponge symbiosis research as it harbours only three dominant symbionts: a Thaumarchaeotum, a Gammaproteobacterium, and an Alphaproteobacterium. Here, we successfully spawned Ianthella basta, characterised its mode of reproduction, and used 16S rRNA gene amplicon sequencing, fluorescence in situ hybridisation, and transmission electron microscopy to characterise the microbial community throughout its life cycle. We confirmed I. basta as being gonochoric and showed that the three dominant symbionts, which together make up &gt;90% of the microbiome according to 16S rRNA gene abundance, are vertically transmitted from mother to offspring by a unique method involving encapsulation in the peri-oocytic space, suggesting an obligate relationship between these microbes and their host.</t>
  </si>
  <si>
    <t>[Engelberts, J. Pamela; Rix, Laura; Robbins, Steven J.; Webster, Nicole S.] Univ Queensland, Australian Ctr Ecogenom, Sch Chem &amp; Mol Biosci, Brisbane, Qld, Australia; [Abdul Wahab, Muhammad A.; Marangon, Emma; Webster, Nicole S.] Australian Inst Marine Sci, Townsville, Qld, Australia; [Maldonado, Manuel] Ctr Adv Studies Blanes CEAB CSIC, Dept Marine Ecol, Girona, Spain; [Marangon, Emma] James Cook Univ, Coll Sci &amp; Engn, Townsville, Qld, Australia; [Wagner, Michael] Univ Vienna, Ctr Microbiol &amp; Environm Syst Sci, Dept Microbiol &amp; Ecosyst Sci, Vienna, Austria; [Wagner, Michael] Aalborg Univ, Ctr Microbial Communities, Dept Chem &amp; Biosci, Aalborg, Denmark; [Webster, Nicole S.] Australian Antarctic Div, Kingston, Tas, Australia</t>
  </si>
  <si>
    <t>University of Queensland; Australian Institute of Marine Science; Consejo Superior de Investigaciones Cientificas (CSIC); CSIC - Centre d'Estudis Avancats de Blanes (CEAB); James Cook University; University of Vienna; Aalborg University; Australian Antarctic Division</t>
  </si>
  <si>
    <t>Engelberts, JP (corresponding author), Univ Queensland, Australian Ctr Ecogenom, Sch Chem &amp; Mol Biosci, Brisbane, Qld, Australia.</t>
  </si>
  <si>
    <t>j.engelberts@uqconnect.edu.au</t>
  </si>
  <si>
    <t>Rix, Laura N/B-3121-2019; Maldonado, Manuel/J-9331-2012; Wagner, Michael/A-7801-2011</t>
  </si>
  <si>
    <t>Maldonado, Manuel/0000-0002-7447-4212; Wagner, Michael/0000-0002-9778-7684; Engelberts, Pamela/0000-0002-1185-3741; Marangon, Emma/0000-0002-9546-4822</t>
  </si>
  <si>
    <t>Australian Institute of Marine Science (AIMS)</t>
  </si>
  <si>
    <t>We would like to acknowledge Dr. Bettina Glasl and Dr. Julian Zaugg for their assistance with data interpretation and analysis and the Centre for Microscopy and Microanalysis at the University of Queensland for their help with the TEM work.</t>
  </si>
  <si>
    <t>SPRINGERNATURE</t>
  </si>
  <si>
    <t>LONDON</t>
  </si>
  <si>
    <t>CAMPUS, 4 CRINAN ST, LONDON, N1 9XW, ENGLAND</t>
  </si>
  <si>
    <t>2730-6151</t>
  </si>
  <si>
    <t>ISME COMMUN</t>
  </si>
  <si>
    <t>ISME Commun.</t>
  </si>
  <si>
    <t>10.1038/s43705-022-00173-w</t>
  </si>
  <si>
    <t>Ecology; Microbiology</t>
  </si>
  <si>
    <t>Environmental Sciences &amp; Ecology; Microbiology</t>
  </si>
  <si>
    <t>Y5LW6</t>
  </si>
  <si>
    <t>WOS:001105680800002</t>
  </si>
  <si>
    <t>Bhatti, YA; Revell, LE; McDonald, AJ</t>
  </si>
  <si>
    <t>Bhatti, Yusuf A.; Revell, Laura E.; McDonald, Adrian J.</t>
  </si>
  <si>
    <t>Influences of Antarctic Ozone Depletion on Southern Ocean Aerosols</t>
  </si>
  <si>
    <t>ozone; aerosol; DMS; sea salt aerosol; wind; climate</t>
  </si>
  <si>
    <t>SEA GAS-EXCHANGE; STRATOSPHERIC OZONE; CLIMATE-CHANGE; WIND-SPEED; DIMETHYLSULFIDE DMS; UVB RADIATION; IN-SITU; TRENDS; SPRAY; MODEL</t>
  </si>
  <si>
    <t>The Southern Ocean is often identified as a pristine aerosol environment, being distant from anthropogenic sources. We investigate anomalies in aerosol loading over the Southern Ocean due to stratospheric ozone depletion in historical simulations performed for the sixth Coupled Model Intercomparison Project. We explore direct influences of ozone depletion on aerosols via enhanced ultraviolet-induced production of oceanic dimethyl sulfide (DMS), and indirect influences via changes in the Southern Hemisphere westerly jet, which impacts wind-driven aerosol fluxes. We identify wind as the key driver of change for austral summertime aerosol, leading to increases in aerosol optical depth of up to 24% compared with the pre-ozone hole era. In contrast to previous studies, direct impacts on aerosol from ozone depletion and enhanced ultraviolet fluxes are less obvious. Our results show that the Southern Ocean summertime aerosol environment cannot be considered to be representative of pre-ozone hole conditions because stratospheric ozone depletion has indirectly increased marine aerosol fluxes.</t>
  </si>
  <si>
    <t>[Bhatti, Yusuf A.; Revell, Laura E.; McDonald, Adrian J.] Univ Canterbury, Sch Phys &amp; Chem Sci, Christchurch, New Zealand; [McDonald, Adrian J.] Univ Canterbury, Gateway Antarctica, Christchurch, New Zealand</t>
  </si>
  <si>
    <t>University of Canterbury; University of Canterbury</t>
  </si>
  <si>
    <t>Bhatti, YA (corresponding author), Univ Canterbury, Sch Phys &amp; Chem Sci, Christchurch, New Zealand.</t>
  </si>
  <si>
    <t>yusuf.bhatti@pg.canterbury.ac.nz</t>
  </si>
  <si>
    <t>Bhatti, Yusuf/0000-0003-1254-9845; McDonald, Adrian/0000-0002-1456-6254; Revell, Laura/0000-0002-8974-7703</t>
  </si>
  <si>
    <t>Deep South National Science Challenge [C01X1901, C01X141E2]; New Zealand Ministry of Business, Innovation &amp; Employment (MBIE) [C01X1901] Funding Source: New Zealand Ministry of Business, Innovation &amp; Employment (MBIE)</t>
  </si>
  <si>
    <t>Deep South National Science Challenge; New Zealand Ministry of Business, Innovation &amp; Employment (MBIE)(New Zealand Ministry of Business, Innovation and Employment (MBIE))</t>
  </si>
  <si>
    <t>This research was supported by the Deep South National Science Challenge (Grant Nos. C01X141E2 and C01X1901). The authors acknowledge the World Climate Research Programme, which, through its Working Group on Coupled Modelling, coordinated and promoted CMIP6. We thank the climate modeling groups for producing and making available their model output, the Earth System Grid Federation (ESGF) for archiving the data and providing access, and the multiple funding agencies who support CMIP6 and ESGF. Open access publishing facilitated by University of Canterbury, as part of the Wiley - University of Canterbury agreement via the Council of Australian University Librarians.</t>
  </si>
  <si>
    <t>e2022JD037199</t>
  </si>
  <si>
    <t>10.1029/2022JD037199</t>
  </si>
  <si>
    <t>4P3NX</t>
  </si>
  <si>
    <t>WOS:000855304600001</t>
  </si>
  <si>
    <t>Sieger, J; Brümmer, F; Ahn, H; Lee, G; Kim, S; Schill, RO</t>
  </si>
  <si>
    <t>Sieger, J.; Bruemmer, F.; Ahn, H.; Lee, G.; Kim, S.; Schill, R. O.</t>
  </si>
  <si>
    <t>Reduced ageing in the frozen state in the tardigrade Milnesium inceptum (Eutardigrada: Apochela)</t>
  </si>
  <si>
    <t>JOURNAL OF ZOOLOGY</t>
  </si>
  <si>
    <t>cold tolerance; cold acclimation; functional adaptation; lifespan; life history; Tardigrada; cryobiosis; extreme desiccation</t>
  </si>
  <si>
    <t>ANTARCTIC NEMATODE; CRYOPROTECTIVE DEHYDRATION; STORAGE-CELLS; ICE FORMATION; LIFE-HISTORY; SURVIVAL; TERRESTRIAL; RECRYSTALLIZATION; ANHYDROBIOSIS; ANTIFREEZE</t>
  </si>
  <si>
    <t>Tardigrades can survive harsh environmental conditions, such as drought and low temperature. To withstand freezing, they enter cryobiosis, a state of biological organization in which metabolic activity slows down or comes reversibly to a standstill. Thus, cryobiosis resembles anhydrobiosis, where tardigrades (and a few other invertebrate groups) undergo extreme desiccation and appear not to age in the dry state. The lack of ageing in the anhydrobiotic state, the so-called 'Sleeping Beauty' hypothesis, is assumed also to pertain to cryobiosis, but this has not been investigated. To test this, a group of tardigrades was subjected to sub-zero temperature treatment by alternating weekly periods of freezing at -30 degrees C and feeding at 20 degrees C. The temporarily frozen tardigrades lived twice as long as the control group, but both control and temporarily frozen groups had similar lifespans if the time spent frozen was excluded. This represents the first demonstration that the 'Sleeping Beauty' hypothesis applies to cryobiosis, meaning that tardigrades do not age while frozen.</t>
  </si>
  <si>
    <t>[Sieger, J.; Bruemmer, F.; Schill, R. O.] Univ Stuttgart, Inst Biomat &amp; Biomol Syst, Pfaffenwaldring 57, D-70569 Stuttgart, Germany; [Ahn, H.; Lee, G.; Kim, S.] Pohang Univ Sci &amp; Technol, Dept Life Sci, Pohang, South Korea</t>
  </si>
  <si>
    <t>University of Stuttgart; Pohang University of Science &amp; Technology (POSTECH)</t>
  </si>
  <si>
    <t>Schill, RO (corresponding author), Univ Stuttgart, Inst Biomat &amp; Biomol Syst, Pfaffenwaldring 57, D-70569 Stuttgart, Germany.</t>
  </si>
  <si>
    <t>ralph.schill@bio.uni-stuttgart.de</t>
  </si>
  <si>
    <t>Lee, Seung Geol/B-3461-2015</t>
  </si>
  <si>
    <t>Lee, Seung Geol/0000-0001-7965-7387; Ahn, Hyunsoo/0000-0003-2232-1983; Ehmann, Jessica/0000-0001-7129-0728</t>
  </si>
  <si>
    <t>0952-8369</t>
  </si>
  <si>
    <t>1469-7998</t>
  </si>
  <si>
    <t>J ZOOL</t>
  </si>
  <si>
    <t>J. Zool.</t>
  </si>
  <si>
    <t>10.1111/jzo.13018</t>
  </si>
  <si>
    <t>7A5MF</t>
  </si>
  <si>
    <t>WOS:000859168400001</t>
  </si>
  <si>
    <t>Malard, LA; Avila-Jimenez, ML; Schmale, J; Cuthbertson, L; Cockerton, L; Pearce, DA</t>
  </si>
  <si>
    <t>Malard, Lucie A.; Avila-Jimenez, Maria-Luisa; Schmale, Julia; Cuthbertson, Lewis; Cockerton, Luke; Pearce, David A.</t>
  </si>
  <si>
    <t>Aerobiology over the Southern Ocean - Implications for bacterial colonization of Antarctica</t>
  </si>
  <si>
    <t>ENVIRONMENT INTERNATIONAL</t>
  </si>
  <si>
    <t>Antarctica; Aerobiology; Dispersal; Bacteria; Biodiversity; Invasion; Climate change</t>
  </si>
  <si>
    <t>FREE TROPOSPHERIC AIR; AIRBORNE BACTERIA; GLOBAL PATTERNS; ICE NUCLEATION; MICROORGANISMS; PRECIPITATION; BIOGEOGRAPHY; ATMOSPHERE; DISPERSAL; DIVERSITY</t>
  </si>
  <si>
    <t>Parts of the Antarctic are experiencing dramatic ecosystem change due to rapid and record warming, which may weaken biogeographic boundaries and modify dispersal barriers, increasing the risk of biological invasions. In this study, we collected air samples from 100 locations around the Southern Ocean to analyze bacterial biodi-versity in the circumpolar air around the Antarctic continent, as understanding dispersal processes is paramount to assessing the risks of microbiological invasions. We also compared the Southern Ocean air bacterial biodi-versity to non-polar ecosystems to identify the potential origin of these Southern Ocean air microorganisms. The bacterial diversity in the air had both local and global origins and presented low richness overall but high heterogeneity, compatible with a scenario whereby samples are composed of a suite of different species in very low relative abundances. Only 4% of Amplicon Sequence Variants (ASVs) were identified in both polar and non -polar air masses, suggesting that the polar air mass over the Southern Ocean can act as a selective dispersal filter. Furthermore, both microbial diversity and community structure both varied significantly with meteorological data, suggesting that regional bacterial biodiversity could be sensitive to changes in weather conditions, potentially altering the existing pattern of microbial deposition in the Antarctic.</t>
  </si>
  <si>
    <t>[Malard, Lucie A.] Univ Lausanne, Dept Ecol &amp; Evolut, CH-1015 Lausanne, Switzerland; [Avila-Jimenez, Maria-Luisa] NatureMetrics, Surrey Res Pk, Guildford GU2 7HJ, England; [Schmale, Julia] Ecole Polytech Fed Lausanne, Extreme Environm Res Lab, Sion, Switzerland; [Malard, Lucie A.; Cuthbertson, Lewis; Cockerton, Luke; Pearce, David A.] Northumbria Univ, Fac Hlth &amp; Life Sci, Dept Appl Sci, Newcastle Upon Tyne NE1 8ST, England; [Pearce, David A.] British Antarctic Survey, Nat Environemnt Res Council, Madingley Rd, Cambridge CB3 0ET, England</t>
  </si>
  <si>
    <t>University of Lausanne; Swiss Federal Institutes of Technology Domain; Ecole Polytechnique Federale de Lausanne; Northumbria University; UK Research &amp; Innovation (UKRI); Natural Environment Research Council (NERC); NERC British Antarctic Survey</t>
  </si>
  <si>
    <t>Malard, LA; Pearce, DA (corresponding author), Northumbria Univ, Fac Hlth &amp; Life Sci, Dept Appl Sci, Newcastle Upon Tyne NE1 8ST, England.</t>
  </si>
  <si>
    <t>lucie.malard@unil.ch; david.pearce@northumbria.ac.uk</t>
  </si>
  <si>
    <t>Schmale, Julia Yvonne/Q-3942-2019</t>
  </si>
  <si>
    <t>Schmale, Julia Yvonne/0000-0002-1048-7962</t>
  </si>
  <si>
    <t>Swiss Polar Institute [ACE-BIOAIR]; Swiss National Science Foundation [200021_169090]; European Commission's Marie Sklodowska-Curie Actions program [675546]; Ferring Pharmaceuticals; Marie Curie Actions (MSCA) [675546] Funding Source: Marie Curie Actions (MSCA); Swiss National Science Foundation (SNF) [200021_169090] Funding Source: Swiss National Science Foundation (SNF)</t>
  </si>
  <si>
    <t>Swiss Polar Institute; Swiss National Science Foundation(Swiss National Science Foundation (SNSF)); European Commission's Marie Sklodowska-Curie Actions program; Ferring Pharmaceuticals(Ferring Pharmaceuticals); Marie Curie Actions (MSCA)(Marie Curie Actions); Swiss National Science Foundation (SNF)(Swiss National Science Foundation (SNSF))</t>
  </si>
  <si>
    <t>The authors acknowledge funding for ACE-BIOAIR by the Swiss Polar Institute and Ferring Pharmaceuticals and to a PhD studentship provided by Mr. Ronald McNulty. J.S. holds the Ingvar Kamprad Chair for Extreme Environments Research funded by Ferring Pharmaceuticals. This work was also supported by the Swiss National Science Foundation (Grant No. 200021_169090) and the European Commission's Marie Sklodowska-Curie Actions program under project number 675546.</t>
  </si>
  <si>
    <t>0160-4120</t>
  </si>
  <si>
    <t>1873-6750</t>
  </si>
  <si>
    <t>ENVIRON INT</t>
  </si>
  <si>
    <t>Environ. Int.</t>
  </si>
  <si>
    <t>10.1016/j.envint.2022.107492</t>
  </si>
  <si>
    <t>5V9TM</t>
  </si>
  <si>
    <t>Green Accepted, gold, Green Published</t>
  </si>
  <si>
    <t>WOS:000877566500002</t>
  </si>
  <si>
    <t>Tseng, YH; Tsao, SE; Kuo, YC; Tsai, JY</t>
  </si>
  <si>
    <t>Tseng, Yu-Heng; Tsao, Shou-En; Kuo, Yi-Chun; Tsai, Jia-Ying</t>
  </si>
  <si>
    <t>TIMCOM model datasets for the CMIP6 Ocean Model Intercomparison Project</t>
  </si>
  <si>
    <t>OCEAN MODELLING</t>
  </si>
  <si>
    <t>Ocean-sea ice model; CMIP6; OMIP; TIMCOM; AMOC increase</t>
  </si>
  <si>
    <t>MERIDIONAL OVERTURNING CIRCULATION; ANTARCTIC CIRCUMPOLAR CURRENT; NORTH-ATLANTIC SIMULATIONS; EXPERIMENTAL PROTOCOLS; SEA-LEVEL; CLIMATE; SYSTEM; VARIABILITY; TRANSPORT; IMPACT</t>
  </si>
  <si>
    <t>The participation of the Taiwan Multi-scale Community Ocean Model (TIMCOM) in the Ocean Model Intercomparison Project (OMIP) experiments is introduced here, as part of phase 6 of the Coupled Model Intercomparison Project (CMIP6). Two ocean-sea ice model experiments are compared: (a) OMIP1, forced by the Coordinated Ocean-Ice Reference Experiments Phase II data (1948-2009), and (b) OMIP2, forced by JRA55-do data (1958-2018). The observed annual means and the interannual variability of physical states are reasonably captured in both experiments, but improved mean temperatures and salinities are found in OMIP2. The weaker winds and stronger freshwater discharge in the OMIP2 forcing contribute to some simulated differences between OMIP1 and OMIP2. Many patterns and biases are similar to those found in other modeling efforts, confirming the common systematic biases. However, a few unique features are found in this study, including the recent increase of the Atlantic Meridional Overturning Circulation (AMOC) that has been observed in the last decade and a generally higher Drake Passage transport. The enhanced AMOC can be explained by the recent cooling event over the North Atlantic, which thermally increased the surface density flux. The higher Drake Passage transport compared to observations is possibly linked to a stronger bottom cell of meridional circulation and a smaller Antarctic sea-ice extent.</t>
  </si>
  <si>
    <t>[Tseng, Yu-Heng; Tsao, Shou-En; Kuo, Yi-Chun; Tsai, Jia-Ying] Natl Taiwan Univ, Inst Oceanog, Taipei, Taiwan; [Tseng, Yu-Heng] Natl Taiwan Univ, Ocean Ctr, Taipei, Taiwan</t>
  </si>
  <si>
    <t>National Taiwan University; National Taiwan University</t>
  </si>
  <si>
    <t>Tseng, YH (corresponding author), Natl Taiwan Univ, Inst Oceanog, Taipei, Taiwan.</t>
  </si>
  <si>
    <t>tsengyh@ntu.edu.tw</t>
  </si>
  <si>
    <t>li, Shang/KHU-3233-2024; zhang, jingxing/KCY-4726-2024</t>
  </si>
  <si>
    <t>Tseng, Yu-heng/0000-0002-4816-4974</t>
  </si>
  <si>
    <t>National Science and Technology Council, Taiwan [107-2611-M-002-013-MY4, 108-2111-M-002-006-MY3, 111-2111-M-002-015]</t>
  </si>
  <si>
    <t>National Science and Technology Council, Taiwan</t>
  </si>
  <si>
    <t>Constructive comments from the anonymous reviewers are greatly appreciated. Computer time was made available by National Center for High-performance Computing (NCHC) of National Applied Research Laboratories (NARLabs) in Taiwan. Financial support by the National Science and Technology Council Grant 107-2611-M-002-013-MY4, 108-2111-M-002-006-MY3 and 111-2111-M-002-015, Taiwan, is appreciated.</t>
  </si>
  <si>
    <t>1463-5003</t>
  </si>
  <si>
    <t>1463-5011</t>
  </si>
  <si>
    <t>OCEAN MODEL</t>
  </si>
  <si>
    <t>Ocean Model.</t>
  </si>
  <si>
    <t>10.1016/j.ocemod.2022.102109</t>
  </si>
  <si>
    <t>5U8TZ</t>
  </si>
  <si>
    <t>WOS:000876815100004</t>
  </si>
  <si>
    <t>Barnes, DKA; Kuhn, G; Hillenbrand, CD; Gromig, R; Koglin, N; Biskaborn, BK; Frinault, BAV; Klages, JP; Smith, EC; Berger, S; Gutt, J</t>
  </si>
  <si>
    <t>Barnes, David K. A.; Kuhn, Gerhard; Hillenbrand, Claus-Dieter; Gromig, Raphael; Koglin, Nikola; Biskaborn, Boris K.; Frinault, Betina A. V.; Klages, Johann P.; Smith, Emma C.; Berger, Sophie; Gutt, Julian</t>
  </si>
  <si>
    <t>Richness, growth, and persistence of life under an Antarctic ice shelf (vol 37, pg R1566, 2021)</t>
  </si>
  <si>
    <t>CURRENT BIOLOGY</t>
  </si>
  <si>
    <t>Correction</t>
  </si>
  <si>
    <t>dkab@bas.ac.uk</t>
  </si>
  <si>
    <t>Koglin, Nikola/IYJ-7940-2023; Smith, Emma/AAO-5329-2021</t>
  </si>
  <si>
    <t>CELL PRESS</t>
  </si>
  <si>
    <t>50 HAMPSHIRE ST, FLOOR 5, CAMBRIDGE, MA 02139 USA</t>
  </si>
  <si>
    <t>0960-9822</t>
  </si>
  <si>
    <t>1879-0445</t>
  </si>
  <si>
    <t>CURR BIOL</t>
  </si>
  <si>
    <t>Curr. Biol.</t>
  </si>
  <si>
    <t>SEP 26</t>
  </si>
  <si>
    <t>10.1016/j.cub.2022.09.012</t>
  </si>
  <si>
    <t>Biochemistry &amp; Molecular Biology; Biology; Cell Biology</t>
  </si>
  <si>
    <t>Biochemistry &amp; Molecular Biology; Life Sciences &amp; Biomedicine - Other Topics; Cell Biology</t>
  </si>
  <si>
    <t>5N5JH</t>
  </si>
  <si>
    <t>WOS:000871825200010</t>
  </si>
  <si>
    <t>Liang, XY; Zhitnitsky, A</t>
  </si>
  <si>
    <t>Liang, Xunyu; Zhitnitsky, Ariel</t>
  </si>
  <si>
    <t>ANITA anomalous events and axion quark nuggets</t>
  </si>
  <si>
    <t>PHYSICAL REVIEW D</t>
  </si>
  <si>
    <t>RAY AIR-SHOWERS; PHOTON-EMISSION; MATTER SURFACES; RADIO-EMISSION; SEARCHES; ELECTROSPHERE; INVARIANCE; ENERGY</t>
  </si>
  <si>
    <t>The Antarctic Impulse Transient Antenna (ANITA) Collaboration [1-3] has reported two anomalous events with noninverted polarity. These events are hard to explain in terms of conventional cosmic rays (CRs). We explore a new possible explanation for these anomalous events by suggesting that these events can be related to the dark matter (DM) annihilations within the so-called axion quark nugget (AQN) DM model. This model was initially invented for a completely different purpose: to explain the observed similarity between the dark and the visible components in the Universe-i.e., omega DM similar to omega visible-without any fitting parameters. We investigate the signal properties of the upward-going AQN events, including the event rate, the pulse duration, and the electric field strength, and find them consistent with the observations. We list several features of the upward-going AQN events distinct from conventional CR air showers. The observations (or nonobservation) of these features may substantiate (or refute) our proposal.</t>
  </si>
  <si>
    <t>[Liang, Xunyu; Zhitnitsky, Ariel] Univ British Columbia, Dept Phys &amp; Astron, Vancouver, BC V6T 1Z1, Canada</t>
  </si>
  <si>
    <t>University of British Columbia</t>
  </si>
  <si>
    <t>Liang, XY (corresponding author), Univ British Columbia, Dept Phys &amp; Astron, Vancouver, BC V6T 1Z1, Canada.</t>
  </si>
  <si>
    <t>Natural Sciences and Engineering Research Council of Canada; UBC</t>
  </si>
  <si>
    <t>Natural Sciences and Engineering Research Council of Canada(Natural Sciences and Engineering Research Council of Canada (NSERC)CGIAR); UBC</t>
  </si>
  <si>
    <t>This research was supported in part by the Natural Sciences and Engineering Research Council of Canada, and X. L. also by the UBC four-year doctoral fellowship.</t>
  </si>
  <si>
    <t>AMER PHYSICAL SOC</t>
  </si>
  <si>
    <t>COLLEGE PK</t>
  </si>
  <si>
    <t>ONE PHYSICS ELLIPSE, COLLEGE PK, MD 20740-3844 USA</t>
  </si>
  <si>
    <t>2470-0010</t>
  </si>
  <si>
    <t>2470-0029</t>
  </si>
  <si>
    <t>PHYS REV D</t>
  </si>
  <si>
    <t>Phys. Rev. D</t>
  </si>
  <si>
    <t>10.1103/PhysRevD.106.063022</t>
  </si>
  <si>
    <t>Astronomy &amp; Astrophysics; Physics, Particles &amp; Fields</t>
  </si>
  <si>
    <t>Astronomy &amp; Astrophysics; Physics</t>
  </si>
  <si>
    <t>5D4JK</t>
  </si>
  <si>
    <t>WOS:000864910000002</t>
  </si>
  <si>
    <t>Centurion, VB; Campanaro, S; Basile, A; Treu, L; Oliveira, VM</t>
  </si>
  <si>
    <t>Centurion, V. B.; Campanaro, S.; Basile, A.; Treu, L.; Oliveira, V. M.</t>
  </si>
  <si>
    <t>Microbiome structure in biofilms from a volcanic island in Maritime Antarctica investigated by genome-centric metagenomics and metatranscriptomics</t>
  </si>
  <si>
    <t>MICROBIOLOGICAL RESEARCH</t>
  </si>
  <si>
    <t>Genome-centric metagenomics; Whalers Bay; Correlation network; Purple bacteria; Stress response</t>
  </si>
  <si>
    <t>SP NOV.; CYANOBACTERIAL EXOPOLYSACCHARIDES; DEGRADING BACTERIUM; COMMUNITIES; DIVERSITY; TEMPERATURE; ECOLOGY; MARINE; GROWTH; GENES</t>
  </si>
  <si>
    <t>Antarctica is the coldest and driest continent on Earth, characterized by polyextreme environmental conditions, where species adapted form complex networks of interactions. Microbial communities growing in these harsh environments can form biofilms that help the associated species to survive and thrive. A rich body of knowledge describes environmental biofilm communities; however, most studies have focused on dominant community members rather than functional complexity and metabolic potential. To overcome these limitations, the present study used genome-centric metagenomics to describe two biofilm samples subjected to different temperature collected in Deception Island, Maritime Antarctica. The results unraveled a complex biofilm microbiome rep-resented by 180 metagenome-assembled genomes. The potential metabolic interactions were investigated using metabolic flux balance analysis and revealed that purple bacteria are the community members with the highest correlations with other bacteria. Due to their predicted mixotrophic behavior, they may play a crucial role in the microbiome, likely supporting the heterotrophic species in biofilms. Metatranscriptomics results revealed that the chaperone system and proteins counteracting ROS and toxic compounds have a major role in maintaining bacterial cell homeostasis in sediments of volcanic origin.</t>
  </si>
  <si>
    <t>[Centurion, V. B.; Oliveira, V. M.] Univ Estadual Campinas, Res Ctr Chem Biol &amp; Agr CPQBA, Microbial Resources Div, BR-13081970 Paulinia, Brazil; [Centurion, V. B.] Univ Estadual Campinas, Biol Inst, UNICAMP, BR-13083862 Campinas, Brazil; [Campanaro, S.; Basile, A.; Treu, L.] Univ Padua, Dept Biol, Via U Bassi 58-b, I-35121 Padua, Italy; [Campanaro, S.] Univ Padua, CRIBI Biotechnol Ctr, I-35131 Padua, Italy</t>
  </si>
  <si>
    <t>Universidade Estadual de Campinas; Universidade Estadual de Campinas; University of Padua; University of Padua</t>
  </si>
  <si>
    <t>Centurion, VB (corresponding author), Univ Estadual Campinas, Res Ctr Chem Biol &amp; Agr CPQBA, Microbial Resources Div, BR-13081970 Paulinia, Brazil.;Centurion, VB (corresponding author), Univ Estadual Campinas, Biol Inst, UNICAMP, BR-13083862 Campinas, Brazil.;Campanaro, S (corresponding author), Univ Padua, Dept Biol, Via U Bassi 58-b, I-35121 Padua, Italy.;Campanaro, S (corresponding author), Univ Padua, CRIBI Biotechnol Ctr, I-35131 Padua, Italy.</t>
  </si>
  <si>
    <t>vborincenturion@gmail.com; stefano.campanaro@unipd.it; arianna.basile@phd.unipd.it; treu@unipd.it; vmaia@cpqba.unicamp.br</t>
  </si>
  <si>
    <t>Basile, Arianna/IXW-5482-2023; Oliveira, Valéria Maia/L-2422-2014</t>
  </si>
  <si>
    <t>Basile, Arianna/0000-0003-2461-5221; Oliveira, Valéria Maia/0000-0001-8817-4758; Centurion, Victor/0000-0002-5597-8554</t>
  </si>
  <si>
    <t>Sao Paulo Research Foundation FAPESP [2016/05640-6, 2017/03172-8, 2019/22891-0]; Proantar - Brazilian Antarctic Program; Project MycoAntar - diversity and bioprospecting of Antarctic fungi</t>
  </si>
  <si>
    <t>Sao Paulo Research Foundation FAPESP(Fundacao de Amparo a Pesquisa do Estado de Sao Paulo (FAPESP)); Proantar - Brazilian Antarctic Program; Project MycoAntar - diversity and bioprospecting of Antarctic fungi</t>
  </si>
  <si>
    <t>The authors are grateful to the S ~ao Paulo Research Foundation FAPESP (Processes no. 2016/05640-6, 2017/03172-8 and 2019/22891-0), the Proantar -Brazilian Antarctic Program and the Project MycoAntar - diversity and bioprospecting of Antarctic fungi.</t>
  </si>
  <si>
    <t>0944-5013</t>
  </si>
  <si>
    <t>1618-0623</t>
  </si>
  <si>
    <t>MICROBIOL RES</t>
  </si>
  <si>
    <t>Microbiol. Res.</t>
  </si>
  <si>
    <t>10.1016/j.micres.2022.127197</t>
  </si>
  <si>
    <t>5C0GY</t>
  </si>
  <si>
    <t>Green Submitted, hybrid</t>
  </si>
  <si>
    <t>WOS:000863947900003</t>
  </si>
  <si>
    <t>Rizzo, C; Perrin, E; Poli, A; Finore, I; Fani, R; Lo Giudice, A</t>
  </si>
  <si>
    <t>Rizzo, Carmen; Perrin, Elena; Poli, Annarita; Finore, Ilaria; Fani, Renato; Lo Giudice, Angelina</t>
  </si>
  <si>
    <t>Characterization of the exopolymer-producing Pseudoalteromonas sp. S8-8 from Antarctic sediment</t>
  </si>
  <si>
    <t>APPLIED MICROBIOLOGY AND BIOTECHNOLOGY</t>
  </si>
  <si>
    <t>Cold adapted; EPS; Cryoprotection; Genome; Biotechnology</t>
  </si>
  <si>
    <t>ANTIBIOTIC-RESISTANCE; SEA-ICE; EXTRACELLULAR POLYSACCHARIDE; PSYCHROTROPHIC BACTERIA; METAL RESISTANCE; EXOPOLYSACCHARIDE; SUBSTANCES; GROWTH; OPTIMIZATION; TEMPERATURE</t>
  </si>
  <si>
    <t>A synergistic approach using cultivation methods, chemical, and bioinformatic analyses was applied to explore the potential of Pseudoalteromonas sp. S8-8 in the production of extracellular polymeric substances (EPSs) and the possible physiological traits related to heavy metal and/or antibiotic resistance. The effects of different parameters (carbon source, carbon source concentration, temperature, pH and NaCl supplement) were tested to ensure the optimization of growth conditions for EPS production by the strain S8-8. The highest yield of EPS was obtained during growth in culture medium supplemented with glucose (final concentration 2%) and NaCl (final concentration 3%), at 15 degrees C and pH 7. The EPS was mainly composed of carbohydrates (35%), followed by proteins and uronic acids (2.5 and 2.77%, respectively) and showed a monosaccharidic composition of glucose: mannose: galactosamine: galactose in the relative molar proportions of 1:0.7:0.5:0.4, as showed by the HPAE-PAD analysis. The detection of specific molecular groups (sulfates and uronic acid content) supported the interesting properties of EPSs, i.e. the emulsifying and cryoprotective action, heavy metal chelation, with interesting implication in bioremediation and biomedical fields. The analysis of the genome allowed to identify a cluster of genes involved in cellulose biosynthesis, and two additional gene clusters putatively involved in EPS biosynthesis.</t>
  </si>
  <si>
    <t>[Rizzo, Carmen] Sicily Marine Ctr, Marine Biotechnol Dept, Stn Zool Anton Dohrn, Messina, Italy; [Perrin, Elena; Fani, Renato] Univ Florence, Dept Biol, Florence, Italy; [Poli, Annarita; Finore, Ilaria] Natl Res Council ICB CNR, Inst Biomol Chem, Pozzuoli, NA, Italy; [Lo Giudice, Angelina] Natl Res Council CNR ISP, Inst Polar Sci, Spianata San Raineri 86, I-98122 Messina, Italy; [Lo Giudice, Angelina] Natl Antarctic Museum CIBAN MNA, Italian Collect Antarctic Bacteria, Sect Messina, Messina, Italy</t>
  </si>
  <si>
    <t>Stazione Zoologica Anton Dohrn di Napoli; University of Florence; Consiglio Nazionale delle Ricerche (CNR); Istituto di Chimica Biomolecolare (ICB-CNR); Consiglio Nazionale delle Ricerche (CNR); Istituto di Scienze Polari (ISP-CNR)</t>
  </si>
  <si>
    <t>Lo Giudice, A (corresponding author), Natl Res Council CNR ISP, Inst Polar Sci, Spianata San Raineri 86, I-98122 Messina, Italy.;Lo Giudice, A (corresponding author), Natl Antarctic Museum CIBAN MNA, Italian Collect Antarctic Bacteria, Sect Messina, Messina, Italy.</t>
  </si>
  <si>
    <t>angelina.logiudice@cnr.it</t>
  </si>
  <si>
    <t>Perrin, Elena/AAX-2762-2020; Finore, Ilaria/P-9423-2018</t>
  </si>
  <si>
    <t>Perrin, Elena/0000-0001-5148-3178; Fani, Renato/0000-0001-9114-2335; Finore, Ilaria/0000-0003-3606-5140</t>
  </si>
  <si>
    <t>Programma Nazionale di Ricerche in Antartide (PNRA) [PNRA18_00075]</t>
  </si>
  <si>
    <t>Programma Nazionale di Ricerche in Antartide (PNRA)</t>
  </si>
  <si>
    <t>This research was supported by grants from the Programma Nazionale di Ricerche in Antartide (PNRA; grant n. PNRA18_00075).</t>
  </si>
  <si>
    <t>0175-7598</t>
  </si>
  <si>
    <t>1432-0614</t>
  </si>
  <si>
    <t>APPL MICROBIOL BIOT</t>
  </si>
  <si>
    <t>Appl. Microbiol. Biotechnol.</t>
  </si>
  <si>
    <t>10.1007/s00253-022-12180-x</t>
  </si>
  <si>
    <t>Biotechnology &amp; Applied Microbiology</t>
  </si>
  <si>
    <t>5N1DX</t>
  </si>
  <si>
    <t>WOS:000859617100001</t>
  </si>
  <si>
    <t>Esmaeili, N; Carter, CG; Wilson, R; Walker, SP; Miller, MR; Bridle, AR; Young, T; Alfaro, AC; Laroche, O; Symonds, JE</t>
  </si>
  <si>
    <t>Esmaeili, Noah; Carter, Chris G.; Wilson, Richard; Walker, Seumas P.; Miller, Matthew R.; Bridle, Andrew R.; Young, Tim; Alfaro, Andrea C.; Laroche, Olivier; Symonds, Jane E.</t>
  </si>
  <si>
    <t>An integrated proteomics and metabolomics investigation of feed efficiency in seawater reared Chinook salmon (Oncorhynchus tshawytscha) br</t>
  </si>
  <si>
    <t>AQUACULTURE</t>
  </si>
  <si>
    <t>Multi-omics data integration; Systems biology; Chinook salmon; Feed conversion ratio; Protein turnover</t>
  </si>
  <si>
    <t>RAINBOW-TROUT; GROWTH EFFICIENCY; PROTEIN-TURNOVER; GENE-EXPRESSION; MULTI-OMICS; AMINO; ACID; METABOLISM; INTERMEDIARY; MIGRATION</t>
  </si>
  <si>
    <t>Feed efficiency (FE) is a critical phenotype for aquaculture sustainability, yet it is poorly understood at the molecular level. In this study, the molecular basis of FE was investigated using a multi-omics approach to integrate proteome-level data and metabolites associated with differences in feed efficiency. To achieve this, Chinook salmon (Oncorhynchus tshawytscha) were reared in seawater and the liver, blood plasma, and white muscle of feed efficient (EFF) and inefficient (INEFF) fish were analysed using proteomics and metabolomics. By comparing 21 EFF and 19 INEFF fish, 2748 liver and 703 white muscle proteins, as well as 140, 127, and 70 metabolites in the liver, plasma, and muscle, respectively, were measured. According to Gene Set Enrichment Analysis (GSEA) approach, protein synthesis was enriched in both liver and white muscle tissues of the EFF group. Furthermore, in the liver and white muscle of INEFF fish, pathways associated with protein degradation (amino acid catabolism and proteolysis) and glucose metabolism were the most affected processes. The metabolite data showed that pyruvate metabolism in the liver of the EFF group and phenylalanine, tyrosine and tryptophan metabolism in the plasma of the EFF group were enriched. Glutathione metabolism and valine, leucine and isoleucine metabolism were the top enriched pathways in both the plasma and muscle samples of the INEFF group. Integrated analysis of the datasets revealed a connection of metabolites related to lipids and amino acids with catabolism of proteins in the INEFF group. Utilising an integrated multi-omics approach, this study gained insights into the FE phenotype of Chinook salmon and it is hypothesised that protein turnover is a key component of FE in Chinook salmon reared in seawater.</t>
  </si>
  <si>
    <t>[Esmaeili, Noah; Carter, Chris G.; Miller, Matthew R.; Bridle, Andrew R.; Symonds, Jane E.] Univ Tasmania, Inst Marine &amp; Antarctic Studies, Private Bag 49, Hobart, Australia; [Wilson, Richard] Univ Tasmania, Res Div, Cent Sci Lab, Hobart 7001, Australia; [Walker, Seumas P.; Miller, Matthew R.; Laroche, Olivier; Symonds, Jane E.] Cawthron Inst, Nelson 7010, New Zealand; [Young, Tim; Alfaro, Andrea C.] Auckland Univ Technol, Fac Hlth &amp; Environm Sci, Sch Sci, Aquaculture Biotechnol Res Grp, Private Bag 92006, Auckland 1142, New Zealand</t>
  </si>
  <si>
    <t>University of Tasmania; University of Tasmania; Cawthron Institute; Auckland University of Technology</t>
  </si>
  <si>
    <t>Esmaeili, N (corresponding author), Univ Tasmania, Inst Marine &amp; Antarctic Studies, Private Bag 49, Hobart, Australia.</t>
  </si>
  <si>
    <t>noah.esmaeili@utas.edu.au</t>
  </si>
  <si>
    <t>Bridle, Andrew R/B-4117-2013; Esmaeili, Noah/Q-4536-2019; Wilson, Richard R/H-8429-2012; Carter, Chris Guy/A-3438-2008; Miller, Matthew Robert/D-5982-2011</t>
  </si>
  <si>
    <t>Esmaeili, Noah/0000-0001-8704-939X; Carter, Chris Guy/0000-0001-5210-1282; Miller, Matthew Robert/0000-0002-5402-7466; Alfaro, Andrea C./0000-0003-0543-7212; Laroche, Olivier/0000-0003-0755-0083; Young, Tim/0000-0002-3294-2866</t>
  </si>
  <si>
    <t>Ministry of Business, Innovation and Employment (MBIE) [CAWX1606]; Cawthron Institute; University of Tasmania</t>
  </si>
  <si>
    <t>Ministry of Business, Innovation and Employment (MBIE)(New Zealand Ministry of Business, Innovation and Employment (MBIE)); Cawthron Institute; University of Tasmania</t>
  </si>
  <si>
    <t>This work was funded by Ministry of Business, Innovation and Employment (MBIE) endeavour fund Feed-efficient salmon for the future (CAWX1606), Cawthron Institute and a Tasmania Graduate Research Scholarship and RTP Stipend Scholarship to Moha Esmaeili from the University of Tasmania. We appreciate the hard work of staff in the Cawthron Institute's Finfish Research Centre. We wish to thank CSL and IMAS, University of Tasmania for facilitating analyses. We are thankful to the Aquaculture Biotechnology Research Group at the Auckland University of Technology for assistance with the metabolomics analyses and interpretation. We would like to express our gratitude to all the scientists, technicians, and industry partners as well as William Dashtmiani who contributed to this project.</t>
  </si>
  <si>
    <t>0044-8486</t>
  </si>
  <si>
    <t>1873-5622</t>
  </si>
  <si>
    <t>Aquaculture</t>
  </si>
  <si>
    <t>JAN 15</t>
  </si>
  <si>
    <t>10.1016/j.aquaculture.2022.738845</t>
  </si>
  <si>
    <t>9A3QV</t>
  </si>
  <si>
    <t>WOS:000933976300008</t>
  </si>
  <si>
    <t>Marchand, LJ; Hennion, F; Tarayre, M; Martin, MC; Martins, BR; Monard, C</t>
  </si>
  <si>
    <t>Marchand, Lorene Julia; Hennion, Francoise; Tarayre, Michele; Martin, Marie-Claire; Martins, Benoit Renaud; Monard, Cecile</t>
  </si>
  <si>
    <t>Fellfields of the Kerguelen Islands harbour specific soil microbiomes and rhizomicrobiomes of an endemic plant facing necrosis</t>
  </si>
  <si>
    <t>FRONTIERS IN SOIL SCIENCE</t>
  </si>
  <si>
    <t>sub-Antarctic; bacteria; fungi; Lyallia kerguelensis; cushion plant; dieback</t>
  </si>
  <si>
    <t>FUNGAL COMMUNITIES; RHIZOSPHERE MICROBIOME; BACTERIAL COMMUNITIES; LONG-TERM; NITROGEN; EVOLUTION; GROWTH; ACETOBACTERACEAE; PORTULACACEAE; BIOGEOGRAPHY</t>
  </si>
  <si>
    <t>Polar regions are characterized by rocky terrains with sparse vegetation and oligotrophic soils, i.e. fellfields. In such ecosystems, microbial communities should be essential for soil-plant functioning but their diversity is poorly explored. The sub-Antarctic Kerguelen Islands fellfields are characterized by an endemic long-lived cushion plant, Lyallia kerguelensis which rhizosphere may be a shelter for microbes in this harsh environment. Cushions are affected by necrosis and we expect the rhizomicrobiome composition to be related to plant necrosis. We analysed bacterial and fungal communities in bulk- and rhizospheric soils from L. kerguelensis in five different fellfields across the Kerguelen Islands using 16S rRNA and ITS1 metabarcoding. We found that soil microbial communities were composed of both restricted and cosmopolitan taxa. While all sites were dominated by the same bacterial taxa (Chloroflexi, Actinobacteria, alpha-Proteobacteria and Acidobacteria), the relative abundance of the main fungal phyla (Ascomycota, Basidiomycota, Mortierellomycota and Rozellomycota) highly differed between sites. L. kerguelensis rhizomicrobiome was at least as diverse as the bulk soil, making the rhizosphere a possible reservoir of microbial diversity. It was composed of the same main bacterial phyla than detected in the bulk soil while the composition of the rhizosphere fungal communities was specific to each plant. No common microorganisms were identified regarding cushion necrosis extent across plants and sites, but several microbial putative functions were shared, suggesting a possible shift in soil functioning with cushion necrosis increase. Our study brings new information on the diversity and composition of the microbial communities of fellfield soils in a sub-Antarctic Island and the rhizomicrobiome of a characteristic endemic cushion plant.</t>
  </si>
  <si>
    <t>[Marchand, Lorene Julia; Hennion, Francoise; Tarayre, Michele; Martin, Marie-Claire; Martins, Benoit Renaud; Monard, Cecile] Univ Rennes 1, CNRS, ECOBIO Ecosyst Biodivers Evolut, OSUR UMR 6553, Rennes, France; [Marchand, Lorene Julia] Univ Antwerp, Dept Biol, Res Grp PLECO Plants &amp; Ecosyst, Antwerp, Belgium; [Martins, Benoit Renaud] Helmholtz Zentrum Munchen, Res Unit Comparat Microbiome Anal, Neuherberg, Germany</t>
  </si>
  <si>
    <t>Centre National de la Recherche Scientifique (CNRS); Universite de Rennes; University of Antwerp; Helmholtz Association; Helmholtz-Center Munich - German Research Center for Environmental Health</t>
  </si>
  <si>
    <t>Marchand, LJ (corresponding author), Univ Rennes 1, CNRS, ECOBIO Ecosyst Biodivers Evolut, OSUR UMR 6553, Rennes, France.;Marchand, LJ (corresponding author), Univ Antwerp, Dept Biol, Res Grp PLECO Plants &amp; Ecosyst, Antwerp, Belgium.</t>
  </si>
  <si>
    <t>lorene.marchand@uantwerpen.be</t>
  </si>
  <si>
    <t>Marchand, Lorène/JHV-0566-2023; Monard, Cécile/JXL-7678-2024</t>
  </si>
  <si>
    <t>Marchand, Lorène/0000-0002-9633-0228; Martins, Benoit Renaud/0000-0002-3952-4042</t>
  </si>
  <si>
    <t>French Polar Institute (IPEV) [1116]; CNRS IRP grant AntarctPlantAdapt; Ministry of Research and Education (France); AO 2018 (OSUR, Universite de Rennes1)</t>
  </si>
  <si>
    <t>French Polar Institute (IPEV); CNRS IRP grant AntarctPlantAdapt; Ministry of Research and Education (France); AO 2018 (OSUR, Universite de Rennes1)</t>
  </si>
  <si>
    <t>This research was supported by the French Polar Institute (IPEV, project 1116) and CNRS IRP grant AntarctPlantAdapt (F. Hennion) and AO 2018 (OSUR, Universite de Rennes1). L.J. Marchand was supported by a PhD grant from the Ministry of Research and Education (France).</t>
  </si>
  <si>
    <t>2673-8619</t>
  </si>
  <si>
    <t>FRONT SOIL SCI</t>
  </si>
  <si>
    <t>Front. Soil Sci.</t>
  </si>
  <si>
    <t>10.3389/fsoil.2022.995716</t>
  </si>
  <si>
    <t>Soil Science</t>
  </si>
  <si>
    <t>Agriculture</t>
  </si>
  <si>
    <t>X3SE3</t>
  </si>
  <si>
    <t>WOS:001097677400001</t>
  </si>
  <si>
    <t>Yamasaki, H; Fujimoto, S; Tanaka, H; Shimada, D; Ito, M; Tokuda, Y; Tsujimoto, M</t>
  </si>
  <si>
    <t>Yamasaki, Hiroshi; Fujimoto, Shinta; Tanaka, Hayato; Shimada, Daisuke; Ito, Masato; Tokuda, Yuki; Tsujimoto, Megumu</t>
  </si>
  <si>
    <t>Taxonomy, genetic diversity, and phylogeny of the Antarctic mud dragon, Polacanthoderes (Kinorhyncha: Echinorhagata: Echinoderidae)</t>
  </si>
  <si>
    <t>ZOOLOGISCHER ANZEIGER</t>
  </si>
  <si>
    <t>Meiofauna; New species; K2P distance; JARE; DESS</t>
  </si>
  <si>
    <t>MOLECULAR PHYLOGENY; DISTRIBUTION PATTERNS; BAYESIAN-INFERENCE; CONTINENTAL-SHELF; DEEP-SEA; CYCLORHAGIDA; MRBAYES; GENUS; DNA; BIODIVERSITY</t>
  </si>
  <si>
    <t>A new species Polacanthoderes shiraseae sp. nov. from three Antarctic regions (off Cape Darnley, off Totten Glacier, and in Lutzow-Holm Bay) is described. In addition, type species of Polacanthoderes, Polacanthoderes martinezi, is redescribed. The new species is distinguished from P. martinezi by the presence of conspicuously thick lateroventral acicular spines on segments 8 and 9 and the presence of sublateral small acicular spines on segment 7. Both P. martinezi and P. shiraseae sp. nov. occasionally show intraspecific morphological variations in the position of some small acicular spines. The K2P genetic distances based on the mitochondrial cytochrome c oxidase subunit 1 gene sequences in P. shiraseae sp. nov. are 0-1.5%, equivalent to those in other echinoderid species. Phylogenetic analyses of Polacanthoderes based on the nuclear 18S rRNA and 28S rRNA gene sequences support the inclusion of the genus in Echinorhagata/Echinoderidae and suggest that the genus represents the most basal group of this order/family.</t>
  </si>
  <si>
    <t>[Yamasaki, Hiroshi] Kyushu Univ, Fac Arts &amp; Sci, Fukuoka 8190395, Japan; [Fujimoto, Shinta] Yamaguchi Univ, Grad Sch Sci &amp; Technol Innovat, 1677-1 Yoshida, Yamaguchi, Yamaguchi 7538512, Japan; [Tanaka, Hayato] Tokyo Sea Life Pk, 6-2-3 Rinkai cho, Edogawa, Tokyo 1348587, Japan; [Shimada, Daisuke] Natl Museum Nat &amp; Sci, Ctr Mol Biodivers Res, 4-4-1 Amakubo, Tsukuba, Ibaraki 3050005, Japan; [Ito, Masato; Tsujimoto, Megumu] Natl Inst Polar Res, 10-3 Midori cho, Tachikawa, Tokyo 1908518, Japan; [Tokuda, Yuki] Tottori Univ Environm Studies, 1-1-1 Wakabadaikita, Wakabadaikita, Tottori 6891111, Japan; [Tsujimoto, Megumu] Keio Univ, Fac Environm &amp; Informat Studies, 5322 Endo, Fujisawa, Kanagawa 2520882, Japan</t>
  </si>
  <si>
    <t>Kyushu University; Yamaguchi University; National Museum of Nature and Science; Research Organization of Information &amp; Systems (ROIS); National Institute of Polar Research (NIPR) - Japan; Keio University</t>
  </si>
  <si>
    <t>Yamasaki, H (corresponding author), Kyushu Univ, Fac Arts &amp; Sci, Fukuoka 8190395, Japan.</t>
  </si>
  <si>
    <t>h.yamasaki@meiobenthos.com</t>
  </si>
  <si>
    <t>Tsujimoto, Megumu/JCE-5500-2023; Yamasaki, Hiroshi/I-8585-2018</t>
  </si>
  <si>
    <t>Tsujimoto, Megumu/0000-0001-5160-6086; Yamasaki, Hiroshi/0000-0002-0282-982X; Shimada, Daisuke/0000-0002-6913-3659</t>
  </si>
  <si>
    <t>Japan Society for the Promotion of Science [17H01157, 17H01615, 17H04710, 17H06318, 17H06321, 18H01329, 18K13649, 19H00728, 21H01201]; Science Program of JARE as Prioritized Research Project (ROBOTICA), National Institute of Polar Research (NIPR) [KP-303, KP-309]; Center for the Promotion of Integrated Sciences of SOKENDAI; Joint Research Program of the Institute of Low Temperature Science, Hokkaido University; KAKENHI from the Japan Society for the Promotion of Science [20H04974, 20K22670]; Grants-in-Aid for Scientific Research [20H04974] Funding Source: KAKEN</t>
  </si>
  <si>
    <t>Japan Society for the Promotion of Science(Ministry of Education, Culture, Sports, Science and Technology, Japan (MEXT)Japan Society for the Promotion of Science); Science Program of JARE as Prioritized Research Project (ROBOTICA), National Institute of Polar Research (NIPR); Center for the Promotion of Integrated Sciences of SOKENDAI; Joint Research Program of the Institute of Low Temperature Science, Hokkaido University; KAKENHI from the Japan Society for the Promotion of Science(Ministry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</si>
  <si>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We thank Dr Satoshi Imura and Dr Takeshi Tamura (National Institute of Polar Research, Research Organization of Information and Systems) and Dr Kay I Ohshima (Institute of Low Temperature Science, Hokkaido University) for their sincere support throughout this study; the officer, crew, and scientists on board the icebreaker Shirase for their assistance in the field operations and sample collections; Mr Koga Nakada (Kyushu University) and Mr Kaoru Kurosawa (Kyushu University) for their help in extracting meiofauna from the sediment samples; Dr Birger Neuhaus (Museum fur Naturkunde Berlin, Germany) for his help in observing the type material of Polacanthoderes martinezi; Center for Advanced Instrumental and Educational Supports, Faculty of Agriculture (Kyushu University) for making facilities for SEM observation available. Sample collections during the JARE expeditions were supported by several KAKENHI Grants (17H01157, 17H01615, 17H04710, 17H06318, 17H06321, 18H01329, 18K13649, 19H00728, and 21H01201) from the Japan Society for the Promotion of Science, the Science Program of JARE as Prioritized Research Project (ROBOTICA), National Institute of Polar Research (NIPR) through Project Research KP-303 and KP-309, the Center for the Promotion of Integrated Sciences of SOKENDAI, and the Joint Research Program of the Institute of Low Temperature Science, Hokkaido University. After the sample collections, meiofaunal extraction, observation, and molecular work were carried out with a KAKENHI Grant (20H04974) to MT and another KAKENHI Grant (20K22670) to HY from the Japan Society for the Promotion of Science.</t>
  </si>
  <si>
    <t>0044-5231</t>
  </si>
  <si>
    <t>ZOOL ANZ</t>
  </si>
  <si>
    <t>Zool. Anz.</t>
  </si>
  <si>
    <t>10.1016/j.jcz.2022.09.003</t>
  </si>
  <si>
    <t>5L2HJ</t>
  </si>
  <si>
    <t>WOS:000870235600001</t>
  </si>
  <si>
    <t>Emerson, BC; Borges, PAV; Cardoso, P; Convey, P; deWaard, JR; Economo, EP; Gillespie, RG; Kennedy, S; Krehenwinkel, H; Meier, R; Roderick, GK; Strasberg, D; Thébaud, C; Traveset, A; Creedy, TJ; Meramveliotakis, E; Noguerales, V; Overcast, I; Morlon, H; Papadopoulou, A; Vogler, AP; Arribas, P; Andújar, C</t>
  </si>
  <si>
    <t>Emerson, Brent C.; Borges, Paulo A. V.; Cardoso, Pedro; Convey, Peter; deWaard, Jeremy R.; Economo, Evan P.; Gillespie, Rosemary G.; Kennedy, Susan; Krehenwinkel, Henrik; Meier, Rudolf; Roderick, George K.; Strasberg, Dominique; Thebaud, Christophe; Traveset, Anna; Creedy, Thomas J.; Meramveliotakis, Emmanouil; Noguerales, Victor; Overcast, Isaac; Morlon, Helene; Papadopoulou, Anna; Vogler, Alfried P.; Arribas, Paula; Andujar, Carmelo</t>
  </si>
  <si>
    <t>Collective and harmonized high throughput barcoding of insular arthropod biodiversity: Toward a Genomic Observatories Network for islands</t>
  </si>
  <si>
    <t>MOLECULAR ECOLOGY</t>
  </si>
  <si>
    <t>arthropods; biodiversity conservation; island community ecology; island evolution; multiplex barcoding; wocDNA metabarcoding</t>
  </si>
  <si>
    <t>MITOCHONDRIAL METAGENOMICS; LARGE-SCALE; DIVERSITY; MODEL; PATTERNS; LEVEL; PHYLOGEOGRAPHY; CONSERVATION; COMMUNITIES; SHORTFALLS</t>
  </si>
  <si>
    <t>Current understanding of ecological and evolutionary processes underlying island biodiversity is heavily shaped by empirical data from plants and birds, although arthropods comprise the overwhelming majority of known animal species, and as such can provide key insights into processes governing biodiversity. Novel high throughput sequencing (HTS) approaches are now emerging as powerful tools to overcome limitations in the availability of arthropod biodiversity data, and hence provide insights into these processes. Here, we explored how these tools might be most effectively exploited for comprehensive and comparable inventory and monitoring of insular arthropod biodiversity. We first reviewed the strengths, limitations and potential synergies among existing approaches of high throughput barcode sequencing. We considered how this could be complemented with deep learning approaches applied to image analysis to study arthropod biodiversity. We then explored how these approaches could be implemented within the framework of an island Genomic Observatories Network (iGON) for the advancement of fundamental and applied understanding of island biodiversity. To this end, we identified seven island biology themes at the interface of ecology, evolution and conservation biology, within which collective and harmonized efforts in HTS arthropod inventory could yield significant advances in island biodiversity research.</t>
  </si>
  <si>
    <t>[Emerson, Brent C.; Noguerales, Victor; Arribas, Paula; Andujar, Carmelo] Inst Nat Prod &amp; Agrobiol IPNA CSIC, Isl Ecol &amp; Evolut Res Grp, San Cristobal la Laguna, Spain; [Borges, Paulo A. V.; Cardoso, Pedro] Univ Azores, CHANGE Global Change &amp; Sustainabil Inst, Fac Agr Sci &amp; Environm,Ctr Ecol, Evolut &amp; Environm Changes cE3c Azorean Biodivers, Angra Do Heroismo, Portugal; [Cardoso, Pedro] Univ Helsinki, Lab Integrat Biodivers Res LIBRe, Finnish Museum Nat Hist Luomus, Helsinki, Finland; [Convey, Peter] NERC, British Antarctic Survey, Cambridge, England; [Convey, Peter] Univ Johannesburg, Dept Zool, Auckland Pk, South Africa; [deWaard, Jeremy R.] Univ Guelph, Ctr Biodivers Genom, Guelph, ON, Canada; [deWaard, Jeremy R.] Univ Guelph, Sch Environm Sci, Guelph, ON, Canada; [Economo, Evan P.; Kennedy, Susan] Okinawa Inst Sci &amp; Technol Grad Univ, Biodivers &amp; Biocomplex Unit, Okinawa, Japan; [Economo, Evan P.] Harvard Univ, Radcliffe Inst Adv Study, Cambridge, MA USA; [Gillespie, Rosemary G.; Roderick, George K.] Univ Calif Berkeley, Department Environm Sci Policy &amp; Management, Berkeley, CA USA; [Krehenwinkel, Henrik] Univ Trier, Dept Biogeog, Trier, Germany; [Meier, Rudolf] Museum Naturkunde, Leibniz Inst Evolut &amp; Biodivers Sci, Ctr Integrat Biodivers Discovery, Berlin, Germany; [Meier, Rudolf] Natl Univ Singapore, Dept Biol Sci, Singapore, Singapore; [Strasberg, Dominique] Univ Reunion, UMR PVBMT, Sainte Clotilde, France; [Thebaud, Christophe] Univ Paul Sabatier Toulouse III, CNRS, UMR 5174 EDB Laboratoire Evolut Div Biolog, IRD, Toulouse, France; [Traveset, Anna] Mediterranean Inst Adv Studies CSIC UIB, Global Change Res Grp, Mallorca, Spain; [Creedy, Thomas J.; Vogler, Alfried P.] Nat Hist Museum, Dept Life Sci, London, England; [Meramveliotakis, Emmanouil; Papadopoulou, Anna] Univ Cyprus, Dept Biol Sci, Nicosia, Cyprus; [Overcast, Isaac; Morlon, Helene] Univ PSL, CNRS, Inst Biol IENS IBENS, Dept Biol,Ecole Normale Superieure,INSERM, Paris, France; [Vogler, Alfried P.] Imperial Coll London, Dept Life Sci, London, England</t>
  </si>
  <si>
    <t>Consejo Superior de Investigaciones Cientificas (CSIC); CSIC - Instituto de Productos Naturales y Agrobiologia (IPNA); Universidade dos Acores; University of Helsinki; UK Research &amp; Innovation (UKRI); Natural Environment Research Council (NERC); NERC British Antarctic Survey; University of Johannesburg; University of Guelph; University of Guelph; Okinawa Institute of Science &amp; Technology Graduate University; Harvard University; University of California System; University of California Berkeley; Universitat Trier; Leibniz Institut fur Evolutions und Biodiversitatsforschung; National University of Singapore; University of La Reunion; Universite de Toulouse; Universite Toulouse III - Paul Sabatier; Institut de Recherche pour le Developpement (IRD); Centre National de la Recherche Scientifique (CNRS); Consejo Superior de Investigaciones Cientificas (CSIC); ATTITUS Educacao; Natural History Museum London; University of Cyprus; Universite PSL; Ecole Normale Superieure (ENS); Institut National de la Sante et de la Recherche Medicale (Inserm); Centre National de la Recherche Scientifique (CNRS); Imperial College London</t>
  </si>
  <si>
    <t>Emerson, BC (corresponding author), Inst Nat Prod &amp; Agrobiol IPNA CSIC, Isl Ecol &amp; Evolut Res Grp, San Cristobal la Laguna, Spain.</t>
  </si>
  <si>
    <t>bemerson@ipna.csic.es</t>
  </si>
  <si>
    <t>Arribas, Paula/ABG-9998-2020; Noguerales, Víctor/C-4376-2013; Convey, Peter/AAV-5728-2020; Cardoso, Pedro/AAY-9650-2020; Meier, Rudolf/A-7099-2011; Hélène, MORLON/AAM-4912-2020; Papadopoulou, Anna/K-5492-2014; deWaard, Jeremy R/G-8112-2014; Borges, Paulo AV/AEW-0237-2022; Cardoso, Pedro/A-8820-2008</t>
  </si>
  <si>
    <t>Arribas, Paula/0000-0002-0358-8271; Noguerales, Víctor/0000-0003-3185-778X; Convey, Peter/0000-0001-8497-9903; Meier, Rudolf/0000-0002-4452-2885; Hélène, MORLON/0000-0002-3195-7521; Papadopoulou, Anna/0000-0002-4656-4894; Borges, Paulo AV/0000-0002-8448-7623; Cardoso, Pedro/0000-0001-8119-9960; Economo, Evan/0000-0001-7402-0432; Emerson, Brent/0000-0003-4067-9858; Meramveliotakis, Emmanouil/0000-0002-6399-575X</t>
  </si>
  <si>
    <t>European Union [810729]</t>
  </si>
  <si>
    <t>European Union(European Union (EU))</t>
  </si>
  <si>
    <t>The iGON Working Group was organized by the iBioGen project, which has received funding from the European Union's Horizon 2020 research and innovation programme under grant agreement no. 810729.</t>
  </si>
  <si>
    <t>0962-1083</t>
  </si>
  <si>
    <t>1365-294X</t>
  </si>
  <si>
    <t>MOL ECOL</t>
  </si>
  <si>
    <t>Mol. Ecol.</t>
  </si>
  <si>
    <t>10.1111/mec.16683</t>
  </si>
  <si>
    <t>Biochemistry &amp; Molecular Biology; Ecology; Evolutionary Biology</t>
  </si>
  <si>
    <t>Biochemistry &amp; Molecular Biology; Environmental Sciences &amp; Ecology; Evolutionary Biology</t>
  </si>
  <si>
    <t>GP7S3</t>
  </si>
  <si>
    <t>hybrid, Green Published, Green Accepted</t>
  </si>
  <si>
    <t>WOS:000862663300001</t>
  </si>
  <si>
    <t>von Takach, B; Ranjard, L; Burridge, CP; Cameron, SF; Cremona, T; Eldridge, MDB; Fisher, DO; Frankenberg, S; Hill, BM; Hohnen, R; Jolly, CJ; Kelly, E; MacDonald, AJ; Moussalli, A; Ottewell, K; Phillips, B; Radford, IJ; Spencer, PBS; Trewella, GJ; Umbrello, LS; Banks, SC</t>
  </si>
  <si>
    <t>von Takach, Brenton; Ranjard, Louis; Burridge, Christopher P.; Cameron, Skye F.; Cremona, Teigan; Eldridge, Mark D. B.; Fisher, Diana O.; Frankenberg, Stephen; Hill, Brydie M.; Hohnen, Rosemary; Jolly, Chris J.; Kelly, Ella; MacDonald, Anna J.; Moussalli, Adnan; Ottewell, Kym; Phillips, Ben L.; Radford, Ian J.; Spencer, Peter B. S.; Trewella, Gavin J.; Umbrello, Linette S.; Banks, Sam C.</t>
  </si>
  <si>
    <t>Population genomics of a predatory mammal reveals patterns of decline and impacts of exposure to toxic toads</t>
  </si>
  <si>
    <t>biogeography; cane toad; demographic history; genomic diversity; northern quoll; population structure</t>
  </si>
  <si>
    <t>INVASIVE CANE TOADS; TOP MARSUPIAL PREDATOR; GENETIC DIFFERENTIATION; BUFO-MARINUS; ISLAND POPULATIONS; MONSOON TROPICS; NORTHERN QUOLL; FAST INFERENCE; F-STATISTICS; R PACKAGE</t>
  </si>
  <si>
    <t>Mammal declines across northern Australia are one of the major biodiversity loss events occurring globally. There has been no regional assessment of the implications of these species declines for genomic diversity. To address this, we conducted a species-wide assessment of genomic diversity in the northern quoll (Dasyurus hallucatus), an Endangered marsupial carnivore. We used next generation sequencing methods to genotype 10,191 single nucleotide polymorphisms (SNPs) in 352 individuals from across a 3220-km length of the continent, investigating patterns of population genomic structure and diversity, and identifying loci showing signals of putative selection. We found strong heterogeneity in the distribution of genomic diversity across the continent, characterized by (i) biogeographical barriers driving hierarchical population structure through long-term isolation, and (ii) severe reductions in diversity resulting from population declines, exacerbated by the spread of introduced toxic cane toads (Rhinella marina). These results warn of a large ongoing loss of genomic diversity and associated adaptive capacity as mammals decline across northern Australia. Encouragingly, populations of the northern quoll established on toad-free islands by translocations appear to have maintained most of the initial genomic diversity after 16 years. By mapping patterns of genomic diversity within and among populations, and investigating these patterns in the context of population declines, we can provide conservation managers with data critical to informed decision-making. This includes the identification of populations that are candidates for genetic management, the importance of remnant island and insurance/translocated populations for the conservation of genetic diversity, and the characterization of putative evolutionarily significant units.</t>
  </si>
  <si>
    <t>[von Takach, Brenton; Cremona, Teigan; Hohnen, Rosemary; Trewella, Gavin J.; Banks, Sam C.] Charles Darwin Univ, Res Inst Environm &amp; Livelihoods, Darwin, NT, Australia; [von Takach, Brenton] Curtin Univ, Sch Mol &amp; Life Sci, Perth, WA, Australia; [Ranjard, Louis; MacDonald, Anna J.] Australian Natl Univ, Res Sch Biol, Fac Sci, Acton, ACT, Australia; [Ranjard, Louis] PlantTech Res Inst, Tauranga, New Zealand; [Burridge, Christopher P.] Univ Tasmania, Sch Nat Sci, Hobart, Tas, Australia; [Cameron, Skye F.] Australian Wildlife Conservancy, Kimberley, WA, Australia; [Cameron, Skye F.; Fisher, Diana O.] Univ Queensland, Sch Biol Sci, St Lucia, Qld, Australia; [Eldridge, Mark D. B.] Australian Museum Res Inst, Sydney, NSW, Australia; [Frankenberg, Stephen; Kelly, Ella; Moussalli, Adnan; Phillips, Ben L.] Univ Melbourne, Sch BioSci, Parkville, Vic, Australia; [Hill, Brydie M.] Northern Terr Govt, Dept Environm Pk &amp; Water Secur, Flora &amp; Fauna Div, Darwin, NT, Australia; [Jolly, Chris J.] Charles Sturt Univ, Sch Environm Sci, Inst Land Water &amp; Soc, Albury, NSW, Australia; [Jolly, Chris J.] Macquarie Univ, Sch Nat Sci, Macquarie Pk, NSW, Australia; [MacDonald, Anna J.] Dept Agr Water &amp; Environm, Australian Antarctic Div, Kingston, Tas, Australia; [Moussalli, Adnan] Museums Victoria, Dept Sci, Melbourne, Vic, Australia; [Ottewell, Kym; Radford, Ian J.; Umbrello, Linette S.] Dept Biodivers Conservat &amp; Attract, Perth, WA, Australia; [Spencer, Peter B. S.] Murdoch Univ, Environm &amp; Conservat Sci, Perth, WA, Australia; [Umbrello, Linette S.] Western Australian Museum, Collect &amp; Res Ctr, Welshpool, WA, Australia</t>
  </si>
  <si>
    <t>Charles Darwin University; Curtin University; Australian National University; University of Tasmania; Australian Wildlife Conservancy; University of Queensland; Australian Museum; University of Melbourne; Northern Territory Government; Charles Sturt University; Macquarie University; Australian Antarctic Division; Melbourne Genomics Health Alliance; Murdoch University; Western Australian Museum</t>
  </si>
  <si>
    <t>von Takach, B (corresponding author), Curtin Univ, Sch Mol &amp; Life Sci, Perth, WA, Australia.</t>
  </si>
  <si>
    <t>brenton.vontakach@curtin.edu.au</t>
  </si>
  <si>
    <t>Banks, Sam C/K-4907-2012; Frankenberg, Stephen R/H-3897-2011; MacDonald, Anna J/B-4462-2011; Burridge, Chris/L-4392-2019; Burridge, Christopher/J-2653-2012; Ranjard, Louis/M-4525-2015; Fisher, Diana/C-1324-2010</t>
  </si>
  <si>
    <t>MacDonald, Anna J/0000-0003-2972-200X; Burridge, Christopher/0000-0002-8185-6091; Cameron, Skye/0000-0003-2018-8912; Frankenberg, Stephen/0000-0002-2497-7356; Hohnen, Rosemary/0000-0002-3638-6676; Ranjard, Louis/0000-0002-7622-4823; Cremona, Teigan/0000-0001-7041-5189; von Takach, Brenton/0000-0002-7999-3521; Fisher, Diana/0000-0002-4017-3710; Umbrello, Linette/0000-0003-2769-8464; Spencer, Peter/0000-0002-4938-2615; Jolly, Chris J./0000-0002-5234-0897</t>
  </si>
  <si>
    <t>Australian Research Council [DP180103134, FT150100492]; Australian Research Council [FT150100492] Funding Source: Australian Research Council</t>
  </si>
  <si>
    <t>Australian Research Council(Australian Research Council); Australian Research Council(Australian Research Council)</t>
  </si>
  <si>
    <t>Australian Research Council, Grant/Award Number: DP180103134 and FT150100492</t>
  </si>
  <si>
    <t>10.1111/mec.16680</t>
  </si>
  <si>
    <t>5N1YC</t>
  </si>
  <si>
    <t>WOS:000859010900001</t>
  </si>
  <si>
    <t>Saravia, J; Paschke, K; Pontigo, JP; Nualart, D; Navarro, JM; Vargas-Chacoff, L</t>
  </si>
  <si>
    <t>Saravia, Julia; Paschke, Kurt; Pontigo, Juan Pablo; Nualart, Daniela; Navarro, Jorge M.; Vargas-Chacoff, Luis</t>
  </si>
  <si>
    <t>Effects of temperature on the innate immune response on Antarctic and sub-Antarctic fish Harpagifer antarcticus and Harpagifer bispinis challenged with two immunostimulants, LPS and Poly I:C: In vivo and in vitro approach</t>
  </si>
  <si>
    <t>FISH &amp; SHELLFISH IMMUNOLOGY</t>
  </si>
  <si>
    <t>Immune system; Thermal stress; Gene expression studies; Antarctic fish; Primary cell cultures</t>
  </si>
  <si>
    <t>TOLL-LIKE RECEPTORS; SALMON SALMO-SALAR; FRESH-WATER; RECOGNITION; EXPRESSION; STRESS; GENES; ACCLIMATION; TOLERANCE; GENOMICS</t>
  </si>
  <si>
    <t>Rising ocean temperatures due to climate change combined with the intensification of anthropogenic activity can drive shifts in the geographic distribution of species, with the risks of introducing new diseases. In a changing environment, new host-pathogen interactions or changes to existing dynamics represent a major challenge for native species at high latitudes. Notothenioid fish constitute a unique study system since members of this group are found inside and outside Antarctica, are highly adapted to cold and particularly sensitive to temperature increments. However, data about their immune response remains scarce. Here, we aimed to evaluate the innate immune response under thermal stress in two species of Notothenioid fish, Harpagifer antarcticus and Harpagifer bispinis. Adult individuals from both species were collected on King George Island (Antarctica), and Punta Arenas (Chile), respectively. Specimens were assigned to a control group or injected with one of two agents (LPS and Poly I:C) to simulate either a bacterial or viral infection, and subjected to three different temperatures 2, 5 and 8 degrees C for 1 week. In parallel, we established leukocytes primary cell cultures from head kidney, which were also subjected to the immunostimulants at the same three temperatures, and incubated for 0.5, 1, 3, 6, 12, 24, and 48 h. We evaluated the relative gene expression of genes involved in the innate immune response (TLR1, TLR3, NF-kB, MYD88, IFNGR e IL-8) through real time qPCR. We found differences between species mainly in vivo, where H. antarcticus exhibited upregulation at high temperatures and H. bispinis seemed to have reached their physi-ological minimum at 2 degrees C. Although temperature had a strong effect during the in vivo assay for both species, it was negligible for primary cell cultures, which responded primarily to condition and time. Moreover, while leukocytes responded with fluctuations across time points, in vivo both species manifested strong and clear patterns of gene expression. These results highlight the importance of evaluating the effect of multiple stressors and set a precedent for future research.</t>
  </si>
  <si>
    <t>[Saravia, Julia; Nualart, Daniela; Navarro, Jorge M.; Vargas-Chacoff, Luis] Univ Austral Chile, Inst Ciencias Marinas &amp; Limnol, Valdivia, Chile; [Saravia, Julia; Paschke, Kurt; Nualart, Daniela; Navarro, Jorge M.; Vargas-Chacoff, Luis] Univ Austral Chile, Ctr Fondap Invest Altas Latitudes Fondap IDEAL, Valdivia, Chile; [Saravia, Julia; Nualart, Daniela] Univ Austral Chile, Escuela Grad, Programa Doctorado Ciencias Acuicultura, Puerto Montt, Chile; [Paschke, Kurt] Univ Austral Chile, Inst Acuicultura, Puerto Montt, Chile; [Paschke, Kurt; Nualart, Daniela; Vargas-Chacoff, Luis] Univ Austral Chile, Millennium Inst Biodivers Antarctic &amp; Subantarct E, BASE, Valdivia, Chile; [Pontigo, Juan Pablo] Univ San Sebastian, Fac Med Vet, Lab Biotecnol Aplicada, Puerto Montt, Chile; [Saravia, Julia; Vargas-Chacoff, Luis] Univ Austral Chile, Inst Ciencias Marinas &amp; Limnol, Valdivia, Chile</t>
  </si>
  <si>
    <t>Universidad Austral de Chile; Universidad Austral de Chile; Universidad Austral de Chile; Universidad Austral de Chile; Universidad Austral de Chile; Universidad San Sebastian; Universidad Austral de Chile</t>
  </si>
  <si>
    <t>Saravia, J; Vargas-Chacoff, L (corresponding author), Univ Austral Chile, Inst Ciencias Marinas &amp; Limnol, Valdivia, Chile.</t>
  </si>
  <si>
    <t>maria.saravia@alumnos.uach.cl; luis.vargas@uach.cl</t>
  </si>
  <si>
    <t>Saravia, Julia/JKI-0931-2023</t>
  </si>
  <si>
    <t>Vargas-Chacoff, Luis/0000-0002-0497-2582; Nualart Carrasco, Daniela Paz/0000-0001-5087-7626; Saravia, Julia/0000-0002-8411-6718; Pontigo, Juan Pablo/0000-0003-0084-0862</t>
  </si>
  <si>
    <t>Fondap-Ideal [15150003]; ANID [Folio 21,170,636]; Instituto Antartico Chileno (INACH) [DG_13-20]; Antartico Chileno (INACH); Vicerrectoria de Investigacion (VIDCA); Universidad Austral de Chile; Programa de Doctorado en Ciencias de la Acuicultura</t>
  </si>
  <si>
    <t>Fondap-Ideal; ANID; Instituto Antartico Chileno (INACH); Antartico Chileno (INACH); Vicerrectoria de Investigacion (VIDCA); Universidad Austral de Chile; Programa de Doctorado en Ciencias de la Acuicultura</t>
  </si>
  <si>
    <t>The authors acknowledge Vicerrectoria de Investigacion (VIDCA), Universidad Austral de Chile and Programa de Doctorado en Ciencias de la Acuicultura (both entities belonging to Universidad Austral de Chile) for their support. The authors also want to thank the anonymous reviewers, J Wilhelm and L Verde Arregoitia for their comments that helped greatly to improve this manuscript. This study was funded by Fondap-Ideal Grant No. 15150003. Julia Saravia is funded by Agencia Nacional de Investigacion y Desarrollo (CONICyT now ANID, Folio 21,170,636) and by Instituto Antartico Chileno (INACH) grant number DG_13-20. The authors also wish to acknowledge Instituto Antartico Chileno (INACH) for its support in Antarctica. Graphical Abstract Illustrated by @darwid_illustration</t>
  </si>
  <si>
    <t>ACADEMIC PRESS LTD- ELSEVIER SCIENCE LTD</t>
  </si>
  <si>
    <t>24-28 OVAL RD, LONDON NW1 7DX, ENGLAND</t>
  </si>
  <si>
    <t>1050-4648</t>
  </si>
  <si>
    <t>1095-9947</t>
  </si>
  <si>
    <t>FISH SHELLFISH IMMUN</t>
  </si>
  <si>
    <t>Fish Shellfish Immunol.</t>
  </si>
  <si>
    <t>10.1016/j.fsi.2022.09.025</t>
  </si>
  <si>
    <t>Fisheries; Immunology; Marine &amp; Freshwater Biology; Veterinary Sciences</t>
  </si>
  <si>
    <t>5J3CN</t>
  </si>
  <si>
    <t>WOS:000868921800003</t>
  </si>
  <si>
    <t>Dopchiz, LP; Ansaldo, M</t>
  </si>
  <si>
    <t>Patricia Dopchiz, Laura; Ansaldo, Martin</t>
  </si>
  <si>
    <t>Determination of stomatic density, index, and area as exposition biomarkers of pollution in Deschampsia antarctica Desv. (Poaceae)</t>
  </si>
  <si>
    <t>ECOTOXICOLOGY</t>
  </si>
  <si>
    <t>Deschampsia antarctica; Stomata; Biomarker's pollution; Antarctica</t>
  </si>
  <si>
    <t>KING-GEORGE-ISLAND; E. DESV.; MORPHOLOGICAL PLASTICITY; CHLOROPHYLL FLUORESCENCE; COLOBANTHUS-QUITENSIS; ENVIRONMENTAL-FACTORS; VASCULAR PLANTS; PHOTOSYNTHESIS; GROWTH; GRASS</t>
  </si>
  <si>
    <t>Until not so long ago, Antarctica was considered to be a polar region practically pristine. The Antarctic Peninsula has the highest concentration of scientific stations from different countries. Anthropogenic activity has caused alterations in the Antarctic ecosystems directly affecting terrestrial vegetation. This fact requires the finding of biomarkers in native plants to estimate the effects of human impact. Deschampsia antarctica Desv. (Poaceae) is the unique native grass described so far for Antarctica and was used for multiple investigations. In this study, plants were collected on Carlini scientific station, 25 de Mayo (King George) Island, Potter Peninsula, South Shetland Islands. Thus, the main objective planned consists of the evaluation of leaf stomata-related parameters as pollution biomarkers. The results of the stomatic index (SI), density (SD), and area (SA) were shown at sites with different levels of human impact (close and far away from the scientific station). It was found that the correlation between SD and SI, on the adaxial side of the leaves, resulted in a good biomarker for estimating the degree of anthropogenic impact in each studied area.</t>
  </si>
  <si>
    <t>[Patricia Dopchiz, Laura; Ansaldo, Martin] Inst Antartico Argentino, Lab Ecofisiol &amp; Ecotoxicol, 25 Mayo 1143,B1650HML, Buenos Aires, DF, Argentina</t>
  </si>
  <si>
    <t>Instituto Antartico Argentino</t>
  </si>
  <si>
    <t>Dopchiz, LP (corresponding author), Inst Antartico Argentino, Lab Ecofisiol &amp; Ecotoxicol, 25 Mayo 1143,B1650HML, Buenos Aires, DF, Argentina.</t>
  </si>
  <si>
    <t>lapadop@gmail.com</t>
  </si>
  <si>
    <t>PICTA (DNA-IAA) project [0091]</t>
  </si>
  <si>
    <t>PICTA (DNA-IAA) project</t>
  </si>
  <si>
    <t>This work was funded by the PICTA 0091 (DNA-IAA) project.</t>
  </si>
  <si>
    <t>0963-9292</t>
  </si>
  <si>
    <t>1573-3017</t>
  </si>
  <si>
    <t>Ecotoxicology</t>
  </si>
  <si>
    <t>10.1007/s10646-022-02589-5</t>
  </si>
  <si>
    <t>Ecology; Environmental Sciences; Toxicology</t>
  </si>
  <si>
    <t>Environmental Sciences &amp; Ecology; Toxicology</t>
  </si>
  <si>
    <t>5B5RD</t>
  </si>
  <si>
    <t>WOS:000857800000001</t>
  </si>
  <si>
    <t>Salazar, OR; Arun, PN; Cui, G; Bay, LK; Van Oppen, MJH; Webster, NS; Aranda, M</t>
  </si>
  <si>
    <t>Salazar, Octavio R.; Arun, Prasanna N.; Cui, Guoxin; Bay, Line K.; Van Oppen, Madeleine J. H.; Webster, Nicole S.; Aranda, Manuel</t>
  </si>
  <si>
    <t>The coral Acropora loripes genome reveals an alternative pathway for cysteine biosynthesis in animals</t>
  </si>
  <si>
    <t>SCIENCE ADVANCES</t>
  </si>
  <si>
    <t>CYSTATHIONINE BETA-SYNTHASE; PHOSPHO-L-SERINE; MYCOBACTERIUM-TUBERCULOSIS; SCHIZOSACCHAROMYCES-POMBE; CAENORHABDITIS-ELEGANS; HYDROGEN-SULFIDE; GENE ONTOLOGY; CBS DOMAINS; SEQUENCE; ANNOTATION</t>
  </si>
  <si>
    <t>The metabolic capabilities of animals have been derived from well-studied model organisms and are generally considered to be well understood. In animals, cysteine is an important amino acid thought to be exclusively synthesized through the transsulfuration pathway. Corals of the genus Acropora have lost cystathionine.-synthase, a key enzyme of the transsulfuration pathway, and it was proposed that Acropora relies on the symbiosis with dinoflagellates of the family Symbiodiniaceae for the acquisition of cysteine. Here, we identify the existence of an alternative pathway for cysteine biosynthesis in animals through the analysis of the genome of the coral Acropora loripes. We demonstrate that these coral proteins are functional and synthesize cysteine in vivo, exhibiting previously unrecognized metabolic capabilities of animals. This pathway is also present in most animals but absent in mammals, arthropods, and nematodes, precisely the groups where most of the animal model organisms belong to, highlighting the risks of generalizing findings from model organisms.</t>
  </si>
  <si>
    <t>[Salazar, Octavio R.; Arun, Prasanna N.; Cui, Guoxin; Aranda, Manuel] King Abdullah Univ Sci &amp; Technol KAUST, Biol &amp; Environm Sci &amp; Engn Div, Marine Sci Program, Thuwal 239556900, Saudi Arabia; [Salazar, Octavio R.; Arun, Prasanna N.; Cui, Guoxin; Aranda, Manuel] King Abdullah Univ Sci &amp; Technol, Red Sea Res Ctr, Thuwal, Saudi Arabia; [Bay, Line K.; Van Oppen, Madeleine J. H.; Webster, Nicole S.] Australian Inst Marine Sci, Townsville, Qld, Australia; [Bay, Line K.] James Cook Univ, Div Res &amp; Innovat, AIMS JCU, Townsville, Qld, Australia; [Van Oppen, Madeleine J. H.] Univ Melbourne, Sch BioSci, Parkville, Vic 3010, Australia; [Webster, Nicole S.] Univ Queensland, Australian Ctr Ecogen, St Lucia, Qld, Australia; [Webster, Nicole S.] Australian Antarctic Div, Dept Agr Water &amp; Environm, Kingston, Tas, Australia</t>
  </si>
  <si>
    <t>King Abdullah University of Science &amp; Technology; King Abdullah University of Science &amp; Technology; Australian Institute of Marine Science; James Cook University; University of Melbourne; University of Queensland; Australian Antarctic Division</t>
  </si>
  <si>
    <t>Salazar, OR; Aranda, M (corresponding author), King Abdullah Univ Sci &amp; Technol KAUST, Biol &amp; Environm Sci &amp; Engn Div, Marine Sci Program, Thuwal 239556900, Saudi Arabia.;Salazar, OR; Aranda, M (corresponding author), King Abdullah Univ Sci &amp; Technol, Red Sea Res Ctr, Thuwal, Saudi Arabia.</t>
  </si>
  <si>
    <t>octavio.salazarmoya@kaust.edu.sa; manuel.aranda@kaust.edu.sa</t>
  </si>
  <si>
    <t>Bay, Line K/D-4037-2009; Aranda Lastra, Manuel/D-9530-2011; van Oppen, Madeleine JH/C-3261-2008; Webster, Nicole/G-4980-2011</t>
  </si>
  <si>
    <t>Aranda Lastra, Manuel/0000-0001-6673-016X; Webster, Nicole/0000-0002-4753-5278; Cui, Guoxin/0000-0003-4951-1883; van Oppen, Madeleine/0000-0003-4607-0744; Bay, Line/0000-0002-9760-2977; Salazar, Octavio/0000-0001-6340-6524</t>
  </si>
  <si>
    <t>AIMS; Australian Research Council [FL180100036]; KAUST; KAUST Office of Sponsored Research (OSR) [OSR-2018CPF-3627-3]</t>
  </si>
  <si>
    <t>AIMS; Australian Research Council(Australian Research Council); KAUST(King Abdullah University of Science &amp; Technology); KAUST Office of Sponsored Research (OSR)</t>
  </si>
  <si>
    <t>This work was supported by the AIMS appropriation funding for the Evolution21 project, Australian Research Council Laureate Fellowship FL180100036, KAUST baseline funds, and KAUST Office of Sponsored Research (OSR) award no. OSR-2018CPF-3627-3.</t>
  </si>
  <si>
    <t>2375-2548</t>
  </si>
  <si>
    <t>SCI ADV</t>
  </si>
  <si>
    <t>Sci. Adv.</t>
  </si>
  <si>
    <t>SEP 23</t>
  </si>
  <si>
    <t>eabq0304</t>
  </si>
  <si>
    <t>10.1126/sciadv.abq0304</t>
  </si>
  <si>
    <t>6H2ZX</t>
  </si>
  <si>
    <t>WOS:000885315600017</t>
  </si>
  <si>
    <t>Gil, A; Mishev, A; Poluianov, S; Usoskin, I</t>
  </si>
  <si>
    <t>Gil, Agnieszka; Mishev, Alexander; Poluianov, Stepan; Usoskin, Ilya</t>
  </si>
  <si>
    <t>Diurnal anisotropy of polar neutron monitors: Dome C looks poleward</t>
  </si>
  <si>
    <t>ADVANCES IN SPACE RESEARCH</t>
  </si>
  <si>
    <t>Galactic cosmic ray; Diurnal variability of GCR; Neutron monitor</t>
  </si>
  <si>
    <t>COSMIC-RAYS; MODULATION; TRANSMISSIVITY; INTENSITY</t>
  </si>
  <si>
    <t>Galactic cosmic rays (GCR) exhibit a small local anisotropy observed as diurnal variability of ground-based neutron monitor (NM) count rates. Since the asymptotic directions of various NMs are different, their ability to observe the GCR diurnal variation also varies. Here we show that the Dome C (DOMC) NM is hardly sensitive to the diurnal variation, with its amplitude being 0.03%, in contrast to other polar NMs whose sensitivity to the diurnal variability ranges from 0.16 to 0.4%. We argue that this is related to the fact that DOMC NM has a narrow asymptotic-direction cone looking nearly to the South pole (geographic latitude above 75 degrees). This makes the DOMC NM a unique detector being the only existing NM accepting cosmic-ray particles originating from the off-equatorial region. This is important for detailed studies of cosmic-ray transport in the vicinity of Earth, specifically for anisotropic solar energetic particle events.(c) 2021 COSPAR. Published by Elsevier B.V. All rights reserved.</t>
  </si>
  <si>
    <t>[Gil, Agnieszka] Siedlce Univ, Inst Math, Konarskiego 2, PL-08110 Siedlce, Poland; [Mishev, Alexander; Poluianov, Stepan; Usoskin, Ilya] Univ Oulu, Space Phys &amp; Astron Res Unit &amp; Sodankyl Geophys Ob, FI-90014 Oulu, Finland</t>
  </si>
  <si>
    <t>University of Oulu</t>
  </si>
  <si>
    <t>Gil, A (corresponding author), Siedlce Univ, Inst Math, Konarskiego 2, PL-08110 Siedlce, Poland.</t>
  </si>
  <si>
    <t>gila@uph.edu.pl</t>
  </si>
  <si>
    <t>Usoskin, Ilya G./E-5089-2014</t>
  </si>
  <si>
    <t>NMDB database,; French Polar Institute IPEV; Finnish Antarctic Research Program (FINNARP); Academy of Finland; [LTCPAA PNRA 2015/AC3]; [BSRN PNRA OSS-06]; [330064 QUASARE]; [321882]</t>
  </si>
  <si>
    <t>NMDB database,; French Polar Institute IPEV; Finnish Antarctic Research Program (FINNARP); Academy of Finland(Research Council of Finland); ; ; ;</t>
  </si>
  <si>
    <t>Acknowledgments A.G. acknowledges R. Modzelewska for constructive discussion. We are grateful to the PIs of Dome C, Oulu, Thule, South Pole, Apatity, and Tere Adelie neutron mon-itors. The NM count rates were obtained from: cosmicrays. oulu.fi (Dome C and Oulu NMs) and NMDB database, www.nmdb.eu (Thule, South Pole, Apatity, and Tere Ade-lie) . We are grateful to the personnel of Concordia station hosting the DOMC/DOMB instrumentation. Operation of DOMC/DOMB NMs is possible thanks to the hospitality of the Italian polar program PNRA (via the LTCPAA PNRA 2015/AC3 and the BSRN PNRA OSS-06 projects) and the French Polar Institute IPEV, and logistical support by the Finnish Antarctic Research Program (FINNARP) . This work was supported by the Academy of Finland (Pro-jects Nos. 330064 QUASARE and 321882 ESPERA) .</t>
  </si>
  <si>
    <t>0273-1177</t>
  </si>
  <si>
    <t>1879-1948</t>
  </si>
  <si>
    <t>ADV SPACE RES</t>
  </si>
  <si>
    <t>Adv. Space Res.</t>
  </si>
  <si>
    <t>10.1016/j.asr.2021.12.010</t>
  </si>
  <si>
    <t>Engineering, Aerospace; Astronomy &amp; Astrophysics; Geosciences, Multidisciplinary; Meteorology &amp; Atmospheric Sciences</t>
  </si>
  <si>
    <t>Engineering; Astronomy &amp; Astrophysics; Geology; Meteorology &amp; Atmospheric Sciences</t>
  </si>
  <si>
    <t>5W4OQ</t>
  </si>
  <si>
    <t>WOS:000877895800006</t>
  </si>
  <si>
    <t>Camacho, A; Rochera, C; Picazo, A</t>
  </si>
  <si>
    <t>Camacho, Antonio; Rochera, Carlos; Picazo, Antonio</t>
  </si>
  <si>
    <t>Effect of experimentally increased nutrient availability on the structure, metabolic activities, and potential microbial functions of a maritime Antarctic microbial mat</t>
  </si>
  <si>
    <t>FRONTIERS IN MICROBIOLOGY</t>
  </si>
  <si>
    <t>microbial mats; Antarctica; inorganic nutrients (N and P); community structural and functional effects; metabarcoding and functional prediction</t>
  </si>
  <si>
    <t>BYERS PENINSULA; LIVINGSTON ISLAND; NITRATE UPTAKE; CYANOBACTERIA; DIVERSITY; NITROGEN; OSCILLATORIALES; STOICHIOMETRY; ECOSYSTEMS; PHOSPHORUS</t>
  </si>
  <si>
    <t>The role of competitive interactions based on resource utilisation was explored in a phototrophic microbial mat from Byers Peninsula (Maritime Antarctica). Shotgun metagenomic profiling of the mat showed a taxonomic and functionally diverse microbial community. The heterotrophic bacterial community was dominated by Proteobacteria, where genera typically found in polar habitats, such as Janthinobacterium, Pseudomonas, and Polaromonas, were highly prevalent. Cyanobacteria played the main role as primary producers, accompanied by diatoms and chlorophytes. To test the potential effects of the inorganic nutrient (N and P) availability on this community, a fully factorial nitrate and phosphorus addition experiment was conducted in situ. The mat exhibited a functional and structural response to the nutrient amendments. Compared to the undisturbed mat, phosphorus fertilisation favoured the growth of (non-heterocystous) cyanobacteria relative to that of diatoms, as indicated by changes in the carotenoid pigment biomarkers. Although no mat accretion was visible, fertilisation improved the phototrophic activity, and, mainly, when P was amended, the production of exopolymeric substances was favoured, whereas further changes in the vertical distribution of primary production activity were observed as well. Illumina amplicon sequencing of the 16S rRNA gene also demonstrated changes in the relative abundance of heterotrophic prokaryotes, which were detectable from the phylum to the genus level and mainly related to the amendment of nitrogen. Predictions made on the functional skills of these shifted prokaryotic communities indicated changes in abundance selecting taxa with a metabolic adaptation to the new nutrient scenarios. They mainly consisted of the enhancement of ecological strategies and metabolic regulatory mechanisms related to the uptake and metabolising of either nitrogen or phosphorus, regulated by its availability whether in a balanced way or not. This study is a pioneer in demonstrating how shifts in the regional dynamic of nutrients might alter the metabolic equilibrium of these initially considered homeostatic benthic communities. They can be accordingly considered as taxonomically diverse microbiomes with a functional repertoire still inclined to respond to the biogeochemical alteration of nutrient cycles, although occurring in a cold extreme environment where biological activity is partially restricted by environmental harshness.</t>
  </si>
  <si>
    <t>[Camacho, Antonio; Rochera, Carlos; Picazo, Antonio] Univ Valencia, Cavanilles Inst Biodivers &amp; Evolutionary Biol, Valencia, Spain</t>
  </si>
  <si>
    <t>University of Valencia</t>
  </si>
  <si>
    <t>Camacho, A (corresponding author), Univ Valencia, Cavanilles Inst Biodivers &amp; Evolutionary Biol, Valencia, Spain.</t>
  </si>
  <si>
    <t>antonio.camacho@uv.es</t>
  </si>
  <si>
    <t>Camacho, Antonio/I-3417-2015</t>
  </si>
  <si>
    <t>Spanish Ministry of Education and Science with European FEDER funds; [CGL2005-06549-C02-02/ANT]</t>
  </si>
  <si>
    <t>Spanish Ministry of Education and Science with European FEDER funds(German Research Foundation (DFG));</t>
  </si>
  <si>
    <t>This study was supported by grant CGL2005-06549-C02-02/ANT to AC, funded by the Spanish Ministry of Education and Science with European FEDER funds.</t>
  </si>
  <si>
    <t>1664-302X</t>
  </si>
  <si>
    <t>FRONT MICROBIOL</t>
  </si>
  <si>
    <t>Front. Microbiol.</t>
  </si>
  <si>
    <t>10.3389/fmicb.2022.900158</t>
  </si>
  <si>
    <t>5Q7HL</t>
  </si>
  <si>
    <t>WOS:000873997700001</t>
  </si>
  <si>
    <t>Bernard, KS; Steinke, KB; Fontana, JM</t>
  </si>
  <si>
    <t>Bernard, Kim S.; Steinke, Kirsten B.; Fontana, Julia M.</t>
  </si>
  <si>
    <t>Winter condition, physiology, and growth potential of juvenile Antarctic krill</t>
  </si>
  <si>
    <t>Antarctic krill; Euphausia superba; winter; energy budget; physiology; condition; growth potential</t>
  </si>
  <si>
    <t>EUPHAUSIA-SUPERBA; LARVAL KRILL; AUSTRAL FALL; ELEMENTAL COMPOSITION; CONTINENTAL-SHELF; MARGUERITE BAY; ENERGY BUDGETS; LIFE-HISTORY; PACK ICE; ZOOPLANKTON</t>
  </si>
  <si>
    <t>In recent years, substantial efforts have been made to understand the implications of climate change on Antarctic krill, Euphausia superba, because of their pivotal role in the Southern Ocean food web and in biogeochemical cycling. Winter is one of the least studied seasons in Antarctica and we have limited understanding about the strategies Antarctic krill use to survive the winter. In particular, data on the winter physiology and condition of juvenile Antarctic krill are severely lacking. From May to September (the austral autumn-winter) of 2019, we maintained juvenile Antarctic krill in large (1,330 L) aquarium tanks at Palmer Station, Antarctica and, at monthly time intervals, measured their physiology and condition. Each tank served as a food environment scenario, representing possible food environments the krill may encounter during winter along the Western Antarctic Peninsula. We found that, unlike adults, juvenile krill maintain relatively high respiration rates through the winter and respond positively to increased food concentrations by increasing their ingestion rates. Unlike larval krill, juveniles use lipid stores accumulated during the summer and autumn to sustain themselves through periods of starvation in the winter. We used our empirically derived measurements of physiology and condition to estimate the energy budget and growth potential of juvenile krill during the winter. We found that, given their comparatively high respiration rates, small juvenile krill (20 mg dry weight) would need to encounter food at concentrations of similar to 0.15 mg C L-1 daily to avoid loss of body carbon. Without sufficient lipid reserves, this value increases to similar to 0.54 mg C L-1, daily. The health of juvenile krill in the wintertime is dependent on their ability to accumulate lipid stores in the summer and autumn and to find sufficient food during the winter. Changes in food availability to Antarctic krill throughout the year may become problematic to juvenile krill in the future. Understanding the variability in the winter energy budget of juvenile Antarctic krill will allow us to improve population models that make assumptions on seasonal growth patterns.</t>
  </si>
  <si>
    <t>[Bernard, Kim S.; Steinke, Kirsten B.] Oregon State Univ, Coll Earth Ocean Atmospher Sci, Corvallis, OR 97331 USA; [Fontana, Julia M.] Univ Delaware, Sch Marine Sci &amp; Policy, Lewes, DE USA</t>
  </si>
  <si>
    <t>Oregon State University; University of Delaware</t>
  </si>
  <si>
    <t>Bernard, KS (corresponding author), Oregon State Univ, Coll Earth Ocean Atmospher Sci, Corvallis, OR 97331 USA.</t>
  </si>
  <si>
    <t>United States National Science Foundation (NSF) Office for Polar Programs (OPP) as an Early Career Award; [1753101]</t>
  </si>
  <si>
    <t>United States National Science Foundation (NSF) Office for Polar Programs (OPP) as an Early Career Award(National Science Foundation (NSF));</t>
  </si>
  <si>
    <t>Funding Funding for this study was provided by the United States National Science Foundation (NSF) Office for Polar Programs (OPP) as an Early Career Award. Grant number 1753101.</t>
  </si>
  <si>
    <t>10.3389/fmars.2022.990853</t>
  </si>
  <si>
    <t>5L2VV</t>
  </si>
  <si>
    <t>WOS:000870274000001</t>
  </si>
  <si>
    <t>Denton, GH; Toucanne, S; Putnam, AE; Barrell, DJA; Russell, JL</t>
  </si>
  <si>
    <t>Denton, George H.; Toucanne, Samuel; Putnam, Aaron E.; Barrell, David J. A.; Russell, Joellen L.</t>
  </si>
  <si>
    <t>Heinrich summers</t>
  </si>
  <si>
    <t>Climate dynamics; Glacial; Glaciation; Seasonality; Heinrich stadials; Termination; Pleistocene; Paleoclimatology; Antarctica; Greenland; North Atlantic; North America; Western Europe; Cosmogenic isotopes; Geomorphology; Ice cores; Sedimentology-marine cores</t>
  </si>
  <si>
    <t>ABRUPT CLIMATE-CHANGE; HOLOCENE GLACIER FLUCTUATIONS; FENNOSCANDIAN ICE-SHEET; WESTERN NORTH-ATLANTIC; NEW-ZEALAND; YOUNGER DRYAS; SOUTHERN ALPS; LAST DEGLACIATION; SEASONAL TEMPERATURES; PHASE-RELATIONSHIPS</t>
  </si>
  <si>
    <t>Millennial-scale climate oscillations of the last ice age registered in Greenland and Antarctic ice cores did not always vary in unison. A striking example is that the strongest Antarctic warming episodes occurred during Heinrich episodes in the North Atlantic region. Although the bipolar seesaw affords a possible explanation for such anti-phasing, it does not account for the equally striking observation that climate varied in unison between the hemispheres about half the time. Such phasing differences suggest the need for an alternative hypothesis in which the polar regions at times responded in unison to common forcing, and at other times left the impression of a bipolar seesaw. We posit that this impression arose from the effect of warmer-than-usual summers on continental ice sheets adjacent to the North Atlantic Ocean during each Heinrich episode. The relatively warm Heinrich summers produced discharges of meltwater and icebergs of sufficient volume to stimulate very cold winter conditions from widespread sea ice on a freshened ocean surface. The intervals between Heinrich episodes featured relaxation of sea -ice-induced winter severity from reduced summertime influx of meltwater and icebergs, indicating relatively cooler summer conditions. It is postulated that the causative variations in freshwater fluxes were driven by a climate signal most evident in Antarctic ice cores but also recognized in other paleo-climate records in both polar hemispheres. We suggest that this widespread signal arose from changes in the latitude and strength of the austral westerlies and the resulting effect on the western Pacific tropical warm pool, a mechanism dubbed the Zealandia Switch.(c) 2022 Elsevier Ltd. All rights reserved.</t>
  </si>
  <si>
    <t>[Denton, George H.; Putnam, Aaron E.] Univ Maine, Sch Earth &amp; Climate Sci, Orono, ME 04469 USA; [Denton, George H.; Putnam, Aaron E.] Univ Maine, Climate Change Inst, Orono, ME 04469 USA; [Toucanne, Samuel] Univ Brest, CNRS, Ifremer, Geoocean, F-29280 Plouzane, France; [Barrell, David J. A.] GNS Sci, Dunedin, New Zealand; [Russell, Joellen L.] Univ Arizona, Dept Geosci, Tucson, AZ USA</t>
  </si>
  <si>
    <t>University of Maine System; University of Maine Orono; University of Maine System; University of Maine Orono; Ifremer; Centre National de la Recherche Scientifique (CNRS); Universite de Bretagne Occidentale; GNS Science - New Zealand; University of Arizona</t>
  </si>
  <si>
    <t>Putnam, AE (corresponding author), Univ Maine, Sch Earth &amp; Climate Sci, Orono, ME 04469 USA.;Putnam, AE (corresponding author), Univ Maine, Climate Change Inst, Orono, ME 04469 USA.</t>
  </si>
  <si>
    <t>aaron.putnam@maine.edu</t>
  </si>
  <si>
    <t>Putnam, Aaron/0000-0002-5358-1473; Toucanne, Samuel/0000-0002-4858-8953</t>
  </si>
  <si>
    <t>National Science Foundation; Comer Family Foundation; Quesada Family Foundation; IFREMER 'Marine Geosciences' funding; MAOREE project from the LEFE-IMAGO (CNRS-INSU) research program; National Science Foundation CAREER Award [1554990]; GNS Science 'Global Change through Time' research program, via the New Zealand Government's Strategic Science Investment Fund; Division Of Earth Sciences; Directorate For Geosciences [1554990] Funding Source: National Science Foundation</t>
  </si>
  <si>
    <t>National Science Foundation(National Science Foundation (NSF)); Comer Family Foundation; Quesada Family Foundation; IFREMER 'Marine Geosciences' funding; MAOREE project from the LEFE-IMAGO (CNRS-INSU) research program; National Science Foundation CAREER Award(National Science Foundation (NSF)); GNS Science 'Global Change through Time' research program, via the New Zealand Government's Strategic Science Investment Fund; Division Of Earth Sciences; Directorate For Geosciences(National Science Foundation (NSF)NSF - Directorate for Geosciences (GEO))</t>
  </si>
  <si>
    <t>Research in the Southern Alps of New Zealand was supported by the National Science Foundation, the Comer Family Foundation, and the Quesada Family Foundation. ST was supported by IFREMER ` Marine Geosciences' funding, and the MAOREE project from the LEFE-IMAGO (CNRS-INSU) research program. AEP was supported by a National Science Foundation CAREER Award (no. 1554990). DJAB was supported by the GNS Science `Global Change through Time' research program, via the New Zealand Government's Strategic Science Investment Fund. We thank the reviewers for their constructive comments, which improved the manuscript.</t>
  </si>
  <si>
    <t>10.1016/j.quascirev.2022.107750</t>
  </si>
  <si>
    <t>WOS:000866402400001</t>
  </si>
  <si>
    <t>Alfonsi, L; Bergeot, N; Cilliers, PJ; De Franceschi, G; Baddeley, L; Correia, E; Di Mauro, D; Enell, CF; Engebretson, M; Ghoddousi-Fard, R; Häggström, I; Ham, YB; Heygster, G; Jee, G; Kero, A; Kosch, M; Kwon, HJ; Lee, C; Lotz, S; Macotela, L; Marcucci, MF; Miloch, WJ; Morton, YJ; Naoi, T; Negusini, M; Partamies, N; Petkov, BH; Pottiaux, E; Prikryl, P; Shreedevi, PR; Slapak, R; Spogli, L; Stephenson, J; Triana-Gómez, AM; Troshichev, OA; Van Malderen, R; Weygand, JM; Zou, SS</t>
  </si>
  <si>
    <t>Alfonsi, Lucilla; Bergeot, Nicolas; Cilliers, Pierre J.; De Franceschi, Giorgiana; Baddeley, Lisa; Correia, Emilia; Di Mauro, Domenico; Enell, Carl-Fredrik; Engebretson, Mark; Ghoddousi-Fard, Reza; Haggstrom, Ingemar; Ham, Young-bae; Heygster, Georg; Jee, Geonhwa; Kero, Antti; Kosch, Michael; Kwon, Hyuck-Jin; Lee, Changsup; Lotz, Stefan; Macotela, Liliana; Marcucci, Maria Federica; Miloch, Wojciech J.; Morton, Y. Jade; Naoi, Takahiro; Negusini, Monia; Partamies, Noora; Petkov, Boyan H.; Pottiaux, Eric; Prikryl, Paul; Shreedevi, P. R.; Slapak, Rikard; Spogli, Luca; Stephenson, Judy; Triana-Gomez, Arantxa M.; Troshichev, Oleg A.; Van Malderen, Roeland; Weygand, James M.; Zou, Shasha</t>
  </si>
  <si>
    <t>Review of Environmental Monitoring by Means of Radio Waves in the Polar Regions: From Atmosphere to Geospace</t>
  </si>
  <si>
    <t>SURVEYS IN GEOPHYSICS</t>
  </si>
  <si>
    <t>Antarctica; Arctic; Ionosphere; Atmosphere; Multi-instrument monitoring; Radio-based monitoring</t>
  </si>
  <si>
    <t>HIGH-LATITUDE IONOSPHERE; JANG BOGO STATION; COSMIC NOISE ABSORPTION; INTEGRATED WATER-VAPOR; PATRICKS DAY STORM; GROUND-BASED OBSERVATIONS; RADAR NETWORK SUPERDARN; SPACE WEATHER EVENT; LONG-TERM TRENDS; GEOMAGNETIC STORM</t>
  </si>
  <si>
    <t>The Antarctic and Arctic regions are Earth's open windows to outer space. They provide unique opportunities for investigating the troposphere-thermosphere-ionosphere-plasmasphere system at high latitudes, which is not as well understood as the mid- and low-latitude regions mainly due to the paucity of experimental observations. In addition, different neutral and ionised atmospheric layers at high latitudes are much more variable compared to lower latitudes, and their variability is due to mechanisms not yet fully understood. Fortunately, in this new millennium the observing infrastructure in Antarctica and the Arctic has been growing, thus providing scientists with new opportunities to advance our knowledge on the polar atmosphere and geospace. This review shows that it is of paramount importance to perform integrated, multi-disciplinary research, making use of long-term multi-instrument observations combined with ad hoc measurement campaigns to improve our capability of investigating atmospheric dynamics in the polar regions from the troposphere up to the plasmasphere, as well as the coupling between atmospheric layers. Starting from the state of the art of understanding the polar atmosphere, our survey outlines the roadmap for enhancing scientific investigation of its physical mechanisms and dynamics through the full exploitation of the available infrastructures for radio-based environmental monitoring.</t>
  </si>
  <si>
    <t>[Alfonsi, Lucilla; De Franceschi, Giorgiana; Di Mauro, Domenico; Spogli, Luca] Ist Nazl Geofis &amp; Vulcanol, I-00143 Rome, Italy; [Bergeot, Nicolas; Pottiaux, Eric] Royal Observ Belgium, B-1180 Brussels, Belgium; [Cilliers, Pierre J.; Kosch, Michael; Lotz, Stefan] South African Natl Space Agcy, ZA-7200 Hermanus, South Africa; [Baddeley, Lisa; Partamies, Noora] Univ Ctr Svalbard, N-9170 Longyearbyen, Norway; [Correia, Emilia] Inst Nacl Pesquisas Espaciais, BR-12227010 Sao Paulo, Brazil; [Correia, Emilia] CRAAM Univ Presbiteriana Mackenzie, BR-01302907 Sao Paulo, Brazil; [Enell, Carl-Fredrik; Haggstrom, Ingemar; Slapak, Rikard] EISCAT Sci Assoc, S-98128 Kiruna, Sweden; [Engebretson, Mark] Augsburg Univ, Dept Phys, Minneapolis, MN 55454 USA; [Ghoddousi-Fard, Reza] Nat Resources Canada, Canadian Geodet Survey, Ottawa, ON K1A 0Y7, Canada; [Ham, Young-bae; Jee, Geonhwa; Kwon, Hyuck-Jin; Lee, Changsup] Korea Polar Res Inst, Incheon 21990, South Korea; [Heygster, Georg; Triana-Gomez, Arantxa M.] Univ Bremen, Inst Environm Phys, D-28334 Bremen, Germany; [Heygster, Georg] Geophys Remote Sensing Lab GEORG Lab, D-28209 Bremen, Germany; [Kero, Antti] Univ Oulu, Sodankyla Geophys Observ, Sodankyla 99600, Finland; [Kosch, Michael; Stephenson, Judy] Univ KwaZulu Natal, Sch Chem &amp; Phys, ZA-3209 Durban, South Africa; [Kosch, Michael] Univ Lancaster, Phys Dept, Lancaster LA1 4YB, England; [Macotela, Liliana] Univ Bath, Ctr Space Atmospher &amp; Ocean Sci, Bath BA2 7AY, Avon, England; [Macotela, Liliana] Univ Rostock, Leibniz Inst Atmospher Phys, D-18225 Kuhlungsborn, Germany; [Marcucci, Maria Federica] INAF Ist Astrofis &amp; Planetol Spaziali, I-00133 Rome, Italy; [Miloch, Wojciech J.] Univ Oslo, Dept Phys, N-0371 Oslo, Norway; [Morton, Y. Jade] Univ Colorado, Boulder, CO 80309 USA; [Naoi, Takahiro] Natl Inst Informat &amp; Commun Technol, Appl Electromagnet Res Inst, Space Environm Lab, Koganei, Tokyo 1848795, Japan; [Negusini, Monia] Ist Nazl Astrofis, Ist Radioastron, I-40129 Bologna, Italy; [Partamies, Noora] Univ Bergen, Birkeland Ctr Space Sci, N-5007 Bergen, Norway; [Petkov, Boyan H.] Univ G DAnnunzio, Dipartimento Tecnol Innovat Med &amp; Odontoiatria, I-66100 Chieti Pescara, Italy; [Petkov, Boyan H.] CNR, Ist Sci Polari, I-40129 Bologna, Italy; [Prikryl, Paul] Univ New Brunswick, Fredericton, NB E3B 5A3, Canada; [Shreedevi, P. R.] Nagoya Univ, Inst Space Earth Environm Res ISEE, Nagoya, Aichi 4648601, Japan; [Spogli, Luca] SpacEarth Technol, I-00143 Rome, Italy; [Troshichev, Oleg A.] Arctic &amp; Antarctic Res Inst, St Petersburg 199397, Russia; [Van Malderen, Roeland] Royal Meteorol Inst Belgium, B-1180 Brussels, Belgium; [Weygand, James M.] Univ Calif Los Angeles, Dept Earth Planetary &amp; Space Sci, Los Angeles, CA 90095 USA; [Zou, Shasha] Univ Michigan, Dept Climate &amp; Space Sci &amp; Engn, Ann Arbor, MI 48109 USA</t>
  </si>
  <si>
    <t>Istituto Nazionale Geofisica e Vulcanologia (INGV); University Centre Svalbard (UNIS); Instituto Nacional de Pesquisas Espaciais (INPE); Augsburg University; Natural Resources Canada; Lands &amp; Minerals Sector - Natural Resources Canada; Surveyor General Branch - Geomatics Canada; Korea Polar Research Institute (KOPRI); University of Bremen; University of Oulu; University of Kwazulu Natal; Lancaster University; University of Bath; University of Rostock; Leibniz Institut fur Atmospharenphysik e.V. an der Universitat Rostock (IAP); Istituto Nazionale Astrofisica (INAF); University of Oslo; University of Colorado System; University of Colorado Boulder; National Institute of Information &amp; Communications Technology (NICT) - Japan; Istituto Nazionale Astrofisica (INAF); University of Bergen; G d'Annunzio University of Chieti-Pescara; Consiglio Nazionale delle Ricerche (CNR); Istituto di Scienze Polari (ISP-CNR); University of New Brunswick; Nagoya University; Arctic &amp; Antarctic Research Institute; Royal Meteorological Institute of Belgium; University of California System; University of California Los Angeles; University of Michigan System; University of Michigan</t>
  </si>
  <si>
    <t>Alfonsi, L (corresponding author), Ist Nazl Geofis &amp; Vulcanol, I-00143 Rome, Italy.</t>
  </si>
  <si>
    <t>Marcucci, Maria federica/HNJ-5276-2023; Di Mauro, Domenico/ABD-6663-2021; Morton, Y/JOZ-7718-2023; Baddeley, Lisa/ABD-4414-2020; Alfonsi, Lucilla/V-2969-2018; Correia, Emilia/F-6802-2012; Miloch, Wojciech/D-4880-2014; Zou, Shasha/G-2205-2011; Partamies, Noora/G-3408-2014; Negusini, Monia/N-6493-2015</t>
  </si>
  <si>
    <t>Di Mauro, Domenico/0000-0003-1757-9816; Baddeley, Lisa/0000-0003-1246-0488; Correia, Emilia/0000-0003-4778-3834; Miloch, Wojciech/0000-0002-5202-750X; Negusini, Monia/0000-0002-0064-5533; Petkov, Boyan/0000-0002-8328-340X; Alfonsi, Lucilla/0000-0002-1806-9327; Macotela, Liliana/0000-0003-3076-1946; Cilliers, Pierre/0000-0003-3175-5134; De Franceschi, Giorgiana/0000-0002-3943-6798</t>
  </si>
  <si>
    <t>Istituto Nazionale di Geofisica e Vulcanologia within the CRUICARE Agreement</t>
  </si>
  <si>
    <t>Open access funding provided by Istituto Nazionale di Geofisica e Vulcanologia within the CRUICARE Agreement. The authors have declared their financial support in the acknowledgments section of the paper. The authors have no any other relevant financial or non-financial interests to disclose.</t>
  </si>
  <si>
    <t>0169-3298</t>
  </si>
  <si>
    <t>1573-0956</t>
  </si>
  <si>
    <t>SURV GEOPHYS</t>
  </si>
  <si>
    <t>Surv. Geophys.</t>
  </si>
  <si>
    <t>10.1007/s10712-022-09734-z</t>
  </si>
  <si>
    <t>5M4RP</t>
  </si>
  <si>
    <t>WOS:000857278500001</t>
  </si>
  <si>
    <t>Tridon, F; Silber, I; Battaglia, A; Kneifel, S; Fridlind, A; Kalogeras, P; Dhillon, R</t>
  </si>
  <si>
    <t>Tridon, Frederic; Silber, Israel; Battaglia, Alessandro; Kneifel, Stefan; Fridlind, Ann; Kalogeras, Petros; Dhillon, Ranvir</t>
  </si>
  <si>
    <t>Highly supercooled riming and unusual triple-frequency radar signatures over McMurdo Station, Antarctica</t>
  </si>
  <si>
    <t>ATMOSPHERIC CHEMISTRY AND PHYSICS</t>
  </si>
  <si>
    <t>MIXED-PHASE CLOUDS; GENERAL HYDRODYNAMIC THEORY; ICE WATER-CONTENT; MICROPHYSICAL PROPERTIES; IN-SITU; ROSS ISLAND; SNOWFALL MICROPHYSICS; DOPPLER SPECTRA; RETRIEVAL; REGION</t>
  </si>
  <si>
    <t>Riming of ice crystals by supercooled water droplets is an efficient ice growth process, but its basic properties are still poorly known. While it has been shown to contribute significantly to surface precipitation at mid-latitudes, little is known about its occurrence at high latitudes. In Antarctica, two competing effects can influence the occurrence of riming: (i) the scarcity of supercooled liquid water clouds due to the extremely low tropospheric temperatures and (ii) the low aerosol concentration, which may lead to the formation of fewer and larger supercooled drops potentially resulting in an enhanced riming efficiency. In this work, by exploiting the deployment of an unprecedented number of multiwavelength remote sensing systems (including triple-frequency radar measurements) in West Antarctica, during the Atmospheric Radiation Measurements West Antarctic Radiation Experiment (AWARE) field campaign, we evaluate the riming incidence at McMurdo Station and find that riming occurs at much lower temperatures when compared to previous results in the mid-latitudes. This suggests the possible occurrence of a common atmospheric state over Antarctica that includes a rather stable atmosphere inhibiting turbulent mixing, and a high riming efficiency driven by large cloud droplets. We then focus on a peculiar case study featuring a persistent layer with a particularly pronounced riming signature in triple-frequency radar data but only a relatively modest amount of supercooled liquid water. In-depth analysis of the radar observations suggests that such signatures can only be explained by the combined effects of moderately rimed aggregates or similarly shaped florid polycrystals and a narrow particle size distribution (PSD). Simulations of this case study performed with a one-dimensional bin model indicate that similar triple-frequency radar observations can be reproduced when narrow PSDs are simulated. Such narrow PSDs can in turn be explained by two key factors: (i) the presence of a shallow homogeneous droplet or humidified aerosol freezing layer aloft seeding an underlying supercooled liquid layer, and (ii) the absence of turbulent mixing throughout a stable polar atmosphere that sustains narrow PSDs, as hydrometeors grow from the nucleation region aloft to ice particles of several millimeters in size, by vapor deposition and then riming.</t>
  </si>
  <si>
    <t>[Tridon, Frederic; Kneifel, Stefan] Univ Cologne, Inst Geophys &amp; Meteorol, Cologne, Germany; [Silber, Israel] Penn State Univ, Dept Meteorol &amp; Atmospher Sci, University Pk, PA 16802 USA; [Tridon, Frederic; Battaglia, Alessandro] Politecn Torino, DIATI, Turin, Italy; [Battaglia, Alessandro; Kalogeras, Petros; Dhillon, Ranvir] Univ Leicester, Dept Phys &amp; Astron, Leicester, Leics, England; [Battaglia, Alessandro; Kalogeras, Petros] Natl Ctr Earth Observat, Leicester, Leics, England; [Kneifel, Stefan] Ludwig Maximilian Univ Munich, Meteorol Inst, Munich, Germany; [Fridlind, Ann] NASA, Goddard Inst Space Studies, New York, NY 10025 USA</t>
  </si>
  <si>
    <t>University of Cologne; Pennsylvania Commonwealth System of Higher Education (PCSHE); Pennsylvania State University; Pennsylvania State University - University Park; Polytechnic University of Turin; University of Leicester; University of Munich; National Aeronautics &amp; Space Administration (NASA); NASA Goddard Space Flight Center; Goddard Institute for Space Studies</t>
  </si>
  <si>
    <t>Tridon, F (corresponding author), Univ Cologne, Inst Geophys &amp; Meteorol, Cologne, Germany.;Tridon, F (corresponding author), Politecn Torino, DIATI, Turin, Italy.</t>
  </si>
  <si>
    <t>frederic.tridon@polito.it</t>
  </si>
  <si>
    <t>UzK, IGMK/HGU-4003-2022; Fridlind, Ann/E-1495-2012; Tridon, Frederic/M-4127-2013; Kneifel, Stefan/A-2044-2015</t>
  </si>
  <si>
    <t>Fridlind, Ann/0000-0002-9020-0852; Silber, Israel/0000-0001-6588-2145; Battaglia, Alessandro/0000-0001-9243-3484; Tridon, Frederic/0000-0002-0436-283X; Kneifel, Stefan/0000-0003-2220-2968</t>
  </si>
  <si>
    <t>US Atmospheric System Research [DESC0017967]; German Research Foundation (DFG) as part of the Emmy-Noether Group Optimal combination of Polarimetric and Triple Frequency radar techniques for Improving Microphysical process understanding of cold clouds (OPTIMIce) [KN 1112/2-1]</t>
  </si>
  <si>
    <t>US Atmospheric System Research; German Research Foundation (DFG) as part of the Emmy-Noether Group Optimal combination of Polarimetric and Triple Frequency radar techniques for Improving Microphysical process understanding of cold clouds (OPTIMIce)(German Research Foundation (DFG))</t>
  </si>
  <si>
    <t>This work was funded by the US Atmospheric System Research (grant no. DESC0017967). Contributions by Stefan Kneifel were funded by the German Research Foundation (DFG) under grant KN 1112/2-1 as part of the Emmy-Noether Group Optimal combination of Polarimetric and Triple Frequency radar techniques for Improving Microphysical process understanding of cold clouds (OPTIMIce).</t>
  </si>
  <si>
    <t>1680-7316</t>
  </si>
  <si>
    <t>1680-7324</t>
  </si>
  <si>
    <t>ATMOS CHEM PHYS</t>
  </si>
  <si>
    <t>Atmos. Chem. Phys.</t>
  </si>
  <si>
    <t>10.5194/acp-22-12467-2022</t>
  </si>
  <si>
    <t>4S5XG</t>
  </si>
  <si>
    <t>gold, Green Submitted</t>
  </si>
  <si>
    <t>WOS:000857513100001</t>
  </si>
  <si>
    <t>Carter, J; Leeson, A; Orr, A; Kittel, C; van Wessem, JM</t>
  </si>
  <si>
    <t>Carter, Jeremy; Leeson, Amber; Orr, Andrew; Kittel, Christoph; van Wessem, Jan Melchior</t>
  </si>
  <si>
    <t>Variability in Antarctic surface climatology across regional climate models and reanalysis datasets</t>
  </si>
  <si>
    <t>SEA-LEVEL RISE; ICE-SHEET; MASS-BALANCE; IMPACT; SHELVES; JULES; MELT; CONFIGURATION; SIMULATION; ATMOSPHERE</t>
  </si>
  <si>
    <t>Regional climate models (RCMs) and reanalysis datasets provide valuable information for assessing the vulnerability of ice shelves to collapse over Antarctica, which is important for future global sea level rise estimates. Within this context, this paper examines variability in snowfall, near-surface air temperature and melt across products from the Met Office Unified Model (MetUM), Regional Atmospheric Climate Model (RACMO) and Modele Atmospherique Regional (MAR) RCMs, as well as the ERA-Interim and ERA5 reanalysis datasets. Seasonal and trend decomposition using LOESS (STL) is applied to split the monthly time series at each model grid cell into trend, seasonal and residual components. Significant systematic differences between outputs are shown for all variables in the mean and in the seasonal and residual standard deviations, occurring at both large and fine spatial scales across Antarctica. Results imply that differences in the atmospheric dynamics, parametrisation, tuning and surface schemes between models together contribute more significantly to large-scale variability than differences in the driving data, resolution, domain specification, ice sheet mask, digital elevation model and boundary conditions. Despite significant systematic differences, high temporal correlations are found for snowfall and near-surface air temperature across all products at fine spatial scales. For melt, only moderate correlation exists at fine spatial scales between different RCMs and low correlation between RCM and reanalysis outputs. Root mean square deviations (RMSDs) between all outputs in the monthly time series for each variable are shown to be significant at fine spatial scales relative to the magnitude of annual deviations. Correcting for systematic differences results in significant reductions in RMSDs, suggesting the importance of observations and further development of bias-correction techniques.</t>
  </si>
  <si>
    <t>[Carter, Jeremy] Univ Lancaster, Dept Math &amp; Stat, Lancaster, England; [Leeson, Amber] Univ Lancaster, Lancaster Environm Ctr, Lancaster, England; [Orr, Andrew] British Antarctic Survey, Madingley Rd, Cambridge, England; [Kittel, Christoph] Univ Liege, SPHERES, Dept Geog, Lab Climatol, Liege, Belgium; [van Wessem, Jan Melchior] Univ Utrecht, Inst Marine &amp; Atmospher Res Utrecht, Utrecht, Netherlands</t>
  </si>
  <si>
    <t>Lancaster University; Lancaster University; UK Research &amp; Innovation (UKRI); Natural Environment Research Council (NERC); NERC British Antarctic Survey; University of Liege; Utrecht University</t>
  </si>
  <si>
    <t>Carter, J (corresponding author), Univ Lancaster, Dept Math &amp; Stat, Lancaster, England.</t>
  </si>
  <si>
    <t>j.carter10@lancaster.ac.uk</t>
  </si>
  <si>
    <t>Leeson, Amber/JFA-1001-2023</t>
  </si>
  <si>
    <t>Leeson, Amber/0000-0001-8720-9808</t>
  </si>
  <si>
    <t>NWO (Dutch Research Council) VENI grant [VI.Veni.192.083]; Fonds de la Recherche Scientifique de Belgique (F.R.S.-FNRS) [2.5020.11]; Walloon Region [1117545]; Fonds de la Recherche Scientifique - FNRS [T.0002.16]; European Union's Horizon 2020 research and innovation framework programme [101003590]; H2020 CRiceS; EPSRC [EP/R01860X/1] Funding Source: UKRI</t>
  </si>
  <si>
    <t>NWO (Dutch Research Council) VENI grant; Fonds de la Recherche Scientifique de Belgique (F.R.S.-FNRS)(Fonds de la Recherche Scientifique - FNRS); Walloon Region; Fonds de la Recherche Scientifique - FNRS(Fonds de la Recherche Scientifique - FNRS); European Union's Horizon 2020 research and innovation framework programme; H2020 CRiceS; EPSRC(UK Research &amp; Innovation (UKRI)Engineering &amp; Physical Sciences Research Council (EPSRC))</t>
  </si>
  <si>
    <t>J. Melchior van Wessem was partly funded by the NWO (Dutch Research Council) VENI grant VI.Veni.192.083. Computational resources for MAR simulations have been provided by the Consortium des Equipements de Calcul Intensif (CECI), funded by the Fonds de la Recherche Scientifique de Belgique (F.R.S.-FNRS) under grant no. 2.5020.11 and the Tier-1 supercomputer (Zenobe) of the Federation Wallonie-Bruxelles infrastructure funded by the Walloon Region under grant agreement no. 1117545. Christoph Kittel was supported by the Fonds de la Recherche Scientifique -FNRS under grant no. T.0002.16 and by H2020 CRiceS. Andrew Orr was supported by the European Union's Horizon 2020 research and innovation framework programme under grant agreement no. 101003590 (PolarRES). The code for analysis is written in Python 3.8.12 and makes extensive use of the following libraries: Iris (Met Office, 2010), NumPy (Harris et al., 2020) and Matplotlib (Hunter, 2007).</t>
  </si>
  <si>
    <t>10.5194/tc-16-3815-2022</t>
  </si>
  <si>
    <t>4R9LW</t>
  </si>
  <si>
    <t>gold, Green Published, Green Submitted, Green Accepted</t>
  </si>
  <si>
    <t>WOS:000857077000001</t>
  </si>
  <si>
    <t>Shabangu, FW; Yemane, D; Best, G; Estabrook, BJ</t>
  </si>
  <si>
    <t>Shabangu, Fannie W.; Yemane, Dawit; Best, George; Estabrook, Bobbi J.</t>
  </si>
  <si>
    <t>Acoustic detectability of whales amidst underwater noise off the west coast of South Africa</t>
  </si>
  <si>
    <t>Underwater noise; Long-term trends; Oceanographic conditions; Vessel traffic; Ocean economy; Noise pollution</t>
  </si>
  <si>
    <t>ENVIRONMENTAL-CONDITIONS; FIN WHALES; AMBIENT; BEHAVIOR; OCEAN</t>
  </si>
  <si>
    <t>Anthropogenic underwater noise has been shown to negatively affect marine organisms globally; yet little to no noise research has been conducted in most African waters including South Africa's. This study aimed to quan-titatively describe sources of underwater noise and effects of underwater noise on the acoustic detectability of Antarctic blue, fin, minke, humpback, and sperm whales off South Africa's west coast. Noise from vessel traffic (&lt;35 km to the location of recorders) dominated the soundscape below 500 Hz while wind-generated noise increased with wind speed above 5 m s-1 and dominated the soundscape above 500 Hz. Acoustic detectability of humpback, minke and sperm whales decreased with increasing ambient noise levels whereas blue and fin whale acoustic detectability increased with the ambient noise levels. We provide baseline information on underwater noise sources and the effects of underwater noise on whale acoustic detectability off the west coast of South Africa.</t>
  </si>
  <si>
    <t>[Shabangu, Fannie W.; Yemane, Dawit] Foreshore, Dept Forestry Fisheries &amp; Environm, Fisheries Management Branch, Cape Town, South Africa; [Shabangu, Fannie W.] Univ Pretoria, Mammal Res Inst Whale Unit, Dept Zool &amp; Entomol, Private Bag X20, ZA-0028 Pretoria, South Africa; [Yemane, Dawit] Univ Cape Town, Marine Res Inst, Dept Biol Sci &amp; Marine Res Inst, Cape Town, South Africa; [Best, George] ORBCOMM, Apartado Correos 128 Port Pollensa, Balearics 07470, Spain; [Estabrook, Bobbi J.] Cornell Univ, K Lisa Yang Ctr Conservat Bioacoust, Cornell Lab Ornithol, Ithaca, NY 14850 USA</t>
  </si>
  <si>
    <t>University of Pretoria; University of Cape Town; Cornell University</t>
  </si>
  <si>
    <t>Shabangu, FW (corresponding author), Foreshore, Dept Forestry Fisheries &amp; Environm, Fisheries Management Branch, Cape Town, South Africa.;Shabangu, FW (corresponding author), Univ Pretoria, Mammal Res Inst Whale Unit, Dept Zool &amp; Entomol, Private Bag X20, ZA-0028 Pretoria, South Africa.</t>
  </si>
  <si>
    <t>fannie.shabangu@yahoo.com</t>
  </si>
  <si>
    <t>Shabangu, Fannie W./0000-0002-3668-3566; Estabrook, Bobbi/0000-0002-5639-899X</t>
  </si>
  <si>
    <t>South African National Antarctic Programme; [SNA 2011112500003]</t>
  </si>
  <si>
    <t>South African National Antarctic Programme;</t>
  </si>
  <si>
    <t>Funding This work was supported by the South African National Antarctic Programme [Grant/Award Number: SNA 2011112500003] .</t>
  </si>
  <si>
    <t>10.1016/j.marpolbul.2022.114122</t>
  </si>
  <si>
    <t>5U8TI</t>
  </si>
  <si>
    <t>WOS:000876813400005</t>
  </si>
  <si>
    <t>Delord, K; Cherel, Y; Roy, A; Bustamante, P; Swadling, KM; Weimerskirch, H; Bost, CA; Barbraud, C</t>
  </si>
  <si>
    <t>Delord, Karine; Cherel, Yves; Roy, Amedee; Bustamante, Paco; Swadling, Kerrie M.; Weimerskirch, Henri; Bost, Charles-Andre; Barbraud, Christophe</t>
  </si>
  <si>
    <t>At-sea behavioural ecology of the endangered MacGillivray's prion from Saint Paul Island: combining tracking and stable isotopes</t>
  </si>
  <si>
    <t>MARINE ECOLOGY PROGRESS SERIES</t>
  </si>
  <si>
    <t>Pachyptila macgillivrayi; At-sea distribution; Activity pattern; Southern Indian Ocean; Geolocation; GPS; Seabirds; Bill width; Trophic position</t>
  </si>
  <si>
    <t>FEEDING ECOLOGY; LUNAR CYCLE; VERTICAL MIGRATION; PACHYPTILA-VITTATA; DELTA-N-15 VALUES; ACTIVITY PATTERNS; SOUTHERN-OCEAN; BODY FEATHERS; SEABIRD; POPULATION</t>
  </si>
  <si>
    <t>Seabirds play important roles as marine ecosystem sentinels. Studying their at-sea ecology is essential for understanding how environmental variability affects their populations. However, the at-sea ecology of small-sized temperate seabirds remains poorly studied. We explored the at-sea ecology of the Critically Endangered MacGillivray's prion Pachyptila macgillivrayi breeding on the subtropical Saint Paul Island. Using global location sensor loggers and stable isotope analysis, we investigated movements, migratory strategies, at-sea activity and moulting period, and characterized the isotopic niche of tracked individuals. During incubation, MacGillivray's prions remained in temperate waters north of the Subtropical Front, possibly feeding on prey caught in cold eddies. During the inter-breeding period, individuals wintered almost equally to the north and south of the Subtropical Front in 2 distinct sectors (Tasman Sea and Southwest Indian Ridge). Daily activity varied seasonally, and individuals overwintering in the Tasman Sea spent more time flying at night when moonlight intensity was high. Moulting occurred after the breeding period and lasted longer compared to other prion species. Isotopic data suggest a higher dietary proportion of low trophic-level prey for MacGillivray's prions than for Antarctic and slender-billed prions, highlighting trophic segregation in relation to bill width. Our study provides new evidence to understand the suite of adaptations allowing the abundant prion species to coexist by feeding on prey of different sizes. Contrary to the majority of seabird species, MacGillivray's prions from Saint Paul Island exhibited 2 migratory tactics with associated differences in at-sea activity, leading to questions about the origin of these differences.</t>
  </si>
  <si>
    <t>[Delord, Karine; Cherel, Yves; Weimerskirch, Henri; Bost, Charles-Andre; Barbraud, Christophe] La Rochelle Univ, Ctr Etud Biol Chize CEBC, UMR 7372 CNRS, F-79360 Villiers En Bois, France; [Roy, Amedee] Univ Montpellier, IFREMER, CNRS, Inst Rech Dev IRD,MARBEC,IRD, Ave Jean Monnet, F-34200 Sete, France; [Bustamante, Paco] La Rochelle Univ, Littoral Environm &amp; Soc LIENSs, UMR 7266 CNRS, 2 Rue Olympe Gouges, F-17000 La Rochelle, France; [Bustamante, Paco] Inst Univ France IUF, 1 Rue Descartes, F-75005 Paris, France; [Swadling, Kerrie M.] Univ Tasmania, Inst Marine &amp; Antarctic Studies, 20 Castray Esplanade, Battery Point, Tas 7004, Australia; [Swadling, Kerrie M.] Univ Tasmania, Australian Antarctic Program Partnership AAPP, 20 Castray Esplanade, Battery Point, Tas 7004, Australia</t>
  </si>
  <si>
    <t>Centre National de la Recherche Scientifique (CNRS); CNRS - Institute of Ecology &amp; Environment (INEE); Ifremer; Universite de Montpellier; Institut de Recherche pour le Developpement (IRD); Centre National de la Recherche Scientifique (CNRS); Centre National de la Recherche Scientifique (CNRS); CNRS - Institute of Ecology &amp; Environment (INEE); Institut Universitaire de France; University of Tasmania; University of Tasmania</t>
  </si>
  <si>
    <t>Delord, K (corresponding author), La Rochelle Univ, Ctr Etud Biol Chize CEBC, UMR 7372 CNRS, F-79360 Villiers En Bois, France.</t>
  </si>
  <si>
    <t>karine.delord@cebc.cnrs.fr</t>
  </si>
  <si>
    <t>Weimerskirch, Henri/F-5562-2013; Bustamante, Paco/G-5833-2011</t>
  </si>
  <si>
    <t>Bustamante, Paco/0000-0003-3877-9390</t>
  </si>
  <si>
    <t>l'Institut Polaire Francais Paul-Emile Victor (IPEV) [109, 394]; EU-BEST Project ITAGED; Reserve Nationale des Terres Australes et Antarctiques Francaises (TAAF); Contrat de Projet Etat-Region (CPER); Fonds Europeen de Developpement Regional (FEDER); Institut Universitaire de France (IUF)</t>
  </si>
  <si>
    <t>l'Institut Polaire Francais Paul-Emile Victor (IPEV); EU-BEST Project ITAGED; Reserve Nationale des Terres Australes et Antarctiques Francaises (TAAF); Contrat de Projet Etat-Region (CPER); Fonds Europeen de Developpement Regional (FEDER)(European Union (EU)); Institut Universitaire de France (IUF)</t>
  </si>
  <si>
    <t>We thank T. Micol and F. Le Bouard for fieldwork; S. Pascaud for processing the samples for stable isotopes; G. Guillou from the Plateforme Analyses Isotopiques of the Littoral Environnement et Societes (LIENSs) laboratory for running stable isotope analyses; the Service d'Analyses Biologiques du CEBC, and especially C. Ribout, for expertise and technical help in seabird molecular sexing; C. W. Jones and P. G. Ryan for providing their raw published isotopic data of birds from Gough Island; Y. Le Meur and R. Bellec for logistic organization; and the crew from the ship 'La Curieuse' for their help to access Saint Paul. This work was supported financially and logistically by l'Institut Polaire Francais Paul-Emile Victor (IPEV, Programmes 109 C.B. and 394 C.A.B.), the EU-BEST Project ITAGED, and the Reserve Nationale des Terres Australes et Antarctiques Francaises (TAAF). The TAAF administration provided permission to work at Saint Paul Island. Thanks are due to the Contrat de Projet Etat-Region (CPER) and the Fonds Europeen de Developpement Regional (FEDER) for funding the IRMS of the LIENSs laboratory. The Institut Universitaire de France (IUF) is acknowledged for its support to P.B. as a Senior Member. We acknowledge N. Moulin for help with the deployment of GLS loggers in 2017 and L. Chambrin, R. Harivel, F. Le Bouard and A. Rhumeur for the fieldwork in December 2018. We thank 3 anonymous reviewers for useful comments on an earlier version of the manuscript.</t>
  </si>
  <si>
    <t>INTER-RESEARCH</t>
  </si>
  <si>
    <t>OLDENDORF LUHE</t>
  </si>
  <si>
    <t>NORDBUNTE 23, D-21385 OLDENDORF LUHE, GERMANY</t>
  </si>
  <si>
    <t>0171-8630</t>
  </si>
  <si>
    <t>1616-1599</t>
  </si>
  <si>
    <t>MAR ECOL PROG SER</t>
  </si>
  <si>
    <t>Mar. Ecol.-Prog. Ser.</t>
  </si>
  <si>
    <t>SEP 22</t>
  </si>
  <si>
    <t>10.3354/meps14136</t>
  </si>
  <si>
    <t>Ecology; Marine &amp; Freshwater Biology; Oceanography</t>
  </si>
  <si>
    <t>Environmental Sciences &amp; Ecology; Marine &amp; Freshwater Biology; Oceanography</t>
  </si>
  <si>
    <t>5E7HX</t>
  </si>
  <si>
    <t>Green Submitted</t>
  </si>
  <si>
    <t>WOS:000865793900011</t>
  </si>
  <si>
    <t>Vieira, F; Fagundes, PR; Pillat, VG; Agyei-Yeboah, E; Venkatesh, K; Arcanjo, MO</t>
  </si>
  <si>
    <t>Vieira, F.; Fagundes, P. R.; Pillat, V. G.; Agyei-Yeboah, E.; Venkatesh, K.; Arcanjo, M. O.</t>
  </si>
  <si>
    <t>Ionospheric disturbances over the American and African sectors due to the 2019 major Sudden Stratospheric Warming (SSW 2019), under low solar activity conditions</t>
  </si>
  <si>
    <t>JOURNAL OF ATMOSPHERIC AND SOLAR-TERRESTRIAL PHYSICS</t>
  </si>
  <si>
    <t>SOUTH-AMERICAN; HEIGHT WAVE-1; EQUATORIAL; LATITUDES; IRI-2012; MODELS; EVENT</t>
  </si>
  <si>
    <t>Sudden Stratospheric Warming (SSW) is one of the most spectacular atmospheric large-scale phenomena, which takes place at high latitudes during winter months and is more frequent in the Arctic region than in the Antarctic region. SSWs can change the vertical, latitudinal, and longitudinal distributions of the neutral at-mosphere and its dynamics, which in turn affects the ionospheric electrodynamic processes. Simultaneous inferred VTEC from GPS networks over the American and African sectors are used to investigate the ionospheric response due to the SSW 2019 from DOY 356 to DOY 20 (December 22, 2018-January 20, 2019). This study investigates the VTEC and EIA diurnal and day-to-day responses in the American and African sectors during the SSW. It is noted that the VTEC decreased on most of the days at several latitude regions. However, it is also noted that the VTEC increased on some days and in some latitude regions, particularly during the SSW temperature peak. The EIA exhibits significant changes in its shape, intensity, and symmetry during the SSW. This study using simultaneous observations over American and African sectors covering a large geographical extent demonstrates the similarities and differences in ionospheric response to the SSW 2019 event over different regions.</t>
  </si>
  <si>
    <t>[Vieira, F.; Fagundes, P. R.; Pillat, V. G.; Agyei-Yeboah, E.; Arcanjo, M. O.] Univ Vale Paraiba, Lab Fis &amp; Astron, Sao Jose Dos Campos, Brazil; [Vieira, F.] Inst Fed Tocantins, Observ Fis Espacial, Araguatins, Brazil; [Venkatesh, K.] Space &amp; Atmospher Sci Div, Phys Res Lab, Ahmadabad 380009, India</t>
  </si>
  <si>
    <t>Universidade do Vale do Paraiba; Instituto Federal do Tocantins (IFTO); Department of Space (DoS), Government of India; Physical Research Laboratory - India</t>
  </si>
  <si>
    <t>Vieira, F (corresponding author), Univ Vale Paraiba, Lab Fis &amp; Astron, Sao Jose Dos Campos, Brazil.</t>
  </si>
  <si>
    <t>fagundes@univap.br</t>
  </si>
  <si>
    <t>Fagundes, Paulo Roberto/G-8758-2011</t>
  </si>
  <si>
    <t>Fagundes, Paulo Roberto/0000-0003-3764-2202; Pillat, Valdir Gil/0000-0002-5849-0597</t>
  </si>
  <si>
    <t>State of Sao Paulo Research Foundation (FAPESP) [2019/09361-2, 2018/10679-4]; Conselho Nacional de Desenvolvimento Cientifico e Tecnologico (CNPq) [304721/2021-2]; Coordenacao de Aperfeicoamento de Pessoal de Nivel Superior - Brazil (CAPES) [88887.176288/2018-00]</t>
  </si>
  <si>
    <t>State of Sao Paulo Research Foundation (FAPESP)(Fundacao de Amparo a Pesquisa do Estado de Sao Paulo (FAPESP)); Conselho Nacional de Desenvolvimento Cientifico e Tecnologico (CNPq)(Conselho Nacional de Desenvolvimento Cientifico e Tecnologico (CNPQ)); Coordenacao de Aperfeicoamento de Pessoal de Nivel Superior - Brazil (CAPES)(Coordenacao de Aperfeicoamento de Pessoal de Nivel Superior (CAPES))</t>
  </si>
  <si>
    <t>We wish to express our sincere thanks to the State of Sao Paulo Research Foundation (FAPESP) for financial support through the process No 2019/09361-2 and 2018/10679-4. The Conselho Nacional de Desenvolvimento Cientifico e Tecnologico (CNPq) process N0 304721/ 2021-2. This study was financed in part by the Coordenacao de Aper-feicoamento de Pessoal de Nivel Superior - Brazil (CAPES) N0 88887.176288/2018-00. The authors wish to express their sincere thanks to the IBGE and UNIVACO for providing dual-frequency GPS data in Brazil and Africa</t>
  </si>
  <si>
    <t>1364-6826</t>
  </si>
  <si>
    <t>1879-1824</t>
  </si>
  <si>
    <t>J ATMOS SOL-TERR PHY</t>
  </si>
  <si>
    <t>J. Atmos. Sol.-Terr. Phys.</t>
  </si>
  <si>
    <t>NOV 15</t>
  </si>
  <si>
    <t>10.1016/j.jastp.2022.105945</t>
  </si>
  <si>
    <t>Geochemistry &amp; Geophysics; Meteorology &amp; Atmospheric Sciences</t>
  </si>
  <si>
    <t>5A4WD</t>
  </si>
  <si>
    <t>WOS:000862888600001</t>
  </si>
  <si>
    <t>Gourmelon, N; Seehaus, T; Braun, M; Maier, A; Christlein, V</t>
  </si>
  <si>
    <t>Gourmelon, Nora; Seehaus, Thorsten; Braun, Matthias; Maier, Andreas; Christlein, Vincent</t>
  </si>
  <si>
    <t>Calving fronts and where to find them: a benchmark dataset and methodology for automatic glacier calving front extraction from synthetic aperture radar imagery</t>
  </si>
  <si>
    <t>EARTH SYSTEM SCIENCE DATA</t>
  </si>
  <si>
    <t>Article; Data Paper</t>
  </si>
  <si>
    <t>SEA-LEVEL RISE; ANTARCTIC PENINSULA; OUTLET GLACIERS; SURFACE VELOCITIES; JAKOBSHAVN ISBRAE; ICE THICKNESS; MASS CHANGES; GREENLAND; DYNAMICS; ABLATION</t>
  </si>
  <si>
    <t>Exact information on the calving front positions of marine- or lake-terminating glaciers is a fundamental glacier variable for analyzing ongoing glacier change processes and assessing other variables like frontal ablation rates. In recent years, researchers started implementing algorithms that can automatically detect the calving fronts on satellite imagery. Most studies use optical images, as calving fronts are often easy to distinguish in these images due to the sufficient spatial resolution and the presence of different spectral bands, allowing the separation of ice features. However, detecting calving fronts on synthetic aperture radar (SAR) images is highly desirable, as SAR images can also be acquired during the polar night and are independent of weather conditions (e.g., cloud cover), facilitating year-round monitoring worldwide. In this paper, we present a benchmark dataset of SAR images from multiple regions of the globe with corresponding manually defined labels providing information on the position of the calving front (https://doi.org/10.1594/PANGAEA.940950). With this dataset, different approaches for the detection of glacier calving fronts can be implemented, tested, and their performance fairly compared so that the most effective approach can be determined. The dataset consists of 681 samples, making it large enough to train deep learning segmentation models. It is the first dataset to provide long-term glacier calving front information from multi-mission data. As the dataset includes glaciers from Antarctica, Greenland, and Alaska, the wide applicability of models trained and tested on this dataset is ensured. The test set is independent of the training set so that the generalization capabilities of the models can be evaluated. We provide two sets of labels: one binary segmentation label to discern the calving front from the background, and one label for multi-class segmentation of different landscape classes. Unlike other calving front datasets, the presented dataset contains not only the labels but also the corresponding preprocessed and geo-referenced SAR images as PNG files. The ease of access to the dataset will allow scientists from other fields, such as data science, to contribute their expertise. With this benchmark dataset, we enable comparability between different front detection algorithms and improve the reproducibility of front detection studies. Moreover, we present one baseline model for each kind of label type. Both models are based on the U-Net, one of the most popular deep learning segmentation architectures. In the following two post-processing procedures, the segmentation results are converted into 1-pixel-wide front delineations. By providing both types of labels, both approaches can be used to address the problem. To assess the performance of different models, we suggest first reviewing the segmentation results using the recall, precision, F-1 score, and the Jaccard index. Second, the front delineation can be evaluated by calculating the mean distance error to the labeled front. The presented vanilla models provide a baseline of 150 m +/- 24 m mean distance error for the Mapple Glacier in Antarctica and 840 m +/- 84 m for the Columbia Glacier in Alaska, which has a more complex calving front, consisting of multiple sections, compared with a laterally well constrained, single calving front of Mapple Glacier.</t>
  </si>
  <si>
    <t>[Gourmelon, Nora; Maier, Andreas; Christlein, Vincent] Friedrich Alexander Univ Erlangen Nurnberg, Comp Sci Dept, Pattern Recognit Lab, Erlangen, Germany; [Seehaus, Thorsten; Braun, Matthias] Friedrich Alexander Univ Erlangen Nurnberg, Dept Geog &amp; Geosci, Inst Geog, Erlangen, Germany</t>
  </si>
  <si>
    <t>University of Erlangen Nuremberg; University of Erlangen Nuremberg</t>
  </si>
  <si>
    <t>Gourmelon, N (corresponding author), Friedrich Alexander Univ Erlangen Nurnberg, Comp Sci Dept, Pattern Recognit Lab, Erlangen, Germany.</t>
  </si>
  <si>
    <t>nora.gourmelon@fau.de</t>
  </si>
  <si>
    <t>Braun, Matthias H/S-4693-2016; Gourmelon, Nora/HHS-6062-2022; Braun, Matthias/A-4968-2009</t>
  </si>
  <si>
    <t>Gourmelon, Nora/0000-0003-3760-0184; Braun, Matthias/0000-0001-5169-1567; Seehaus, Thorsten/0000-0001-5055-8959</t>
  </si>
  <si>
    <t>Friedrich-Alexander-Universitat Erlangen-Nurnberg (Emerging Fields Initiative Tapping the Potential of Earth Observation); STAEDTLER Foundation</t>
  </si>
  <si>
    <t>This research has been supported by the Friedrich-Alexander-Universitat Erlangen-Nurnberg (Emerging Fields Initiative Tapping the Potential of Earth Observation) and the STAEDTLER Foundation.</t>
  </si>
  <si>
    <t>1866-3508</t>
  </si>
  <si>
    <t>1866-3516</t>
  </si>
  <si>
    <t>EARTH SYST SCI DATA</t>
  </si>
  <si>
    <t>Earth Syst. Sci. Data</t>
  </si>
  <si>
    <t>10.5194/essd-14-4287-2022</t>
  </si>
  <si>
    <t>Geosciences, Multidisciplinary; Meteorology &amp; Atmospheric Sciences</t>
  </si>
  <si>
    <t>Geology; Meteorology &amp; Atmospheric Sciences</t>
  </si>
  <si>
    <t>4T3FE</t>
  </si>
  <si>
    <t>WOS:000858006900001</t>
  </si>
  <si>
    <t>Murphy, EJ</t>
  </si>
  <si>
    <t>Murphy, Eugene J.</t>
  </si>
  <si>
    <t>Ocean sustainability: act before it's too late</t>
  </si>
  <si>
    <t>NATURE</t>
  </si>
  <si>
    <t>Letter</t>
  </si>
  <si>
    <t>Ocean sciences; Sustainability; Society</t>
  </si>
  <si>
    <t>Letter to the Editor</t>
  </si>
  <si>
    <t>[Murphy, Eugene J.] British Antarctic Survey, Cambridge, England</t>
  </si>
  <si>
    <t>UK Research &amp; Innovation (UKRI); Natural Environment Research Council (NERC); NERC British Antarctic Survey</t>
  </si>
  <si>
    <t>Murphy, EJ (corresponding author), British Antarctic Survey, Cambridge, England.</t>
  </si>
  <si>
    <t>e.murphy@bas.ac.uk</t>
  </si>
  <si>
    <t>murphy, eugene/GZL-1620-2022; Robinson, Carol/F-7649-2011</t>
  </si>
  <si>
    <t>Murphy, Eugene/0000-0002-7369-9196; Newton, Alice/0000-0001-9286-5914; Robinson, Carol/0000-0003-3033-4565; Dickey-Collas, Mark/0000-0003-3154-8039</t>
  </si>
  <si>
    <t>0028-0836</t>
  </si>
  <si>
    <t>1476-4687</t>
  </si>
  <si>
    <t>Nature</t>
  </si>
  <si>
    <t>10.1038/d41586-022-02981-5</t>
  </si>
  <si>
    <t>4Q0SA</t>
  </si>
  <si>
    <t>WOS:000855795500008</t>
  </si>
  <si>
    <t>Rohr, T; Richardson, AJ; Lenton, A; Shadwick, E</t>
  </si>
  <si>
    <t>Rohr, Tyler; Richardson, Anthony J.; Lenton, Andrew; Shadwick, Elizabeth</t>
  </si>
  <si>
    <t>Recommendations for the formulation of grazing in marine biogeochemical and ecosystem models</t>
  </si>
  <si>
    <t>PROGRESS IN OCEANOGRAPHY</t>
  </si>
  <si>
    <t>Zooplankton; Phytoplankton; Grazing; Ecosystem modelling; Biogeochemical modelling; Population modelling; Holling; Functional response curve; Biogeochemistry; Marine Ecology; Parameters</t>
  </si>
  <si>
    <t>ZOOPLANKTON FUNCTIONAL-RESPONSE; DIEL VERTICAL MIGRATION; EARTH SYSTEM MODEL; PARAMETER OPTIMIZATION; PLANKTON DYNAMICS; FEEDING-BEHAVIOR; NUTRIENT-UPTAKE; SOUTHERN-OCEAN; NORTH-ATLANTIC; CARBON EXPORT</t>
  </si>
  <si>
    <t>For nearly a century, functional response curves, which describe how predation rates vary with prey density, have been a mainstay of ecological modelling. While originally derived to describe terrestrial interactions, they have been adopted to characterize aquatic systems in marine biogeochemical, size-spectrum, and population models. However, marine ecological modellers disagree over the qualitative shape of the curve (e.g. Type II vs. III), whether its parameters should be mechanistically or empirically defined (e.g. disk vs. Michaelis-Menten scheme), and the most representative value of those parameters. As a case study, we focus on marine biogeochemical models, providing a comprehensive theoretical, empirical, and numerical road-map for interpreting, formulating, and parameterizing the functional response when used to prescribe zooplankton specific grazing rates on a single prey source. After providing a detailed derivation of each of the canonical functional response types explicitly for aquatic systems, we review the literature describing their parameterization. Empirical estimates of each parameter vary by over three orders of magnitude across 10 orders of magnitude in zooplankton size. However, the strength and direction of the allometric relationship between each parameter and size differs depending on the range of sizes considered. In models, which must represent the mean state of different functional groups, size spectra or in many cases the entire zooplankton community, the range of parameter values is smaller, but still varies by two to three orders of magnitude. Next, we conduct a suite of 0-D NPZ simulations to isolate the sensitivity of phytoplankton population size and stability to the grazing formulation. We find that the disk parameterizations scheme is less sensitive to its parameterization than the Michaelis-Menten scheme, and quantify the range of parameters over which the Type II response, long known to have destabilizing properties, introduces dynamic instabilities. Finally, we use a simple theoretical model to show how the mean apparent functional response, averaged across sufficient sub-grid scale heterogeneity, diverges from the local response. Collectively, we recommend using a type II disk response for models with smaller scales and finer resolutions but suggest that a type III Michaelis-Menten response may do a better job of capturing the complexity of all processes being averaged across in larger-scale and coarser-resolution models, not just local consumption and capture rates. While we focus specifically on the grazing formulation in marine biogeochemical models, we believe these recommendations are robust across a much broader range of population and ecosystem models that use functional response curves.</t>
  </si>
  <si>
    <t>[Rohr, Tyler; Lenton, Andrew; Shadwick, Elizabeth] Australian Antarctic Program Partnership, Hobart, Tas, Australia; [Richardson, Anthony J.] Univ Queensland, Sch Math &amp; Phys, St Lucia, Qld, Australia; [Richardson, Anthony J.] Commonwealth Sci &amp; Ind Res Org CSIRO Oceans &amp; Atmo, Biosci Precinct QBP, St Lucia, Qld, Australia; [Lenton, Andrew; Shadwick, Elizabeth] Commonwealth Sci &amp; Ind Res Org CSIRO Oceans &amp; Atmo, Hobart, Tas, Australia; [Lenton, Andrew; Shadwick, Elizabeth] Ctr Southern Hemisphere Oceans Res, Hobart, Tas, Australia</t>
  </si>
  <si>
    <t>University of Queensland; Commonwealth Scientific &amp; Industrial Research Organisation (CSIRO); Commonwealth Scientific &amp; Industrial Research Organisation (CSIRO)</t>
  </si>
  <si>
    <t>Rohr, T (corresponding author), Australian Antarctic Program Partnership, Hobart, Tas, Australia.</t>
  </si>
  <si>
    <t>tyler.rohr@utas.edu.au</t>
  </si>
  <si>
    <t>Richardson, Anthony J/B-3649-2010; Lenton, Andrew/D-2077-2012</t>
  </si>
  <si>
    <t>Richardson, Anthony J/0000-0002-9289-7366; Rohr, Tyler/0000-0001-6599-8068; Lenton, Andrew/0000-0001-9437-8896</t>
  </si>
  <si>
    <t>Centre for Southern Hemi-sphere Oceans Research (CSHOR); Commonwealth Scientific and Industrial Research Organisation (CSIRO); Australia and the Qingdao National Laboratory for Marine Science, China; Australian Antarctic Program Partnership through the Australian Governments Antarctic Science Collaboration Initiative</t>
  </si>
  <si>
    <t>Centre for Southern Hemi-sphere Oceans Research (CSHOR); Commonwealth Scientific and Industrial Research Organisation (CSIRO)(Commonwealth Scientific &amp; Industrial Research Organisation (CSIRO)); Australia and the Qingdao National Laboratory for Marine Science, China; Australian Antarctic Program Partnership through the Australian Governments Antarctic Science Collaboration Initiative</t>
  </si>
  <si>
    <t>This research was supported by the Centre for Southern Hemi-sphere Oceans Research (CSHOR) , a partnership between the Commonwealth Scientific and Industrial Research Organisation (CSIRO) , Australia and the Qingdao National Laboratory for Marine Science, China, and the Australian Antarctic Program Partnership through the Australian Governments Antarctic Science Collaboration Initiative.</t>
  </si>
  <si>
    <t>0079-6611</t>
  </si>
  <si>
    <t>1873-4472</t>
  </si>
  <si>
    <t>PROG OCEANOGR</t>
  </si>
  <si>
    <t>Prog. Oceanogr.</t>
  </si>
  <si>
    <t>10.1016/j.pocean.2022.102878</t>
  </si>
  <si>
    <t>5M1LR</t>
  </si>
  <si>
    <t>WOS:000870866500002</t>
  </si>
  <si>
    <t>Phillips, LR; Malan, N; Roughan, M; Harcourt, R; Jonsen, I; Cox, M; Brierley, AS; Slip, D; Wilkins, A; Carroll, G</t>
  </si>
  <si>
    <t>Phillips, Lachlan R.; Malan, Neil; Roughan, Moninya; Harcourt, Robert; Jonsen, Ian; Cox, Martin; Brierley, Andrew S.; Slip, David; Wilkins, Adam; Carroll, Gemma</t>
  </si>
  <si>
    <t>Coastal seascape variability in the intensifying East Australian Current Southern Extension</t>
  </si>
  <si>
    <t>seascape; East Australian Current Extension; climate change; coastal processes; marine ecosystems; spatiotemporal variability; active acoustics</t>
  </si>
  <si>
    <t>MARINE PREDATOR; OCEAN; ZOOPLANKTON; CHLOROPHYLL; DISPERSAL; ACOUSTICS; RESPONSES; HABITATS; SARDINE; EDDIES</t>
  </si>
  <si>
    <t>Coastal pelagic ecosystems are highly variable in space and time, with environmental conditions and the distribution of biomass being driven by complex processes operating at multiple scales. The emergent properties of these processes and their interactive effects result in complex and dynamic environmental mosaics referred to as seascapes. Mechanisms that link large-scale oceanographic processes and ecological variability in coastal environments remain poorly understood, despite their importance for predicting how ecosystems will respond to climate change. Here we assessed seascape variability along the path of the rapidly intensifying East Australian Current (EAC) Southern Extension in southeast Australia, a hotspot of ocean warming and ecosystem tropicalisation. Using satellite and in situ measures of temperature, salinity and current velocity coupled with contemporaneous measurements of pelagic biomass distribution from nine boat-based active acoustic surveys in five consecutive years, we investigated relationships between the physical environment and the distribution of pelagic biomass (zooplankton and fish) at multiple timescales. Survey periods were characterised by high variability in oceanographic conditions, with variation in coastal conditions influenced by meso-to-large scale processes occurring offshore, including the position and strength of eddies. Intra-annual variability was often of a similar or greater magnitude to inter-annual variability, suggesting highly dynamic conditions with important variation occurring at scales of days to weeks. Two seascape categories were identified being characterised by (A) warmer, less saline water and (B) cooler, more saline water, with the former indicating greater influence of the EAC on coastal processes. Warmer waters were also associated with fewer, deeper and less dense biological aggregations. As the EAC continues to warm and penetrate further south, it is likely that this will have substantial effects on biological activity in coastal pelagic ecosystems, including a potential reduction in the accessibility of prey aggregations to surface-feeding predators and to fisheries. These results highlight the import role of offshore oceanographic processes in driving coastal seascape variability and biological activity in a region undergoing rapid oceanic warming and ecological change.</t>
  </si>
  <si>
    <t>[Phillips, Lachlan R.; Harcourt, Robert; Jonsen, Ian; Slip, David] Macquarie Univ, Sch Nat Sci, Sydney, NSW, Australia; [Malan, Neil; Roughan, Moninya] Univ New South Wales UNSW Sydney, Sch Biol Earth &amp; Environm Sci, Sydney, NSW, Australia; [Cox, Martin] Australian Antarctic Div, Kingston, Tas, Australia; [Brierley, Andrew S.] Univ St Andrews, Scottish Oceans Inst, Sch Biol, Gatty Marine Lab,Pelag Ecol Res Grp, St Andrews, England; [Slip, David] Taronga Conservat Soc Australia, Mosman, NSW, Australia; [Wilkins, Adam] Field Friendly, Adelaide, SA, Australia; [Carroll, Gemma] Environm Def Fund, Seattle, WA USA</t>
  </si>
  <si>
    <t>Macquarie University; University of New South Wales Sydney; Australian Antarctic Division; University of St Andrews; Taronga Conservation Society Australia</t>
  </si>
  <si>
    <t>Phillips, LR; Harcourt, R (corresponding author), Macquarie Univ, Sch Nat Sci, Sydney, NSW, Australia.</t>
  </si>
  <si>
    <t>lachlan.phillips@hdr.mq.edu.au; robert.harcourt@mq.edu.au</t>
  </si>
  <si>
    <t>Brierley, Andrew/G-8019-2011; Roughan, Moninya/B-5563-2009; Carroll, Gemma/K-3203-2014</t>
  </si>
  <si>
    <t>Brierley, Andrew/0000-0002-6438-6892; Roughan, Moninya/0000-0003-3825-7533; Harcourt, Robert/0000-0003-4666-2934; Carroll, Gemma/0000-0001-7776-0946; Jonsen, Ian/0000-0001-5423-6076; Slip, David/0000-0002-9010-7236</t>
  </si>
  <si>
    <t>Australian Research Council [LP110200603, LP160100162]; Taronga Conservation Society Australia; Australian Antarctic Division; NSW National Parks; Australian Research Council [LP110200603, LP160100162] Funding Source: Australian Research Council</t>
  </si>
  <si>
    <t>Australian Research Council(Australian Research Council); Taronga Conservation Society Australia; Australian Antarctic Division; NSW National Parks; Australian Research Council(Australian Research Council)</t>
  </si>
  <si>
    <t>This study was funded by Australian Research Council Linkage Grants (LP110200603 awarded to RH, DS and Iain Field, and LP160100162 awarded to IJ, Martina Doublin, MC, GC, DS, Iain Suthers and RH) with contributions from the Taronga Conservation Society Australia, NSW National Parks and the Australian Antarctic Division.</t>
  </si>
  <si>
    <t>SEP 21</t>
  </si>
  <si>
    <t>10.3389/fmars.2022.925123</t>
  </si>
  <si>
    <t>5D1UD</t>
  </si>
  <si>
    <t>WOS:000864734800001</t>
  </si>
  <si>
    <t>Vorkamp, K; Carlsson, P; Corsolini, S; de Wit, CA; Dietz, R; Gribble, MO; Houde, M; Kalia, V; Letcher, RJ; Morris, A; Rigét, FF; Routti, H; Muir, DCG</t>
  </si>
  <si>
    <t>Vorkamp, Katrin; Carlsson, Pernilla; Corsolini, Simonetta; de Wit, Cynthia A.; Dietz, Rune; Gribble, Matthew O.; Houde, Magali; Kalia, Vrinda; Letcher, Robert J.; Morris, Adam; Riget, Frank F.; Routti, Heli; Muir, Derek C. G.</t>
  </si>
  <si>
    <t>Influences of climate change on long-term time series of persistent organic pollutants (POPs) in Arctic and Antarctic biota</t>
  </si>
  <si>
    <t>ENVIRONMENTAL SCIENCE-PROCESSES &amp; IMPACTS</t>
  </si>
  <si>
    <t>ORGANOCHLORINE PESTICIDES OCPS; DIPHENYL ETHERS PBDES; TEMPORAL TRENDS; RINGED SEAL; POLYCHLORINATED-BIPHENYLS; SPECIMEN-BANK; PHOCA-HISPIDA; MARINE; CONTAMINANTS; GREENLAND</t>
  </si>
  <si>
    <t>Time series of contaminants in the Arctic are an important instrument to detect emerging issues and to monitor the effectiveness of chemicals regulation, based on the assumption of a direct reflection of changes in primary emissions. Climate change has the potential to influence these time trends, through direct physical and chemical processes and/or changes in ecosystems. This study was part of an assessment of the Arctic Monitoring and Assessment Programme (AMAP), analysing potential links between changes in climate-related physical and biological variables and time trends of persistent organic pollutants (POPs) in Arctic biota, with some additional information from the Antarctic. Several correlative relationships were identified between POP temporal trends in freshwater and marine biota and physical climate parameters such as oscillation indices, sea-ice coverage, temperature and precipitation, although the mechanisms behind these observations remain poorly understood. Biological data indicate changes in the diet and trophic level of some species, especially seabirds and polar bears, with consequences for their POP exposure. Studies from the Antarctic highlight increased POP availability after iceberg calving. Including physical and/or biological parameters in the POP time trend analysis has led to small deviations in some declining trends, but did generally not change the overall direction of the trend. In addition, regional and temporary perturbations occurred. Effects on POP time trends appear to have been more pronounced in recent years and to show time lags, suggesting that climate-related effects on the long time series might be gaining importance.</t>
  </si>
  <si>
    <t>[Vorkamp, Katrin] Aarhus Univ, Dept Environm Sci, Frederiksborgvej 399, DK-4000 Roskilde, Denmark; [Carlsson, Pernilla] Norwegian Inst Water Res NIVA, Fram Ctr, Tromso, Norway; [Corsolini, Simonetta] Univ Siena, Dept Phys Earth &amp; Environm Sci, Siena, Italy; [de Wit, Cynthia A.] Stockholm Univ, Dept Environm Sci, Stockholm, Sweden; [Dietz, Rune; Riget, Frank F.] Aarhus Univ, Dept Ecosci, Roskilde, Denmark; [Gribble, Matthew O.] Univ Alabama Birmingham, Sch Publ Hlth, Birmingham, AL USA; [Houde, Magali] Environm &amp; Climate Change Canada, Montreal, PQ, Canada; [Kalia, Vrinda] Columbia Univ, Dept Environm Hlth Sci, New York, NY USA; [Letcher, Robert J.] Environm &amp; Climate Change Canada, Ottawa, ON, Canada; [Morris, Adam] Northern Contaminants Program, Crown Indigenous Relat &amp; Northern Affairs, Gatineau, PQ, Canada; [Routti, Heli] Norwegian Polar Res Inst, Fram Ctr, Tromso, Norway; [Muir, Derek C. G.] Environm &amp; Climate Change Canada, Burlington, ON, Canada</t>
  </si>
  <si>
    <t>Aarhus University; Norwegian Institute for Water Research (NIVA); University of Siena; Stockholm University; Aarhus University; University of Alabama System; University of Alabama Birmingham; Environment &amp; Climate Change Canada; Columbia University; Environment &amp; Climate Change Canada; Norwegian Polar Institute; Environment &amp; Climate Change Canada</t>
  </si>
  <si>
    <t>Vorkamp, K (corresponding author), Aarhus Univ, Dept Environm Sci, Frederiksborgvej 399, DK-4000 Roskilde, Denmark.</t>
  </si>
  <si>
    <t>kvo@envs.au.dk</t>
  </si>
  <si>
    <t>Corsolini, Simonetta/B-9460-2012; Kalia, Vrinda/ABF-6520-2020; de Wit, Cynthia/J-8063-2012</t>
  </si>
  <si>
    <t>Corsolini, Simonetta/0000-0002-9772-2362; Kalia, Vrinda/0000-0003-2244-6663; de Wit, Cynthia/0000-0001-8497-2699; Gribble, Matthew/0000-0002-1614-2981</t>
  </si>
  <si>
    <t>ROYAL SOC CHEMISTRY</t>
  </si>
  <si>
    <t>THOMAS GRAHAM HOUSE, SCIENCE PARK, MILTON RD, CAMBRIDGE CB4 0WF, CAMBS, ENGLAND</t>
  </si>
  <si>
    <t>2050-7887</t>
  </si>
  <si>
    <t>2050-7895</t>
  </si>
  <si>
    <t>ENVIRON SCI-PROC IMP</t>
  </si>
  <si>
    <t>Environ. Sci.-Process Impacts</t>
  </si>
  <si>
    <t>OCT 19</t>
  </si>
  <si>
    <t>10.1039/d2em00134a</t>
  </si>
  <si>
    <t>Chemistry, Analytical; Environmental Sciences</t>
  </si>
  <si>
    <t>Chemistry; Environmental Sciences &amp; Ecology</t>
  </si>
  <si>
    <t>5K6ST</t>
  </si>
  <si>
    <t>WOS:000864272900001</t>
  </si>
  <si>
    <t>Kushida, Y; Imahara, Y; Wee, HB; Fernandez-Silva, I; Fromont, J; Gomez, O; Wilson, N; Kimura, T; Tsuchida, S; Fujiwara, Y; Higashiji, T; Nakano, H; Kohtsuka, H; Iguchi, A; Reimer, JD</t>
  </si>
  <si>
    <t>Kushida, Yuka; Imahara, Yukimitsu; Wee, Hin Boo; Fernandez-Silva, Iria; Fromont, Jane; Gomez, Oliver; Wilson, Nerida; Kimura, Taeko; Tsuchida, Shinji; Fujiwara, Yoshihiro; Higashiji, Takuo; Nakano, Hiroaki; Kohtsuka, Hisanori; Iguchi, Akira; Reimer, James Davis</t>
  </si>
  <si>
    <t>Exploring the trends of adaptation and evolution of sclerites with regards to habitat depth in sea pens</t>
  </si>
  <si>
    <t>PEERJ</t>
  </si>
  <si>
    <t>Bathymetric range; Pennatulacea; Plates; Sclerites; Three-flanged sclerites; Common ancestor</t>
  </si>
  <si>
    <t>OCTOCORALLIA ISIDIDAE KERATOISIDINAE; WITHDRAWAL BEHAVIOR; ANTHOZOA; CORAL; DEEP; PENNATULACEA; CNIDARIA; GENUS; GENERA; RESURRECTION</t>
  </si>
  <si>
    <t>Octocorals possess sclerites, small elements comprised of calcium carbonate (CaCO3) that are important diagnostic characters in octocoral taxonomy. Among octocorals, sea pens comprise a unique order (Pennatulacea) that live in a wide range of depths. Habitat depth is considered to be important in the diversification of octocoral species, but a lack of information on sea pens has limited studies on their adaptation and evolution across depth. Here, we aimed to reveal trends of adaptation and evolution of sclerite shapes in sea pens with regards to habitat depth via phylogenetic analyses and ancestral reconstruction analyses. Colony form of sea pens is suggested to have undergone convergent evolution and the loss of axis has occurred independently across the evolution of sea pens. Divergences of sea pen taxa and of sclerite forms are suggested to depend on habitat depths. In addition, their sclerite forms may be related to evolutionary history of the sclerite and the surrounding chemical environment as well as water temperature. Three-flanged sclerites may possess the tolerance towards the environment of the deep sea, while plate sclerites are suggested to be adapted towards shallower waters, and have evolved independently multiple times. The common ancestor form of sea pens was predicted to be deep-sea and similar to family Pseudumbellulidae in form, possessing sclerites intermediate in form to those of alcyonaceans and modern sea pens such as spindles, rods with spines, and three-flanged sclerites with serrated edges sclerites, as well as having an axis and bilateral traits.</t>
  </si>
  <si>
    <t>[Kushida, Yuka] Rissho Univ, Fac Geoenvironm Sci, Kumagaya, Saitama, Japan; [Kushida, Yuka; Imahara, Yukimitsu; Iguchi, Akira] Natl Inst Adv Ind Sci &amp; Technol, Geol Survey Japan, Tsukuba, Ibaraki, Japan; [Kushida, Yuka] Kagoshima Univ, Int Ctr Isl Studies Amami Stn, Amami, Kagoshima, Japan; [Kushida, Yuka; Reimer, James Davis] Univ Ryukyus, Grad Sch Engn &amp; Sci, Mol Invertebrate Systemat &amp; Ecol Lab, Nishihara, Okinawa, Japan; [Imahara, Yukimitsu] Kuroshio Biol Res Fdn, Otsuchi, Kochi, Japan; [Imahara, Yukimitsu] Octocoral Res Lab, Wakayama, Japan; [Wee, Hin Boo] Univ Kebangsaan Malaysia, Inst Perubahan Iklim, Bangi, Selangor, Malaysia; [Fernandez-Silva, Iria] Univ Vigo, Dept Biochem Genet &amp; Immunol, Campus Univ, Vigo, Spain; [Fromont, Jane; Gomez, Oliver; Wilson, Nerida] Western Australian Museum, Collect &amp; Res, Welshpool, WA, Australia; [Wilson, Nerida] Univ Western Australia, Sch Biol Sci, Perth, WA, Australia; [Kimura, Taeko] Mie Univ, Grad Sch Bioresources, Dept Life Sci, Tsu, Mie, Japan; [Tsuchida, Shinji; Fujiwara, Yoshihiro] Japan Agcy Marine Earth Sci &amp; Technol JAMSTEC, Yokosuka, Kanagawa, Japan; [Higashiji, Takuo] Okinawa Churashima Fdn, Okinawa Churaumi Aquarium, Motobu, Okinawa, Japan; [Nakano, Hiroaki] Univ Tsukuba, Shimoda Marine Res Ctr, Shimoda, Shizuoka, Japan; [Kohtsuka, Hisanori] Univ Tokyo, Grad Sch Sci, Misaki Marine Biol Stn, Miura, Kanagawa, Japan; [Iguchi, Akira] Natl Inst Adv Ind Sci &amp; Technol, Res Lab Environmentally Conscious Dev &amp; Technol Ec, Tsukuba, Ibaraki, Japan; [Reimer, James Davis] Univ Ryukyus, Trop Biosphere Res Ctr, Nishihara, Okinawa, Japan</t>
  </si>
  <si>
    <t>National Institute of Advanced Industrial Science &amp; Technology (AIST); University of the Ryukyus; Universiti Kebangsaan Malaysia; Universidade de Vigo; Western Australian Museum; University of Western Australia; Mie University; Japan Agency for Marine-Earth Science &amp; Technology (JAMSTEC); University of Tsukuba; University of Tokyo; National Institute of Advanced Industrial Science &amp; Technology (AIST); University of the Ryukyus</t>
  </si>
  <si>
    <t>Kushida, Y (corresponding author), Rissho Univ, Fac Geoenvironm Sci, Kumagaya, Saitama, Japan.;Kushida, Y (corresponding author), Natl Inst Adv Ind Sci &amp; Technol, Geol Survey Japan, Tsukuba, Ibaraki, Japan.;Kushida, Y (corresponding author), Kagoshima Univ, Int Ctr Isl Studies Amami Stn, Amami, Kagoshima, Japan.;Kushida, Y (corresponding author), Univ Ryukyus, Grad Sch Engn &amp; Sci, Mol Invertebrate Systemat &amp; Ecol Lab, Nishihara, Okinawa, Japan.</t>
  </si>
  <si>
    <t>ykushida@ris.ac.jp</t>
  </si>
  <si>
    <t>Reimer, James Davis/AAP-1331-2020; Gomez, Oliver/JYP-1685-2024; Wee, H/JXY-0919-2024; Wilson, Nerida/G-8433-2011</t>
  </si>
  <si>
    <t>Wilson, Nerida/0000-0002-0784-0200; Kushida, Yuka/0000-0002-6832-7830</t>
  </si>
  <si>
    <t>Okinawa Research Core for Highly Innovative Discipline Science from the University of the Ryukyus; ACE Foundation; Ferring Pharmaceuticals; Ministry of Education, Culture, Sports, Science, and Technology [JPMXD1111105260]</t>
  </si>
  <si>
    <t>Okinawa Research Core for Highly Innovative Discipline Science from the University of the Ryukyus; ACE Foundation; Ferring Pharmaceuticals(Ferring Pharmaceuticals); Ministry of Education, Culture, Sports, Science, and Technology(Ministry of Education, Culture, Sports, Science and Technology, Japan (MEXT))</t>
  </si>
  <si>
    <t>Yuka Kushida's visit to the Western Australia Museum was supported by funding from Okinawa Research Core for Highly Innovative Discipline Science from the University of the Ryukyus. The sub-Antarctic specimens were collected by the ACE expedition supported by the ACE Foundation and Ferring Pharmaceuticals and supplied by the Western Australian Museum. This work was supported by the research project Tohoku Ecosystem-Associated Marine Sciences from the Ministry of Education, Culture, Sports, Science, and Technology (grant Number: JPMXD1111105260) and the common university budget of James Davis Reimer. The funders had no role in study design, data collection and analysis, decision to publish, or preparation of the manuscript.</t>
  </si>
  <si>
    <t>PEERJ INC</t>
  </si>
  <si>
    <t>341-345 OLD ST, THIRD FLR, LONDON, EC1V 9LL, ENGLAND</t>
  </si>
  <si>
    <t>2167-8359</t>
  </si>
  <si>
    <t>PeerJ</t>
  </si>
  <si>
    <t>e13929</t>
  </si>
  <si>
    <t>10.7717/peerj.13929</t>
  </si>
  <si>
    <t>5A7SB</t>
  </si>
  <si>
    <t>WOS:000863082000005</t>
  </si>
  <si>
    <t>Herr, H; Hickmott, L; Viquerat, S; Panigada, S</t>
  </si>
  <si>
    <t>Herr, H.; Hickmott, L.; Viquerat, S.; Panigada, S.</t>
  </si>
  <si>
    <t>First evidence for fin whale migration into the Pacific from Antarctic feeding grounds at Elephant Island</t>
  </si>
  <si>
    <t>ROYAL SOCIETY OPEN SCIENCE</t>
  </si>
  <si>
    <t>satellite telemetry; Southern Ocean; Balaenoptera physalus; population connectivity; migratory routes</t>
  </si>
  <si>
    <t>BALAENOPTERA-PHYSALUS; MEGAPTERA-NOVAEANGLIAE; BALEEN WHALES; ABUNDANCE; HUMPBACK; HOTSPOTS; WATERS; KRILL; AREA; BLUE</t>
  </si>
  <si>
    <t>This study presents the first long-distance tracks of fin whales (Balaenoptera physalus) equipped with satellite transmitters off the Antarctic Peninsula. Southern Hemisphere fin whales were severely depleted by twentieth century industrial whaling, yet recently, they have returned to historical feeding grounds off the northern Antarctic Peninsula, forming large aggregations in austral summers. To date, our knowledge only extended to summer behaviour, while information regarding migration routes and the location of breeding and wintering grounds are lacking. During the austral autumn of 2021, we deployed nsatellite transmitters on four fin whales at Elephant Island. Two transmitters stopped working while the animals were still at the feeding grounds, while two continued to transmit during the transition from feeding activity to migration. Both migrating animals left the feeding ground on 15 April 2021, travelling northward into the Pacific and up along the Chilean coast. The most northerly position received before all tags stopped transmitting on 1 May 2021 was at 48 degrees S. These tracks provide initial evidence of seasonal migratory routes and a first indication toward possible locations of winter destinations. This information, even if preliminary, is critical for investigations of population connectivity, population structure and the identification of breeding grounds of Southern Hemisphere fin whales.</t>
  </si>
  <si>
    <t>[Herr, H.; Viquerat, S.] Univ Hamburg, Inst Marine Ecosyst &amp; Fishery Sci, Ctr Earth Syst Res &amp; Sustainabil, Grosse Elbstrasse 133, D-22767 Hamburg, Germany; [Herr, H.; Viquerat, S.] Helmholtz Ctr Polar &amp; Marine Res, Alfred Wegener Inst, Handelshafen 12, D-27570 Bremerhaven, Germany; [Hickmott, L.] Univ St Andrews, Scottish Oceans Inst, Sea Mammal Res Unit, St Andrews KY16 8LB, Fife, Scotland; [Hickmott, L.] Open Ocean Consulting, 3b Oaklands Rd, Petersfield GU32 2EY, England; [Panigada, S.] Tethys Res Inst, Viale GB Gadio 2, I-20121 Milan, Italy</t>
  </si>
  <si>
    <t>University of Hamburg; Helmholtz Association; Alfred Wegener Institute, Helmholtz Centre for Polar &amp; Marine Research; University of St Andrews</t>
  </si>
  <si>
    <t>Herr, H (corresponding author), Univ Hamburg, Inst Marine Ecosyst &amp; Fishery Sci, Ctr Earth Syst Res &amp; Sustainabil, Grosse Elbstrasse 133, D-22767 Hamburg, Germany.;Herr, H (corresponding author), Helmholtz Ctr Polar &amp; Marine Res, Alfred Wegener Inst, Handelshafen 12, D-27570 Bremerhaven, Germany.</t>
  </si>
  <si>
    <t>helena.herr@uni-hamburg.de</t>
  </si>
  <si>
    <t>Herr, Helena/JAC-6808-2023</t>
  </si>
  <si>
    <t>Herr, Helena/0000-0002-5028-2419; Hickmott, Leigh/0000-0002-6140-1866; Viquerat, Sacha/0000-0002-2519-7319</t>
  </si>
  <si>
    <t>ROYAL SOC</t>
  </si>
  <si>
    <t>6-9 CARLTON HOUSE TERRACE, LONDON SW1Y 5AG, ENGLAND</t>
  </si>
  <si>
    <t>2054-5703</t>
  </si>
  <si>
    <t>ROY SOC OPEN SCI</t>
  </si>
  <si>
    <t>R. Soc. Open Sci.</t>
  </si>
  <si>
    <t>10.1098/rsos.220721</t>
  </si>
  <si>
    <t>4U2EG</t>
  </si>
  <si>
    <t>WOS:000858613000003</t>
  </si>
  <si>
    <t>Iosilevskii, G; Kong, JD; Meyer, CG; Watanabe, YY; Papastamatiou, YP; Royer, MA; Nakamura, I; Sato, K; Doyle, TK; Harman, L; Houghton, JDR; Barnett, A; Semmens, JM; Maoiléidigh, NO; Drumm, A; O'Neill, R; Coffey, DM; Payne, NL</t>
  </si>
  <si>
    <t>Iosilevskii, G.; Kong, J. D.; Meyer, C. G.; Watanabe, Y. Y.; Papastamatiou, Y. P.; Royer, M. A.; Nakamura, I; Sato, K.; Doyle, T. K.; Harman, L.; Houghton, J. D. R.; Barnett, A.; Semmens, J. M.; Maoileidigh, N. O.; Drumm, A.; O'Neill, R.; Coffey, D. M.; Payne, N. L.</t>
  </si>
  <si>
    <t>A general swimming response in exhausted obligate swimming fish</t>
  </si>
  <si>
    <t>biologging; elasmobranch; energetics</t>
  </si>
  <si>
    <t>RECOVERY METABOLISM; WHITE MUSCLE; BODY-MASS; EXERCISE; SHARK; PERFORMANCE; CAPTURE; STRESS; LACTATE</t>
  </si>
  <si>
    <t>Marine organisms normally swim at elevated speeds relative to cruising speeds only during strenuous activity, such as predation or escape. We measured swimming speeds of 29 ram ventilating sharks from 10 species and of three Atlantic bluefin tunas immediately after exhaustive exercise (fighting a capture by hook-and-line) and unexpectedly found all individuals exhibited a uniform mechanical response, with swimming speed initially two times higher than the cruising speeds reached approximately 6 h later. We hypothesized that elevated swimming behaviour is a means to increase energetic demand and drive the removal of lactate accumulated during capture via oxidation. To explore this hypothesis, we estimated the mechanical work that must have been spent by an animal to elevate its swim speed and then showed that the amount of lactate that could have been oxidized to fuel it comprises a significant portion of the amount of lactate normally observed in fishes after exhaustive exercise. An estimate for the full energetic cost of the catch-and-release event ensued.</t>
  </si>
  <si>
    <t>[Iosilevskii, G.] Technion, Dept Aerosp Engn, IL-32000 Haifa, Israel; [Kong, J. D.; Payne, N. L.] Trinity Coll Dublin, Sch Nat Sci, Dublin, Ireland; [Meyer, C. G.; Royer, M. A.; Coffey, D. M.] Univ Hawaii, Hawaii Inst Marine Biol, Kaneohe, HI 96744 USA; [Watanabe, Y. Y.] Natl Inst Polar Res, Tachikawa, Tokyo, Japan; [Papastamatiou, Y. P.] Florida Int Univ, Biol Sci, Miami, FL 33180 USA; [Nakamura, I] Nagasaki Univ, Org Marine Sci &amp; Technol, Nagasaki, Nagasaki 8512213, Japan; [Sato, K.] Univ Tokyo, Int Coastal Res Ctr, Atmosphere &amp; Ocean Res Inst, Morioka, Iwate, Japan; [Doyle, T. K.; Harman, L.] Univ Coll Cork, Zool Ecol &amp; Plant Sci Environm Res Inst, Cork T23 XE10, Ireland; [Houghton, J. D. R.] Queens Univ Belfast, Biol Sci, Belfast BT9 7BL, Antrim, North Ireland; [Barnett, A.] James Cook Univ, Cairns, Qld, Australia; [Semmens, J. M.] Univ Tasmania, Inst Marine &amp; Antarctic Studies, Hobart, Tas 7001, Australia; [Maoileidigh, N. O.; Drumm, A.; O'Neill, R.] Marine Inst, Newport, County Mayo, Ireland</t>
  </si>
  <si>
    <t>Technion Israel Institute of Technology; Trinity College Dublin; University of Hawaii System; Research Organization of Information &amp; Systems (ROIS); National Institute of Polar Research (NIPR) - Japan; State University System of Florida; Florida International University; Nagasaki University; University of Tokyo; University College Cork; Queens University Belfast; James Cook University; University of Tasmania; Marine Institute Ireland</t>
  </si>
  <si>
    <t>Payne, NL (corresponding author), Trinity Coll Dublin, Sch Nat Sci, Dublin, Ireland.</t>
  </si>
  <si>
    <t>paynen@tcd.ie</t>
  </si>
  <si>
    <t>Payne, Nicholas L/E-7811-2013; Brophy, Deirdre/JQW-0281-2023; Coffey, Daniel M/K-7599-2019</t>
  </si>
  <si>
    <t>Coffey, Daniel M/0000-0001-5983-0146; Payne, Nicholas/0000-0002-5274-471X; Kong, Jacinta/0000-0002-1085-8612; Semmens, Jayson/0000-0003-1742-6692; Nakamura, Itsumi/0000-0002-1386-7266</t>
  </si>
  <si>
    <t>10.1098/rsos.211869</t>
  </si>
  <si>
    <t>WOS:000858613000004</t>
  </si>
  <si>
    <t>Barr, ID; Spagnolo, M; Rea, BR; Bingham, RG; Oien, RP; Adamson, K; Ely, JC; Mullan, DJ; Pellitero, R; Tomkins, MD</t>
  </si>
  <si>
    <t>Barr, Iestyn D.; Spagnolo, Matteo; Rea, Brice R.; Bingham, Robert G.; Oien, Rachel P.; Adamson, Kathryn; Ely, Jeremy C.; Mullan, Donal J.; Pellitero, Ramon; Tomkins, Matt D.</t>
  </si>
  <si>
    <t>60 million years of glaciation in the Transantarctic Mountains</t>
  </si>
  <si>
    <t>ANTARCTIC ICE-SHEET; VICTORIA LAND; CIRQUES; EOCENE; GREENHOUSE; VEGETATION; GLACIERS; CLIMATE; RECORD; TUNDRA</t>
  </si>
  <si>
    <t>The Antarctic continent reached its current polar location similar to 83 Ma and became shrouded by ice sheets similar to 34 Ma, coincident with dramatic global cooling at the Eocene-Oligocene boundary. However, it is not known whether the first Antarctic glaciers formed immediately prior to this or were present significantly earlier. Here we show that mountain glaciers were likely present in the Transantarctic Mountains during the Late Palaeocene (similar to 60-56 Ma) and middle Eocene (similar to 48-40 Ma). Temperate (warm-based) glaciers were prevalent during the Late Eocene (similar to 40-34 Ma) and, in reduced numbers, during the Oligocene (similar to 34-23 Ma), before larger, likely cold-based, ice masses (including ice sheets) dominated. Some temperate mountain glaciers were present during the Miocene Climatic Optimum (similar to 15 Ma), before a widespread switch to cold-based glaciation. Our findings highlight the longevity of glaciation in Antarctica and suggest that glaciers were present even during the Early-Cenozoic greenhouse world.</t>
  </si>
  <si>
    <t>[Barr, Iestyn D.; Adamson, Kathryn] Manchester Metropolitan Univ, Dept Nat Sci, Manchester, Lancs, England; [Barr, Iestyn D.; Adamson, Kathryn; Tomkins, Matt D.] Cryosphere Res Manchester, Manchester, Lancs, England; [Spagnolo, Matteo; Rea, Brice R.; Oien, Rachel P.] Univ Aberdeen, Sch Geosci, Aberdeen, Scotland; [Bingham, Robert G.] Univ Edinburgh, Sch GeoSci, Drummond St, Edinburgh, Midlothian, Scotland; [Ely, Jeremy C.] Univ Sheffield, Dept Geog, Sheffield, S Yorkshire, England; [Mullan, Donal J.] Queens Univ Belfast, Sch Nat &amp; Built Environm, Belfast, Antrim, North Ireland; [Pellitero, Ramon] Univ Nacl Educ Distancia UNED, Dept Geog, Madrid, Spain; [Tomkins, Matt D.] Univ Manchester, Dept Geog, Manchester, Lancs, England</t>
  </si>
  <si>
    <t>Manchester Metropolitan University; University of Aberdeen; University of Edinburgh; University of Sheffield; Queens University Belfast; Universidad Nacional de Educacion a Distancia (UNED); University of Manchester</t>
  </si>
  <si>
    <t>Barr, ID (corresponding author), Manchester Metropolitan Univ, Dept Nat Sci, Manchester, Lancs, England.;Barr, ID (corresponding author), Cryosphere Res Manchester, Manchester, Lancs, England.</t>
  </si>
  <si>
    <t>i.barr@mmu.ac.uk</t>
  </si>
  <si>
    <t>Bingham, Robert G/G-3576-2017; Barr, Iestyn/L-2596-2013</t>
  </si>
  <si>
    <t>Barr, Iestyn/0000-0002-9066-8738; Ely, Jeremy/0000-0003-4007-1500; Oien, Rachel P./0000-0002-3276-3403; Pellitero, Ramon/0000-0002-0283-379X; Rea, Brice/0000-0002-9928-145X; Spagnolo, Matteo/0000-0002-2753-338X; Tomkins, Matt/0000-0001-5403-7405; Mullan, Donal/0000-0002-6363-3150</t>
  </si>
  <si>
    <t>Polar Geospatial Center under NSF-OPP award [1543501, 1810976, 1542736, 1559691, 1043681, 1541332, 0753663, 1548562, 1238993]; NERC [NE/R014574/1]; Scottish Association for Environment, Geoscience and Society (SAGES); NASA [NNX10AN61G]; Direct For Computer &amp; Info Scie &amp; Enginr; Office of Advanced Cyberinfrastructure (OAC) [1541332] Funding Source: National Science Foundation; Direct For Computer &amp; Info Scie &amp; Enginr; Office of Advanced Cyberinfrastructure (OAC) [1810976] Funding Source: National Science Foundation; Office of Polar Programs (OPP); Directorate For Geosciences [1543501, 1542736] Funding Source: National Science Foundation; Office of Polar Programs (OPP); Directorate For Geosciences [1559691, 0753663] Funding Source: National Science Foundation</t>
  </si>
  <si>
    <t>Polar Geospatial Center under NSF-OPP award; NERC(UK Research &amp; Innovation (UKRI)Natural Environment Research Council (NERC)); Scottish Association for Environment, Geoscience and Society (SAGES); NASA(National Aeronautics &amp; Space Administration (NASA)); Direct For Computer &amp; Info Scie &amp; Enginr; Office of Advanced Cyberinfrastructure (OAC)(National Science Foundation (NSF)NSF - Directorate for Computer &amp; Information Science &amp; Engineering (CISE)); Direct For Computer &amp; Info Scie &amp; Enginr; Office of Advanced Cyberinfrastructure (OAC)(National Science Foundation (NSF)NSF - Directorate for Computer &amp; Information Science &amp; Engineering (CISE)); Office of Polar Programs (OPP); Directorate For Geosciences(National Science Foundation (NSF)NSF - Directorate for Geosciences (GEO)); Office of Polar Programs (OPP); Directorate For Geosciences(National Science Foundation (NSF)NSF - Directorate for Geosciences (GEO))</t>
  </si>
  <si>
    <t>DEMs provided by the Byrd Polar and Climate Research Center and the Polar Geospatial Center under NSF-OPP awards 1543501, 1810976, 1542736, 1559691, 1043681, 1541332, 0753663, 1548562, 1238993, and NASA award NNX10AN61G. Computer time is provided through a Blue Waters Innovation Initiative. DEMs produced using data from DigitalGlobe, Inc. J.C.E. acknowledges support from a NERC independent fellowship award (NE/R014574/1). I.D.B., M.S., B.R.R., R.G.B., and R.P.O. acknowledge support from the Scottish Association for Environment, Geoscience and Society (SAGES) in funding R.P.O.'s Ph.D. scholarship and a sequence of annual science meetings at which the ideas for this manuscript were developed and consolidated.</t>
  </si>
  <si>
    <t>10.1038/s41467-022-33310-z</t>
  </si>
  <si>
    <t>4R9EX</t>
  </si>
  <si>
    <t>Green Published, Green Accepted, gold</t>
  </si>
  <si>
    <t>WOS:000857058900003</t>
  </si>
  <si>
    <t>Vidal, JM; Fonseca, A; Ruiz, P; Sepúlveda, D; Carrasco, C; Scilipoti, S; Barros, J; Valenzuela, A; Saavedra, R; Ruiz-Tagle, N; Urrutia, H</t>
  </si>
  <si>
    <t>Vidal, Jose M.; Fonseca, Alexis; Ruiz, Pamela; Sepulveda, Daniela; Carrasco, Carlos; Scilipoti, Stefano; Barros, Javier; Valenzuela, Ariel; Saavedra, Ricardo; Ruiz-Tagle, Nathaly; Urrutia, Homero</t>
  </si>
  <si>
    <t>Genomic features of Pseudomonas sp. RGM2144 correlates with increased survival of rainbow trout infected by Flavobacterium psychrophylum</t>
  </si>
  <si>
    <t>JOURNAL OF FISH DISEASES</t>
  </si>
  <si>
    <t>Antarctic bacteria; Flavobacterium psychrophilum; genome; probiotic; Pseudomonas</t>
  </si>
  <si>
    <t>COLDWATER DISEASE; ONCORHYNCHUS-MYKISS; INHIBITORY-ACTIVITY; MICROBIAL GENOMES; FRY SYNDROME; SP NOV.; AERUGINOSA; PROTECTION; RESISTANCE; SEQUENCE</t>
  </si>
  <si>
    <t>This study evaluated the probiotic potential of the biofilm formed by the strain Pseudomonas sp. RGM2144 on rainbow trout survival. When challenged with the fish pathogen Flavobacterium psychrophylum, Pseudomonas sp. RGM2144 increased rainbow trout survival to 92.7 +/- 1.2% (control: 35.3 +/- 9.5%, p&lt;.0001). The draft genome of Pseudomonas sp. RGM2144 is 6.8 Mbp long, with a completeness 100% and a contamination of 0,4%. The genome contains 6122 protein-coding genes of which 3564 (similar to 60%) have known functions. The genome and phylogeny indicate that Pseudomonas sp. RGM2144 is a new species in the Pseudomonas genus, with few virulence factors, plasmids, and genes associated with antimicrobial resistance, suggesting a non-pathogenic bacterium with protective potential. In addition, the genome encodes for 11 secondary metabolite biosynthetic gene clusters that could be involved in the inhibition of F. psychrophilum. We suggest that Pseudomonas sp. RGM2144 may be applied as a probiotic in salmonid fish farming.</t>
  </si>
  <si>
    <t>[Vidal, Jose M.; Fonseca, Alexis; Ruiz, Pamela; Sepulveda, Daniela; Carrasco, Carlos; Saavedra, Ricardo; Ruiz-Tagle, Nathaly; Urrutia, Homero] Univ Concepcion, Ctr Biotecnol, Lab Biopeliculas &amp; Microbiol Ambiental, Concepcion, Chile; [Vidal, Jose M.] Ecombio Ltd, Dept Invest &amp; Desarrollo, Concepcion, Chile; [Fonseca, Alexis] Univ Concepcion, Fac Ciencias Nat &amp; Oceanog, Lab Bentos, Concepcion, Chile; [Fonseca, Alexis] Aarhus Univ, Dept Biol, Ctr Electromicrobiol, Aarhus, Denmark; [Ruiz, Pamela] Univ Andres Bello, Fac Ciencias Vida, Dept Ciencias Biol, Talcahuano, Chile; [Barros, Javier] Dept Invest &amp; Desarrollo, Concepcion, Chile; [Valenzuela, Ariel] Univ Concepcion, Fac Ciencias Nat &amp; Oceanog, Dept Oceanog, Lab Piscicultura &amp; Patol Acuat, Concepcion, Chile; [Urrutia, Homero] Univ Concepcion, Fac Ciencias Biol, Dept Microbiol, Concepcion, Chile</t>
  </si>
  <si>
    <t>Universidad de Concepcion; Universidad de Concepcion; Aarhus University; Universidad Andres Bello; Universidad de Concepcion; Universidad de Concepcion</t>
  </si>
  <si>
    <t>Ruiz-Tagle, N (corresponding author), Univ Concepcion, Ctr Biotecnol, Lab Biopeliculas &amp; Microbiol Ambiental, Concepcion, Chile.;Urrutia, H (corresponding author), Univ Concepcion, Fac Ciencias Biol, Dept Microbiol, Concepcion, Chile.</t>
  </si>
  <si>
    <t>nruiztag@gmail.com; hurrutia@udec.cl</t>
  </si>
  <si>
    <t>RUIZ-TAGLE, NATHALY M/K-7781-2017; Ruiz, Pamela/AFC-9606-2022</t>
  </si>
  <si>
    <t>Ruiz, Pamela/0000-0003-0093-4439; Valenzuela, Ariel/0000-0002-2104-7882; Fonseca, Alexis/0000-0003-4580-6270</t>
  </si>
  <si>
    <t>Agencia Nacional de Investigacion y Desarrollo (ANID) of Chile [T18I0108]</t>
  </si>
  <si>
    <t>Agencia Nacional de Investigacion y Desarrollo (ANID) of Chile</t>
  </si>
  <si>
    <t>Agencia Nacional de Investigacion y Desarrollo (ANID) of Chile through the Project Fondef IT NO T18I0108</t>
  </si>
  <si>
    <t>0140-7775</t>
  </si>
  <si>
    <t>1365-2761</t>
  </si>
  <si>
    <t>J FISH DIS</t>
  </si>
  <si>
    <t>J. Fish Dis.</t>
  </si>
  <si>
    <t>10.1111/jfd.13713</t>
  </si>
  <si>
    <t>Fisheries; Marine &amp; Freshwater Biology; Veterinary Sciences</t>
  </si>
  <si>
    <t>6U8QU</t>
  </si>
  <si>
    <t>WOS:000855897000001</t>
  </si>
  <si>
    <t>Brils, M; Munneke, PK; van de Berg, WJ; van den Broeke, M</t>
  </si>
  <si>
    <t>Brils, Max; Munneke, Peter Kuipers; van de Berg, Willem Jan; van den Broeke, Michiel</t>
  </si>
  <si>
    <t>Improved representation of the contemporary Greenland ice sheet firn layer by IMAU-FDM v1.2G</t>
  </si>
  <si>
    <t>GEOSCIENTIFIC MODEL DEVELOPMENT</t>
  </si>
  <si>
    <t>SURFACE MASS-BALANCE; MELTWATER STORAGE; SNOW ACCUMULATION; INTERANNUAL VARIATIONS; ANTARCTIC SNOW; MODEL; CLIMATE; DENSIFICATION; ELEVATION; ENERGY</t>
  </si>
  <si>
    <t>The firn layer that covers 90 % of the Greenland ice sheet (GrIS) plays an important role in determining the response of the ice sheet to climate change. Meltwater can percolate into the firn layer and refreeze at greater depths, thereby temporarily preventing mass loss. However, as global warming leads to increasing surface melt, more surface melt may refreeze in the firn layer, thereby reducing the capacity to buffer subsequent episodes of melt. This can lead to a tipping point in meltwater runoff. It is therefore important to study the evolution of the Greenland firn layer in the past, present and future. In this study, we present the latest version of our firn model, IMAU-FDM (Firn Densification Model) v1.2G, with an application to the GrIS. We improved the density of freshly fallen snow, the dry-snow densification rate and the firn's thermal conductivity using recently published parametrizations and by calibration to an extended set of observations of firn density, temperature and liquid water content at the GrIS. Overall, the updated model settings lead to higher firn air content and higher 10 m firn temperatures, owing to a lower density near the surface. The effect of the new model settings on the surface elevation change is investigated through three case studies located at Summit, KAN-U and FA-13. Most notably, the updated model shows greater inter- and intra-annual variability in elevation and an increased sensitivity to climate forcing.</t>
  </si>
  <si>
    <t>[Brils, Max; Munneke, Peter Kuipers; van de Berg, Willem Jan; van den Broeke, Michiel] Univ Utrecht, Inst Marine &amp; Atmospher Res, Utrecht, Netherlands</t>
  </si>
  <si>
    <t>Utrecht University</t>
  </si>
  <si>
    <t>Brils, M (corresponding author), Univ Utrecht, Inst Marine &amp; Atmospher Res, Utrecht, Netherlands.</t>
  </si>
  <si>
    <t>m.brils@uu.nl</t>
  </si>
  <si>
    <t>Van den Broeke, Michiel R./F-7867-2011; van de Berg, Willem Jan/H-4385-2011; Brils, Max/JLL-2391-2023</t>
  </si>
  <si>
    <t>Van den Broeke, Michiel R./0000-0003-4662-7565; van de Berg, Willem Jan/0000-0002-8232-2040; Brils, Max/0000-0002-3532-1918</t>
  </si>
  <si>
    <t>Ministry of Education, Culture and Science (OCW grant) [024.002.001]</t>
  </si>
  <si>
    <t>Ministry of Education, Culture and Science (OCW grant)</t>
  </si>
  <si>
    <t>This work was carried out under the programme of the Netherlands Earth System Science Centre (NESSC), financially supported by the Ministry of Education, Culture and Science (OCW grant no. 024.002.001). We acknowledge ECMWF for computational time on their supercomputers.</t>
  </si>
  <si>
    <t>1991-959X</t>
  </si>
  <si>
    <t>1991-9603</t>
  </si>
  <si>
    <t>GEOSCI MODEL DEV</t>
  </si>
  <si>
    <t>Geosci. Model Dev.</t>
  </si>
  <si>
    <t>10.5194/gmd-15-7121-2022</t>
  </si>
  <si>
    <t>4Q0GJ</t>
  </si>
  <si>
    <t>WOS:000855765100001</t>
  </si>
  <si>
    <t>Salleh, S; McMinn, A</t>
  </si>
  <si>
    <t>Salleh, Sazlina; McMinn, Andrew</t>
  </si>
  <si>
    <t>Combined effects of high temperature and light on the photosynthetic parameters and recovery of temperate microphytobenthos in Browns River, Tasmania</t>
  </si>
  <si>
    <t>JOURNAL OF THE MARINE BIOLOGICAL ASSOCIATION OF THE UNITED KINGDOM</t>
  </si>
  <si>
    <t>Benthic diatom; chlorophyll fluorescence; climate; intertidal flats; light; maximum quantum yield; photosynthesis</t>
  </si>
  <si>
    <t>BENTHIC DIATOM ASSEMBLAGES; INTERTIDAL MICROPHYTOBENTHOS; CHLOROPHYLL FLUORESCENCE; UNICELLULAR ALGAE; XANTHOPHYLL-CYCLE; PHYTOPLANKTON; MICROALGAE; IRRADIANCE; DYNAMICS; YIELD</t>
  </si>
  <si>
    <t>Microphytobenthos (MPB) communities are responsible for most primary production in shallow intertidal mudflats. The effects of short-term changes in temperature and light (1200, 500 and 0 mu mol photons m(-2) s(-1)) on the photosynthetic activity of intertidal MPB communities of Browns River, Tasmania, during winter (0, 5, 10 and 15 degrees C) and summer (20, 25, 30, 35 and 40 degrees C) were examined using a Pulse Amplitude Modulated (Water PAM) fluorometer. The MPB communities were primarily dominated by the diatom genera Navicula, Cocconeis and Amphora, with a difference in species dominance during seasons. During summer, Amphora coffeaeformis dominated communities were significantly impacted by temperatures above 30 degrees C regardless of light intensities. The MPB was able to photosynthesize at temperatures only up to 25 degrees C. The rETRmax at 25 degrees C, ranged from 39.18 +/- 3.42 (500 mu mol photons m(-2) s(-1)) to 22.83 +/- 1.05 (0 mu mol photons m(-2) s(-1)), which was lower than the values recorded at an equivalent irradiance in in-situ summer. However, if ambient temperature exceeds 25 degrees C in summer, it is likely that the photosynthetic capabilities of the MPB will be diminished and it will cause irreversible photoinhibition.</t>
  </si>
  <si>
    <t>[Salleh, Sazlina] Univ Sains Malaysia, Ctr Policy Res &amp; Int Studies CenPRIS, Minden 11800, Puiau Pinang, Malaysia; [Salleh, Sazlina] Univ Sains Malaysia, Ctr Marine &amp; Coastal Studies CEMACS, Minden 11800, Puiau Pinang, Malaysia; [McMinn, Andrew] Univ Tasmania, Inst Marine &amp; Antarctic Studies IMAS, Box 252-77, Hobart, Tas 7001, Australia; [McMinn, Andrew] Ocean Univ China, Coll Life Sci, Qingdao, Peoples R China</t>
  </si>
  <si>
    <t>Universiti Sains Malaysia; Universiti Sains Malaysia; University of Tasmania; Ocean University of China</t>
  </si>
  <si>
    <t>Salleh, S (corresponding author), Univ Sains Malaysia, Ctr Policy Res &amp; Int Studies CenPRIS, Minden 11800, Puiau Pinang, Malaysia.;Salleh, S (corresponding author), Univ Sains Malaysia, Ctr Marine &amp; Coastal Studies CEMACS, Minden 11800, Puiau Pinang, Malaysia.</t>
  </si>
  <si>
    <t>sazlina@usm.my</t>
  </si>
  <si>
    <t>Salleh, Sazlina/I-1150-2012</t>
  </si>
  <si>
    <t>Salleh, Sazlina/0000-0002-8789-3387</t>
  </si>
  <si>
    <t>Universiti Sains Malaysia [1001/CDASAR/8011046, 304/CDASAR/6311108]; University of Tasmania</t>
  </si>
  <si>
    <t>Universiti Sains Malaysia(Universiti Sains Malaysia); University of Tasmania</t>
  </si>
  <si>
    <t>This work was supported by funding from the Universiti Sains Malaysia (1001/CDASAR/8011046 &amp; 304/CDASAR/6311108) and University of Tasmania.</t>
  </si>
  <si>
    <t>0025-3154</t>
  </si>
  <si>
    <t>1469-7769</t>
  </si>
  <si>
    <t>J MAR BIOL ASSOC UK</t>
  </si>
  <si>
    <t>J. Mar. Biol. Assoc. U.K.</t>
  </si>
  <si>
    <t>SEP</t>
  </si>
  <si>
    <t>PII S0025315422000686</t>
  </si>
  <si>
    <t>10.1017/S0025315422000686</t>
  </si>
  <si>
    <t>6D3BZ</t>
  </si>
  <si>
    <t>WOS:000855963100001</t>
  </si>
  <si>
    <t>Yasunaga, G; Inoue, S; Bando, T; Hakamada, T; Fujise, Y</t>
  </si>
  <si>
    <t>Yasunaga, Genta; Inoue, Satoko; Bando, Takeharu; Hakamada, Takashi; Fujise, Yoshihiro</t>
  </si>
  <si>
    <t>Aspartic acid enantiomer quantification using ultraperformance liquid chromatography-tandem mass spectroscopy combined with deuterium-chloride hydrolysis to improve age estimation in Antarctic minke whale Balaenoptera bonaerensis</t>
  </si>
  <si>
    <t>MARINE MAMMAL SCIENCE</t>
  </si>
  <si>
    <t>AAR; age estimation; aging; Antarctic minke whale; aspartic acid; crystallin; lens; racemization</t>
  </si>
  <si>
    <t>AMINO-ACIDS; RACEMIZATION; ENANTIOSEPARATION; SPECTROMETRY; PROTEINS; GROWTH</t>
  </si>
  <si>
    <t>Aspartic acid racemization is a useful tool for estimating age in marine mammals; however, acid hydrolysis during sample preparation may increase the D- to L-enantiomer ratio. To improve age estimation in Antarctic minke whale (Balaenoptera bonaerensis), we optimized the quantification of aspartic acid enantiomers in ocular lens by using ultraperformance liquid chromatography-tandem mass spectrometry combined with sample preparation by hydrolysis with deuterium chloride. Using this approach, we determined D/L in fetal and adult whale lens, examined the degree of racemization induced by acid hydrolysis, and constructed equations for age estimation. In the fetal lens, D/L obtained after hydrolysis with HCl or DCl were positively correlated with gestation age. Estimates of D/L at birth using a DCl-hydrolysis model were much lower than those obtained using a HCl-hydrolysis model, indicating that racemization during hydrolysis with HCl reduces the precision of subsequently derived age estimates. Furthermore, the D/L-0 unaffected by Asp-D generated during hydrolysis was estimated. The log(e)[(1 + D/L)/(1 - D/L)] value was exponentially increased with increasing earplug-derived age, and the standard error of the age estimates after hydrolysis with DCl was lower than that after HCl. We conclude that our method can provide precise age estimates without methodological bias.</t>
  </si>
  <si>
    <t>[Yasunaga, Genta; Inoue, Satoko; Bando, Takeharu; Hakamada, Takashi; Fujise, Yoshihiro] Inst Cetacean Res, Tokyo, Japan</t>
  </si>
  <si>
    <t>Yasunaga, G (corresponding author), Inst Cetacean Res, Chuo Ku, 4-5 Toyomi Cho, Tokyo 1040055, Japan.</t>
  </si>
  <si>
    <t>yasunaga@cetacean.jp</t>
  </si>
  <si>
    <t>Yasunaga, Genta/0000-0001-5599-6851</t>
  </si>
  <si>
    <t>0824-0469</t>
  </si>
  <si>
    <t>1748-7692</t>
  </si>
  <si>
    <t>MAR MAMMAL SCI</t>
  </si>
  <si>
    <t>Mar. Mamm. Sci.</t>
  </si>
  <si>
    <t>10.1111/mms.12977</t>
  </si>
  <si>
    <t>C9MH4</t>
  </si>
  <si>
    <t>WOS:000855704200001</t>
  </si>
  <si>
    <t>Clere, IK; Ahmmed, F; Remoto, PIIIJG; Fraser-Miller, SJ; Gordon, KC; Komyakova, V; Allan, BJM</t>
  </si>
  <si>
    <t>Clere, Isabella K.; Ahmmed, Fatema; Remoto, Peter I. I. I. J. G.; Fraser-Miller, Sara J.; Gordon, Keith C.; Komyakova, Valeriya; Allan, Bridie J. M.</t>
  </si>
  <si>
    <t>Quantification and characterization of microplastics in commercial fish from southern New Zealand</t>
  </si>
  <si>
    <t>Marine plastic pollution; Contamination; Ingestion; Seafood; South Pacific; Raman spectroscopy</t>
  </si>
  <si>
    <t>PLASTIC INGESTION; DEMERSAL FISH; ANTHROPOGENIC PARTICLES; RAMAN-SPECTROSCOPY; NORTH-SEA; MARINE; IDENTIFICATION; POLLUTION; ATLANTIC; WASTE</t>
  </si>
  <si>
    <t>Plastics are ubiquitous throughout global marine ecosystems. To date, there has been limited research on the prevalence of microplastic ingestion by commercially important marine fish in the southern hemisphere, particularly in the South Pacific. Therefore, this research aimed to quantify ingested microplastics from ten commercially important fish species from southern New Zealand using microscopy and Raman spectroscopy. Overall, we found evidence of microplastic ingestion in 75 % of fish, with an average of 2.5 individual particles per fish. Microplastic fibers were the most commonly ingested. The most common colored microplastics ingested were blue, black and red, and 99.68 % of plastics identified were smaller than 5 mm. Raman spectroscopy of plastics recovered from nine fish species found polyethylene and polypropylene to be the most common plastic polymers ingested. Further research is necessary to ascertain the human ecological and health risks involved when exposed to microplastics through eating plastic contaminated fish.</t>
  </si>
  <si>
    <t>[Clere, Isabella K.; Allan, Bridie J. M.] Univ Otago, Dept Marine Sci, Dunedin 9012, New Zealand; [Ahmmed, Fatema; Remoto, Peter I. I. I. J. G.; Fraser-Miller, Sara J.; Gordon, Keith C.] Univ Otago, Dept Chem, Dunedin 9012, New Zealand; [Komyakova, Valeriya] Univ Tasmania, Inst Marine &amp; Antarctic Studies, Hobart, Tas 7001, Australia; [Komyakova, Valeriya] Univ Tasmania, Ctr Marine Socioecol, Hobart, Tas 7053, Australia</t>
  </si>
  <si>
    <t>University of Otago; University of Otago; University of Tasmania; University of Tasmania</t>
  </si>
  <si>
    <t>Clere, IK (corresponding author), Univ Otago, Dept Marine Sci, Dunedin 9012, New Zealand.</t>
  </si>
  <si>
    <t>cleis266@student.otago.ac.nz</t>
  </si>
  <si>
    <t>Miller, Sara Jane/J-5032-2019; Komyakova, Valeriya/H-4632-2013</t>
  </si>
  <si>
    <t>Miller, Sara Jane/0000-0003-1061-2441;</t>
  </si>
  <si>
    <t>10.1016/j.marpolbul.2022.114121</t>
  </si>
  <si>
    <t>5U7IJ</t>
  </si>
  <si>
    <t>WOS:000876716300005</t>
  </si>
  <si>
    <t>Yang, R; Yu, LJ; Jagovkina, S; Liang, KX; Yang, QH</t>
  </si>
  <si>
    <t>Yang, Ran; Yu, Lejiang; Jagovkina, Svetlana; Liang, Kaixin; Yang, Qinghua</t>
  </si>
  <si>
    <t>Comparison of features of extreme precipitation between stations in inland and coastal Antarctica</t>
  </si>
  <si>
    <t>INTERNATIONAL JOURNAL OF CLIMATOLOGY</t>
  </si>
  <si>
    <t>Antarctic precipitation; extreme events; statistical analyses; synoptic patterns; water vapour transport</t>
  </si>
  <si>
    <t>SURFACE MASS-BALANCE; SELF-ORGANIZING MAPS; SNOW ACCUMULATION; TRAJECTORIES; RESOLUTION; INTERIOR; INSIGHTS; PLATEAU; LAND; SOM</t>
  </si>
  <si>
    <t>This study presents different characteristics of precipitation and synoptic-scale circulation associated with extreme precipitation events in inland and coastal Antarctica. The focus is on two stations, inland Vostok and coastal Casey. We use observed daily precipitation data from years 2004-2017 to investigate and compare the statistics on precipitation at both stations. The key areas for synoptic features favouring extreme precipitation are identified on the basis of air-mass backward trajectories, computed applying the Lagrangian HYSPLIT model. The air moisture accounting for high-precipitation events originates from the ocean but in many (some) cases the trajectories cover long distances over the ice sheet before reaching Vostok (Casey). Multiple statistical methods including composite analysis, empirical orthogonal functions (EOF), and self-organizing maps (SOMs) are used to examine the full view of synoptic patterns. At Vostok in the inland high plateau, ERA-Interim reanalysis shows that the synoptic patterns governing the extreme precipitation events are relatively complicated. Amplified planetary waves allow water vapour to reach the Vostok Station from different source regions, including the Weddell Sea, Ross Sea, and the Indian Ocean off the Amery Ice Shelf. A dipole structure of negative height anomalies to the west and positive ones to the east of the station is identified as the cause of southward water vapour transport and resulting precipitation at Casey in coastal Antarctica.</t>
  </si>
  <si>
    <t>[Yang, Ran; Liang, Kaixin; Yang, Qinghua] Sun Yat Sen Univ, Sch Atmospher Sci, Zhuhai, Peoples R China; [Yang, Ran; Liang, Kaixin; Yang, Qinghua] Southern Marine Sci &amp; Engn Guangdong Lab Zhuhai, Zhuhai, Peoples R China; [Yu, Lejiang] Polar Res Inst China, MNR Key Lab Polar Sci, Shanghai, Peoples R China; [Jagovkina, Svetlana] Arctic &amp; Antarctic Res Inst, St Petersburg, Russia</t>
  </si>
  <si>
    <t>Sun Yat Sen University; Southern Marine Science &amp; Engineering Guangdong Laboratory; Southern Marine Science &amp; Engineering Guangdong Laboratory (Zhuhai); Polar Research Institute of China; Arctic &amp; Antarctic Research Institute</t>
  </si>
  <si>
    <t>Yang, QH (corresponding author), Sun Yat Sen Univ, Sch Atmospher Sci, Zhuhai, Peoples R China.;Yang, QH (corresponding author), Southern Marine Sci &amp; Engn Guangdong Lab Zhuhai, Zhuhai, Peoples R China.</t>
  </si>
  <si>
    <t>yangqh25@mail.sysu.edu.cn</t>
  </si>
  <si>
    <t>李, 嘉馨/IWM-4023-2023; liu, xy/JEP-3175-2023; Yang, Ying/ADL-4165-2022; Yan, Miaochen/JLL-5061-2023; Liu, Zhiyu/JNR-8043-2023; yang, yun/IZE-1092-2023; wang, zhiwen/JDV-9990-2023; Zhao, Yi/JFA-7988-2023; Liu, Yixuan/JFJ-2820-2023; liu, xinyu/IWD-6630-2023; Wang, Guang/JFS-8374-2023; yang, zhou/JKI-3744-2023; Li, Xiaoli/JVZ-4089-2024; yang, liu/JXX-5043-2024; Wang, Ling/AGR-4917-2022; sun, chen/JCP-0396-2023; li, wei/IUQ-2973-2023; Yang, Fei/JLM-3367-2023; 王, 娅冰/JGE-0541-2023; liu, lingling/IUQ-7478-2023; li, zhang/JHV-1750-2023; ZHOU, YUE/IZE-6277-2023</t>
  </si>
  <si>
    <t>Yang, Ying/0000-0002-3469-7681; Liu, Zhiyu/0000-0001-8351-1268; Wang, Ling/0000-0003-0272-2974; Yu, Lejiang/0000-0003-0535-1937</t>
  </si>
  <si>
    <t>National Natural Science Foundation of China [41941009, 41922044, 42075028]; Guangdong Basic and Applied Basic Research Foundation [2020B1515020025]</t>
  </si>
  <si>
    <t>National Natural Science Foundation of China(National Natural Science Foundation of China (NSFC)); Guangdong Basic and Applied Basic Research Foundation</t>
  </si>
  <si>
    <t>National Natural Science Foundation of China, Grant/Award Numbers: 41941009, 41922044, 42075028; Guangdong Basic and Applied Basic Research Foundation, Grant/Award Number: 2020B1515020025</t>
  </si>
  <si>
    <t>0899-8418</t>
  </si>
  <si>
    <t>1097-0088</t>
  </si>
  <si>
    <t>INT J CLIMATOL</t>
  </si>
  <si>
    <t>Int. J. Climatol.</t>
  </si>
  <si>
    <t>FEB</t>
  </si>
  <si>
    <t>10.1002/joc.7856</t>
  </si>
  <si>
    <t>9B9AO</t>
  </si>
  <si>
    <t>WOS:000855708600001</t>
  </si>
  <si>
    <t>Fudge, TJ; Hills, BH; Horlings, AN; Holschuh, N; Christian, JE; Davidge, L; Hoffman, A; O'Connor, GK; Christianson, K; Steig, EJ</t>
  </si>
  <si>
    <t>Fudge, T. J.; Hills, Benjamin H.; Horlings, Annika N.; Holschuh, Nicholas; Christian, John Erich; Davidge, Lindsey; Hoffman, Andrew; O'Connor, Gemma K.; Christianson, Knut; Steig, Eric J.</t>
  </si>
  <si>
    <t>A site for deep ice coring at West Hercules Dome: results from ground-based geophysics and modeling</t>
  </si>
  <si>
    <t>Antarctic glaciology; ice core; radio-echo sounding</t>
  </si>
  <si>
    <t>CORE WD2014 CHRONOLOGY; STABLE WATER ISOTOPES; SHEET; ANTARCTICA; TEMPERATURE; RADAR; FIRN; FLOW; ACCUMULATION; COLLAPSE</t>
  </si>
  <si>
    <t>Hercules Dome, Antarctica, has long been identified as a prospective deep ice core site due to the undisturbed internal layering, climatic setting and potential to obtain proxy records from the Last Interglacial (LIG) period when the West Antarctic ice sheet may have collapsed. We performed a geophysical survey using multiple ice-penetrating radar systems to identify potential locations for a deep ice core at Hercules Dome. The surface topography, as revealed with recent satellite observations, is more complex than previously recognized. The most prominent dome, which we term 'West Dome', is the most promising region for a deep ice core for the following reasons: (1) bed-conformal radar reflections indicate minimal layer disturbance and extend to within tens of meters of the ice bottom; (2) the bed is likely frozen, as evidenced by both the shape of the measured vertical ice velocity profiles beneath the divide and modeled ice temperature using three remotely sensed estimates of geothermal flux and (3) models of layer thinning have 132 ka old ice at 45-90 m above the bed with an annual layer thickness of similar to 1 mm, satisfying the resolution and preservation needed for detailed analysis of the LIG period.</t>
  </si>
  <si>
    <t>[Fudge, T. J.; Hills, Benjamin H.; Horlings, Annika N.; Davidge, Lindsey; Hoffman, Andrew; O'Connor, Gemma K.; Christianson, Knut; Steig, Eric J.] Univ Washington, Dept Earth &amp; Space Sci, Seattle, WA 98195 USA; [Hills, Benjamin H.] Univ Washington, Appl Phys Lab, Seattle, WA 98105 USA; [Holschuh, Nicholas] Amherst Coll, Dept Geol, Amherst, MA USA; [Christian, John Erich] Georgia Tech, Sch Earth &amp; Atmospher Sci, Austin, GA USA; [Christian, John Erich] Univ Texas Austin, Inst Geophys, Austin, TX USA</t>
  </si>
  <si>
    <t>University of Washington; University of Washington Seattle; University of Washington; University of Washington Seattle; Amherst College; University of Texas System; University of Texas Austin</t>
  </si>
  <si>
    <t>Fudge, TJ (corresponding author), Univ Washington, Dept Earth &amp; Space Sci, Seattle, WA 98195 USA.</t>
  </si>
  <si>
    <t>tjfudge@uw.edu</t>
  </si>
  <si>
    <t>Hills, Benjamin/HKW-4327-2023; Steig, Eric J/G-9088-2015</t>
  </si>
  <si>
    <t>Hills, Benjamin/0000-0003-4490-7416; Holschuh, Nicholas/0000-0003-1703-5085; Christian, John Erich/0000-0002-7290-1137; Fudge, Tyler/0000-0002-6818-7479; Davidge, Lindsey/0000-0002-1283-7508</t>
  </si>
  <si>
    <t>NSF-OPP [1744649, 1841844]; Office of Polar Programs (OPP); Directorate For Geosciences [1744649] Funding Source: National Science Foundation</t>
  </si>
  <si>
    <t>NSF-OPP(National Science Foundation (NSF)NSF - Directorate for Geosciences (GEO)); Office of Polar Programs (OPP); Directorate For Geosciences(National Science Foundation (NSF)NSF - Directorate for Geosciences (GEO))</t>
  </si>
  <si>
    <t>This study was supported by NSF-OPP awards 1744649 and 1841844. We acknowledge the Antarctic Support Contractor and the Air National Guard for logistical support. We also thank Erika Schreiber for conducting ApRES measurements in the 2021/22 season.</t>
  </si>
  <si>
    <t>PII S0022143022000806</t>
  </si>
  <si>
    <t>10.1017/jog.2022.80</t>
  </si>
  <si>
    <t>WOS:000855569300001</t>
  </si>
  <si>
    <t>Baldacchino, F; Morlighem, M; Golledge, NR; Horgan, H; Malyarenko, A</t>
  </si>
  <si>
    <t>Baldacchino, Francesca; Morlighem, Mathieu; Golledge, Nicholas R.; Horgan, Huw; Malyarenko, Alena</t>
  </si>
  <si>
    <t>Sensitivity of the Ross Ice Shelf to environmental and glaciological controls</t>
  </si>
  <si>
    <t>GROUNDING-LINE; WEST ANTARCTICA; SHEAR MARGINS; SHEET; STREAM; FLOW; DRIVEN; SEA; MECHANISM; GLACIER</t>
  </si>
  <si>
    <t>The Ross Ice Shelf (RIS) is currently stable but recent observations have indicated that basal melt rates beneath the ice shelf are expected to increase. It is important to know which areas of the RIS are more sensitive to enhanced basal melting as well as other external forcings or internal material properties of the ice to understand how climate change will influence RIS mass balance. In this paper, we use automatic differentiation and the Ice Sheet and Sealevel System Model to quantify the sensitivity of the RIS to changes in basal friction, ice rigidity, surface mass balance, and basal melting. Using volume above flotation (VAF) as our quantity of interest, we find that the RIS is most sensitive to changes in basal friction and ice rigidity close to grounding lines and along shear margins of the Siple Coast Ice Streams and Transantarctic Mountains Outlet Glaciers. The RIS sensitivity to surface mass balance is uniform over grounded ice, while the sensitivity to basal melting is more spatially variable. Changes in basal melting close to the grounding lines of the Siple Coast Ice Streams and Transantarctic Mountains outlet glaciers have a larger impact on the final VAF compared to elsewhere. Additionally, the pinning points and ice shelf shear margins are highly sensitive to changes in basal melt. Our sensitivity maps allow areas of greatest future vulnerability to be identified.</t>
  </si>
  <si>
    <t>[Baldacchino, Francesca; Golledge, Nicholas R.; Horgan, Huw; Malyarenko, Alena] Victoria Univ Wellington, Antarctic Res Ctr, Wellington, New Zealand; [Morlighem, Mathieu] Dartmouth Coll, Dept Earth Sci, Hanover, NH 03755 USA; [Morlighem, Mathieu] Univ Calif Irvine, Dept Earth Syst Sci, Irvine, CA 92697 USA; [Malyarenko, Alena] Natl Inst Water &amp; Atmosphere Res, Wellington, New Zealand</t>
  </si>
  <si>
    <t>Victoria University Wellington; Dartmouth College; University of California System; University of California Irvine; National Institute of Water &amp; Atmospheric Research (NIWA) - New Zealand</t>
  </si>
  <si>
    <t>Baldacchino, F (corresponding author), Victoria Univ Wellington, Antarctic Res Ctr, Wellington, New Zealand.</t>
  </si>
  <si>
    <t>francesca.baldacchino@vuw.ac.nz</t>
  </si>
  <si>
    <t>Morlighem, Mathieu/O-9942-2014</t>
  </si>
  <si>
    <t>Morlighem, Mathieu/0000-0001-5219-1310; Baldacchino, Francesca/0000-0003-1174-4542; Horgan, Huw/0000-0002-4836-0078; Golledge, Nicholas/0000-0001-7676-8970; Malyarenko, Alena/0000-0002-6128-3804</t>
  </si>
  <si>
    <t>Ministry of Science and Innovation, New Zealand [RTUV1705, ANTA1801]; Royal Society Te Aparangi [VUW-1501]</t>
  </si>
  <si>
    <t>Ministry of Science and Innovation, New Zealand; Royal Society Te Aparangi(Royal Society of New Zealand)</t>
  </si>
  <si>
    <t>This research has been supported by the Ministry of Science and Innovation, New Zealand (grant nos. RTUV1705 and ANTA1801) and the Royal Society Te Aparangi (grant no. VUW-1501).</t>
  </si>
  <si>
    <t>SEP 20</t>
  </si>
  <si>
    <t>10.5194/tc-16-3723-2022</t>
  </si>
  <si>
    <t>4P3BC</t>
  </si>
  <si>
    <t>WOS:000855271000001</t>
  </si>
  <si>
    <t>Oyabu, I; Kawamura, K; Buizert, C; Parrenin, F; Orsi, A; Kitamura, K; Aoki, S; Nakazawa, T</t>
  </si>
  <si>
    <t>Oyabu, Ikumi; Kawamura, Kenji; Buizert, Christo; Parrenin, Frederic; Orsi, Anais; Kitamura, Kyotaro; Aoki, Shuji; Nakazawa, Takakiyo</t>
  </si>
  <si>
    <t>The Dome Fuji ice core DF2021 chronology (0-207 kyr BP)</t>
  </si>
  <si>
    <t>Ice cores; Geochronology; Antarctica; delta O-2/N-2 age marker; Dole effect; Dome Fuji</t>
  </si>
  <si>
    <t>ATMOSPHERIC CO2 VARIATIONS; SCALE CLIMATE VARIABILITY; ANNUAL BE-10 DATA; COSMIC-RAY EVENT; ANTARCTIC ICE; MILLENNIAL-SCALE; AIR CONTENT; ASIAN MONSOON; VOLCANIC SYNCHRONIZATION; WD2014 CHRONOLOGY</t>
  </si>
  <si>
    <t>Precise ice-core chronologies are essential for identifying the timing and duration of polar climatic changes as well as their phasing with the changes in other parts of the globe. However, existing ice-core chronologies beyond the last 60 kyr show relatively large disagreements with each other and with U-Th chronologies of speleothems. Here, we constructed new ice and gas age scales for the Dome Fuji (DF) core (DF2021) over the last 207 kyr by combining a Bayesian dating model and firn densification model, constrained by various types of chronological and glaciological information including new delta O-2/N-2 age markers, precise synchronization to other high-quality chronologies (volcanic, cosmogenic, and CH4 signals), and high-resolution delta N-15 of N-2 (reflecting past firn thickness). The new chronology is tightly constrained by synchronization to other well-dated records for the last 60 kyr, whereas it is independent from other chronologies for the older period. For the last 60 kyr, the DF2021 chronology agrees with the layer-counted ice core chronologies (GICC05 and a part of WD2014) and U-Th chronologies of speleothems within similar to 200 years. For the period 60-130 kyr BP, the timing of all Dansgaard-Oeschger warming events on DF2021 agree with those of corresponding events in the U-Th dated Chinese or European speleothems mostly within 1 kyr (well within 2 sigma uncertainty of DF2021). The excellent agreement suggests high accuracy of our chronology, and supports the assumption of negligible phasing between the past local summer solstice insolation and delta O-2/N-2 fractionation at bubble close-off (the basis for constructing the delta O-2/N-2 age markers). Between 130 and 207 kyr BP (penultimate glacial period), there is a lower degree of similarity between the variations in atmospheric CH4 and speleothem calcite delta O-18 than in the last glacial period, making the age comparison challenging. The comparison of DF2021 with 9 U-Th dates at 7 abrupt events shows the mean difference of -0.2 +/- 0.8 kyr, which is within the DF2021 uncertainty (on the order of 1.5 kyr). The DF2021 chronology agrees with the AICC2012 chronology within 2 kyr except between similar to 103 and 128 kyr BP where AICC2012 is likely too young by up to similar to 4 kyr. By analyzing the lag between delta O-18 of O-2 (delta O-18(atm)) on DF2021 and 65 degrees N summer solstice insolation, the relatively large error in AICC2012 is found to originate in three delta O-18(atm) age markers assuming a constant lag, which are off by more than 3 kyr. The phasing between delta O-18(atm) and orbital forcing identified in this study may be useful for future ice core dating, especially where other age constraints are weak or lacking. (c) 2022 The Authors. Published by Elsevier Ltd. This is an open access article under the CC BY license (http://creativecommons.org/licenses/by/4.0/).</t>
  </si>
  <si>
    <t>[Oyabu, Ikumi; Kawamura, Kenji; Kitamura, Kyotaro] Natl Inst Polar Res, Tokyo 1908518, Japan; [Kawamura, Kenji] Grad Univ Adv Studies, Dept Polar Sci, SOKENDAI, Tokyo 1908518, Japan; [Kawamura, Kenji] Japan Agcy Marine Sci &amp; Technol JAMSTEC, Yokosuka 2370061, Japan; [Buizert, Christo] Oregon State Univ, Coll Earth Ocean &amp; Atmospher Sci, Corvallis, OR 97331 USA; [Parrenin, Frederic] Univ Grenoble Alpes, CNRS, IRD, IGE, F-38000 Grenoble, France; [Orsi, Anais] Univ Paris Saclay, Lab Sci Climat &amp; Environm, LSCE, CEA,CNRS,UVSQ,IPSL, Gif Sur Yvette, France; [Orsi, Anais] Univ British Columbia, Earth Ocean &amp; Atmospher Sci Dept, 2207 Main Mall 2020, Vancouver, BC V6T IZ4, Canada; [Aoki, Shuji; Nakazawa, Takakiyo] Tohoku Univ, Grad Sch Sci, Ctr Atmospher &amp; Ocean Studies, Sendai, Miyagi 9808578, Japan</t>
  </si>
  <si>
    <t>Research Organization of Information &amp; Systems (ROIS); National Institute of Polar Research (NIPR) - Japan; Graduate University for Advanced Studies - Japan; Japan Agency for Marine-Earth Science &amp; Technology (JAMSTEC); Oregon State University; Centre National de la Recherche Scientifique (CNRS); Institut de Recherche pour le Developpement (IRD); Communaute Universite Grenoble Alpes; Universite Grenoble Alpes (UGA); CEA; Centre National de la Recherche Scientifique (CNRS); Universite Paris Saclay; Universite Paris Cite; University of British Columbia; Tohoku University</t>
  </si>
  <si>
    <t>Oyabu, I (corresponding author), Natl Inst Polar Res, Tokyo 1908518, Japan.</t>
  </si>
  <si>
    <t>oyabu.ikumi@nipr.ac.jp</t>
  </si>
  <si>
    <t>Oyabu, Ikumi/AGE-1164-2022; Kawamura, Kenji/C-7660-2011</t>
  </si>
  <si>
    <t>Oyabu, Ikumi/0000-0001-8017-1085; Kawamura, Kenji/0000-0003-1163-700X; Takakiyo, Nakazawa/0000-0001-7036-5724</t>
  </si>
  <si>
    <t>Japan Society for the Promotion of Science (JSPS); Ministry of Education, Culture, Sports, Science and Technology-Japan (MEXT) KAKENHI [20H04327, 17K12816, 17J00769, 20H00639, 17H06320, 15KK0027, 26241011]; JST FOREST Program [JPMJFR216X]; National Institute of Polar Research (NIPR) Research Projects [KP305]; US National Science Foundation [1643394]; CNRS/INSU/LEFE</t>
  </si>
  <si>
    <t>Japan Society for the Promotion of Science (JSPS)(Ministry of Education, Culture, Sports, Science and Technology, Japan (MEXT)Japan Society for the Promotion of Science); Ministry of Education, Culture, Sports, Science and Technology-Japan (MEXT) KAKENHI(Ministry of Education, Culture, Sports, Science and Technology, Japan (MEXT)Japan Society for the Promotion of ScienceGrants-in-Aid for Scientific Research (KAKENHI)); JST FOREST Program; National Institute of Polar Research (NIPR) Research Projects; US National Science Foundation(National Science Foundation (NSF)); CNRS/INSU/LEFE(Centre National de la Recherche Scientifique (CNRS))</t>
  </si>
  <si>
    <t>We acknowledge the Dome Fuji ice core projects, the Japanese Antarctic Research Expedition, and Ice Core Consortium. We are grateful to Dr. Kazuho Horiuchi of Hirosaki University for his useful advice, and Satoko Nakanishi, Yasuko Fukagawa, Akito Tanaka, Mariko Hayakawa and Satomi Oda for ice-core measurements. The initial phase of this study was developed while the IO and KeK visited Laboratoire des Sciences du Climat et de l'Environnement (LSCE), Institut des G~eosciences de l'Environnement (IGE) and Oregon State University. This study was supported by Japan Society for the Promotion of Science (JSPS) and Ministry of Education, Culture, Sports, Science and Technology-Japan (MEXT) KAKENHI Grant Numbers 20H04327, 17K12816 and 17J00769 to IO, 20H00639, 17H06320, 15KK0027 and 26241011 to KeK, JST FOREST Program (Grant Number JPMJFR216X) to IO, and by National Institute of Polar Research (NIPR) Research Projects (Advanced Project and KP305), by the US National Science Foundation (award 1643394) to CB. FP developed the Paleochrono dating model with 2 grants from CNRS/INSU/LEFE. We are grateful to Dr. Stephen Obrochta, Dr. Anders Svensson and the one anonymous reviewer for their constructive comments to improve the paper.</t>
  </si>
  <si>
    <t>10.1016/j.quascirev.2022.107754</t>
  </si>
  <si>
    <t>F9BO6</t>
  </si>
  <si>
    <t>WOS:000985229100002</t>
  </si>
  <si>
    <t>Book, C; Hoffman, MJ; Kachuck, SB; Hillebrand, TR; Price, SF; Perego, M; Bassis, JN</t>
  </si>
  <si>
    <t>Book, Cameron; Hoffman, Matthew J.; Kachuck, Samuel B.; Hillebrand, Trevor R.; Price, Stephen F.; Perego, Mauro; Bassis, Jeremy N.</t>
  </si>
  <si>
    <t>Stabilizing effect of bedrock uplift on retreat of Thwaites Glacier, Antarctica, at centennial timescales</t>
  </si>
  <si>
    <t>EARTH AND PLANETARY SCIENCE LETTERS</t>
  </si>
  <si>
    <t>glaciers; glacial isostatic adjustment; Antarctica; ice-sheet modeling</t>
  </si>
  <si>
    <t>AMUNDSEN SEA EMBAYMENT; ICE-SHEET; WEST ANTARCTICA; PINE ISLAND; LEVEL RISE; MODEL; COLLAPSE; INSTABILITY; TOPOGRAPHY; OCEAN</t>
  </si>
  <si>
    <t>Viscoelastic rebound of the solid Earth upon the removal of ice loads has the potential to inhibit marine ice sheet instability, thereby forestalling ice-sheet retreat and global mean sea-level rise. The timescale over which the solid Earth -ice sheet system responds to changes in ice thickness and bedrock topography places a strong control on the spatiotemporal influence of this negative feedback mechanism. In this study, we assess the impact of solid-earth rheological structure on model projections of the retreat of Thwaites Glacier, West Antarctica, and the concomitant sea-level rise by coupling the dynamic ice sheet model MALI to a regional glacial isostatic adjustment (GIA) model. We test the sensitivity of model projections of ice-sheet retreat and associated sea-level rise across a range of four different solid-earth rheologies, forced by standard ISMIP6 ocean and atmospheric datasets for the RCP8.5 climate scenario. These model parameters are applied to 500-year, coupled ice-sheet -GIA simulations. For the mantle viscosity best supported by observations, the negative GIA feedback leads to a reduction in mass loss that remains above 20% after about a hundred years. Mass-loss reduction peaks at 50% around 2300, which is when a control simulation without GIA experiences its maximum rate of retreat. For a weaker solid-earth rheology that is unlikely but compatible with observational uncertainty, mass loss reduction remains above 50% after 2150. At 2100, mass loss reduction is 10% for the best-fit rheology and 25% for the weakest rheology. At the same time, we estimate that water expulsion from the rebounding solid Earth beneath the ocean near Thwaites Glacier may increase sea-level rise by up to 20% at five centuries. Additionally, the reduction in ice-sheet retreat caused by GIA is substantially reduced under stronger climate forcings, suggesting that the stabilizing feedback of GIA will also be an indirect function of emissions scenario. We hypothesize that feedbacks between the solid Earth -ice sheet system are controlled by a competition between the spatial extent and timescale of bedrock uplift relative to the rate of grounded ice retreat away from the region of most rapid unloading. Although uncertainty in solid-earth rheology leads to large uncertainty in future sea-level rise contribution from Thwaites Glacier, under all plausible parameters the GIA effects are too large to be ignored for future projections of Thwaites Glacier of more than a century.(c) 2022 The Author(s). Published by Elsevier B.V. This is an open access article under the CC BY-NC license (http://creativecommons.org/licenses/by-nc/4.0/).</t>
  </si>
  <si>
    <t>[Book, Cameron; Hoffman, Matthew J.; Hillebrand, Trevor R.; Price, Stephen F.] Alamos Natl Lab, Fluid Dynam &amp; Solid Mech Grp, Mail Stop B216, Los Alamos, NM 87544 USA; [Kachuck, Samuel B.; Bassis, Jeremy N.] Univ Michigan, Climate &amp; Space Sci &amp; Engn, 2455 Hayward St, Ann Arbor, MI 48109 USA; [Perego, Mauro] Sandia Natl Labs, Ctr Comp Res, POB 5800,MS 1320, Albuquerque, NM 87185 USA</t>
  </si>
  <si>
    <t>United States Department of Energy (DOE); Los Alamos National Laboratory; University of Michigan System; University of Michigan; United States Department of Energy (DOE); Sandia National Laboratories</t>
  </si>
  <si>
    <t>Hoffman, MJ (corresponding author), Alamos Natl Lab, Fluid Dynam &amp; Solid Mech Grp, Mail Stop B216, Los Alamos, NM 87544 USA.</t>
  </si>
  <si>
    <t>mhoffman@lanl.gov</t>
  </si>
  <si>
    <t>Bassis, Jeremy N/J-1706-2012; Price, Stephen/E-1568-2013</t>
  </si>
  <si>
    <t>Price, Stephen/0000-0001-6878-2553</t>
  </si>
  <si>
    <t>Scientific Discovery through Advanced Computing (SciDAC) program - US Department of Energy (DOE), Office of Science, Advanced Scientific Computing Research and Biological and Environmental Research programs; DOE Office of Science Early Career Research program; U.S. Department of Energy Office of Science User Facility located at Lawrence Berkeley National Laboratory [DE-AC02-05CH11231]; NERSC [ERCAP0016816, ERCAP0020130]; U.S. Department of Energy National Nuclear Security Administration [DE-AC52-06NA25396]; National Science Foundation (NSF) [1738896]; Natural Environment Research Council (NERC) [NE/S006605/1]; NERC [NE/S006605/1] Funding Source: UKRI</t>
  </si>
  <si>
    <t>Scientific Discovery through Advanced Computing (SciDAC) program - US Department of Energy (DOE), Office of Science, Advanced Scientific Computing Research and Biological and Environmental Research programs(United States Department of Energy (DOE)); DOE Office of Science Early Career Research program(United States Department of Energy (DOE)); U.S. Department of Energy Office of Science User Facility located at Lawrence Berkeley National Laboratory(United States Department of Energy (DOE)); NERSC; U.S. Department of Energy National Nuclear Security Administration(National Nuclear Security AdministrationUnited States Department of Energy (DOE)); National Science Foundation (NSF)(National Science Foundation (NSF)); Natural Environment Research Council (NERC)(UK Research &amp; Innovation (UKRI)Natural Environment Research Council (NERC)); NERC(UK Research &amp; Innovation (UKRI)Natural Environment Research Council (NERC))</t>
  </si>
  <si>
    <t>This work was supported by the Scientific Discovery through Advanced Computing (SciDAC) program, funded by the US Department of Energy (DOE), Office of Science, Advanced Scientific Computing Research and Biological and Environmental Research programs. This work was also supported by the DOE Office of Science Early Career Research program. Simulations were performed on machines at the National Energy Research Scientific Computing Center, a U.S. Department of Energy Office of Science User Facility located at Lawrence Berkeley National Laboratory, operated under Contract No. DE-AC02-05CH11231 using NERSC awards ERCAP0016816 and ERCAP0020130. We also used computing resources at the Los Alamos National Laboratory Institutional Computing Program, which is supported by the U.S. Department of Energy National Nuclear Security Administration under Contract DE-AC52-06NA25396. This work is also from the DOMINOS project, a component of the International Thwaites Glacier Collaboration (ITGC). Support from National Science Foundation (NSF: Grant 1738896) and Natural Environment Research Council (NERC: Grant NE/S006605/1). Logistics provided by NSF-U.S. Antarctic Program and NERC-British Antarctic Survey. ITGC Contribution No. ITGC-077.</t>
  </si>
  <si>
    <t>0012-821X</t>
  </si>
  <si>
    <t>1385-013X</t>
  </si>
  <si>
    <t>EARTH PLANET SC LETT</t>
  </si>
  <si>
    <t>Earth Planet. Sci. Lett.</t>
  </si>
  <si>
    <t>10.1016/j.epsl.2022.117798</t>
  </si>
  <si>
    <t>5C1JR</t>
  </si>
  <si>
    <t>WOS:000864022800005</t>
  </si>
  <si>
    <t>Charapata, P; Clark, CT; Miller, N; Kienle, SS; Costa, DP; Goebel, ME; Gunn, H; Sperou, ES; Kanatous, SB; Crocker, DE; Borras-Chavez, R; Trumble, SJ</t>
  </si>
  <si>
    <t>Charapata, Patrick; Clark, Casey T.; Miller, Nathan; Kienle, Sarah S.; Costa, Daniel P.; Goebel, Michael E.; Gunn, Heather; Sperou, Emily S.; Kanatous, Shane B.; Crocker, Daniel E.; Borras-Chavez, Renato; Trumble, Stephen J.</t>
  </si>
  <si>
    <t>Whiskers provide time-series of toxic and essential trace elements, Se:Hg molar ratios, and stable isotope values of an apex Antarctic predator, the leopard seal</t>
  </si>
  <si>
    <t>SCIENCE OF THE TOTAL ENVIRONMENT</t>
  </si>
  <si>
    <t>Mercury; Antarctica; Trace elements; Leopard seal; Stable isotopes; Whisker</t>
  </si>
  <si>
    <t>FIELD ICP-MS; HYDRURGA-LEPTONYX; MERCURY CONCENTRATIONS; HUMAN HAIR; FUR SEALS; MULTIELEMENTAL CHARACTERIZATION; HEAVY-METALS; PACK-ICE; FOOD-WEB; SELENIUM</t>
  </si>
  <si>
    <t>In an era of rapid environmental change and increasing human presence, researchers need efficient tools for tracking contaminants to monitor the health of Antarctic flora and fauna. Here, we examined the utility of leopard seal whiskers as a biomonitoring tool that reconstructs time-series of significant ecological and physiological biomarkers. Leopard seals (Hydrurga leptonyx) are a sentinel species in the Western Antarctic Peninsula due to their apex predator status and top-down effects on several Antarctic species. However, there are few data on their contaminant loads. We analyzed leopard seal whiskers (n = 18 individuals, n = 981 segments) collected during 2018-2019 field seasons to acquire longitudinal profiles of non-essential (Hg, Pb, and Cd) and essential (Se, Cu, and Zn) trace elements, stable isotope (delta N-15 and delta O-13) values and to assess Hg risk with Se:Hg molar ratios. Whiskers provided between 46 and 286 cumulative days of growth with a mean similar to 125 days per whisker = 18). Adult whiskers showed variability in non -essential trace elements over time that could partly be explained by changes indict. Whisker Hg levels were insufficient (&lt;20 ppm) to consider most seals being at high risk for Hg toxicity. Nevertheless, maximum Hg concentrations observed in this study were greater than that of leopard seal hair measured two decades ago. However, variation in the Se:Hg molar ratios over time suggest that Se may detoxify Hg burden in leopard seals. Overall, we provide evidence that the analysis of leopard seal whiskers allows for the reconstruction of time-series ecological and physiological data and can be valuable for opportunistically monitoring the health of the leopard seal population and their Antarctic ecosystem during climate change.</t>
  </si>
  <si>
    <t>[Charapata, Patrick; Kienle, Sarah S.; Sperou, Emily S.; Trumble, Stephen J.] Baylor Univ, Biol Dept, Waco, TX 76706 USA; [Clark, Casey T.] Washington Dept Fish &amp; Wildlife, Marine Mammal Res Div, Olympia, WA USA; [Miller, Nathan; Gunn, Heather] Univ Texas Austin, Dept Geol Sci, Austin, TX USA; [Costa, Daniel P.; Goebel, Michael E.] Univ Calif Santa Cruz, Dept Ecol &amp; Evolutionary Biol, Santa Cruz, CA USA; [Goebel, Michael E.] Natl Ocean &amp; Atmospher Adm NOAA Fisheries, Antarctic Ecosyst Res Div, Southwest Fisheries Sci Ctr, La Jolla, CA USA; [Gunn, Heather] Syracuse Univ, Dept Earth &amp; Environm Sci, Syracuse, NY USA; [Kanatous, Shane B.] Colorado State Univ, Dept Biol, Ft Collins, CO 80523 USA; [Crocker, Daniel E.] Sonoma State Univ, Dept Biol, Rohnert Pk, CA USA; [Borras-Chavez, Renato] Pontificia Univ Catolica Chile, Ctr Appl Ecol &amp; Sustainabil CAPES, Santiago, Chile; [Clark, Casey T.] 7801 Phillips Rd SW, Lakewood, WA 98498 USA; [Miller, Nathan; Gunn, Heather] 2275 Speedway Stop 09000, Austin, TX 78712 USA; [Costa, Daniel P.] 1156 High St, Santa Cruz, CA 95064 USA; [Goebel, Michael E.] 8901 La Jolla Shores Dr, La Jolla, CA 92037 USA; [Crocker, Daniel E.] 1801 East Cotati Av, Rohnert Pk, CA 94928 USA; [Borras-Chavez, Renato] Ave Libertador Bernardo OHiggins 340, Santiago, Chile</t>
  </si>
  <si>
    <t>Baylor University; Washington Department of Fish &amp; Wildlife (WDFW); University of Texas System; University of Texas Austin; University of California System; University of California Santa Cruz; National Oceanic Atmospheric Admin (NOAA) - USA; Syracuse University; Colorado State University; California State University System; Sonoma State University; Pontificia Universidad Catolica de Chile</t>
  </si>
  <si>
    <t>Charapata, P (corresponding author), 101 Bagby Ave, Waco, TX 76706 USA.</t>
  </si>
  <si>
    <t>Patrick_charapata1@baylor.edu</t>
  </si>
  <si>
    <t>Sperou, Emily/0000-0002-6040-706X; Charapata, Patrick/0000-0003-2847-1632; Borras-Chavez, Renato/0000-0002-6415-2121; Gunn, Heather/0000-0002-0176-4542; Miller, Nathan/0000-0002-1677-5594</t>
  </si>
  <si>
    <t>National Science Foundation [1644256]; C. Gus Glasscock, Jr. Endowed Fund</t>
  </si>
  <si>
    <t>National Science Foundation(National Science Foundation (NSF)); C. Gus Glasscock, Jr. Endowed Fund</t>
  </si>
  <si>
    <t>This research was funded by the National Science Foundation (grant #1644256) awarded to DPC, SJT, MEG, DEC, and SBK. Supplemental funds were provided by the C. Gus Glasscock, Jr. Endowed Fund for Excellence in Environmental Science at Baylor University awarded to PC.</t>
  </si>
  <si>
    <t>0048-9697</t>
  </si>
  <si>
    <t>1879-1026</t>
  </si>
  <si>
    <t>SCI TOTAL ENVIRON</t>
  </si>
  <si>
    <t>Sci. Total Environ.</t>
  </si>
  <si>
    <t>JAN 1</t>
  </si>
  <si>
    <t>10.1016/j.scitotenv.2022.158651</t>
  </si>
  <si>
    <t>5E2JY</t>
  </si>
  <si>
    <t>WOS:000865454300009</t>
  </si>
  <si>
    <t>Viola, BM; Sorrell, KJ; Clarke, RH; Corney, SP; Vaughan, PM</t>
  </si>
  <si>
    <t>Viola, Benjamin M.; Sorrell, Karina J.; Clarke, Rohan H.; Corney, Stuart P.; Vaughan, Peter M.</t>
  </si>
  <si>
    <t>Amateurs can be experts: A new perspective on collaborations with citizen scientists</t>
  </si>
  <si>
    <t>BIOLOGICAL CONSERVATION</t>
  </si>
  <si>
    <t>Seabirds; Marine ornithology; Observations; Research; Natural history</t>
  </si>
  <si>
    <t>SEABIRDS; SCIENCE; NETWORK</t>
  </si>
  <si>
    <t>Observations made by citizen-scientists are highly regarded in many fields of biology. Public participation in research leads to increased environmental stewardship, greater data-acquisition, and multi-disciplinary ad-vances. However, to date, there is a paucity of literature that acknowledges the professional benefits we, as scientists, gain through open consultation and two-way collaboration with interested parties. Citizen scientists often have specialised interests in particular taxa or habitats. They spend much time observing their subjects/s of interest, becoming accustomed to subtle nuances in appearance, behaviour, or dynamics that are challenging to detect without a high level of familiarity. In a world where professional researchers must increasingly balance competing demands on their time, and demonstrate the cost-effectiveness of their research, we stand to benefit by acknowledging the specific expertise of amateurs and the value their experience brings to observations. We use marine ornithology as an exemplar of this discussion - reasoning that data quality can be greatly improved by collaboration with expert amateurs, concomitantly improving the outcomes from research for conservation and management. We encourage researchers surveying wildlife, plant life, and other organisms to consider where their information and skills may come from, and close the loop between citizens and science to make the most of what amateur naturalism has to offer.</t>
  </si>
  <si>
    <t>[Viola, Benjamin M.; Corney, Stuart P.] Univ Tasmania, Inst Marine &amp; Antarctic Studies, Battery Point, Tas 7004, Australia; [Sorrell, Karina J.; Vaughan, Peter M.] Univ Tasmania, Sch Nat Sci, Sandy Bay, Tas 7005, Australia; [Sorrell, Karina J.; Clarke, Rohan H.; Vaughan, Peter M.] Monash Univ, Sch Biol Sci, Clayton, Vic 3800, Australia; [Corney, Stuart P.] Univ Tasmania, Ctr Marine Socioecol, Sandy Bay, Tas 7005, Australia; [Corney, Stuart P.] Univ Tasmania, Australian Antarctic Program Partnership, Sandy Bay, Tas 7005, Australia</t>
  </si>
  <si>
    <t>University of Tasmania; University of Tasmania; Monash University; University of Tasmania; University of Tasmania</t>
  </si>
  <si>
    <t>Viola, BM (corresponding author), Univ Tasmania, Inst Marine &amp; Antarctic Studies, Battery Point, Tas 7004, Australia.</t>
  </si>
  <si>
    <t>benjamin.viola@utas.edu.au</t>
  </si>
  <si>
    <t>Viola, Benjamin/GQO-8891-2022</t>
  </si>
  <si>
    <t>Viola, Benjamin/0000-0003-2620-2914; Sorrell, Karina/0000-0001-7494-4221</t>
  </si>
  <si>
    <t>0006-3207</t>
  </si>
  <si>
    <t>1873-2917</t>
  </si>
  <si>
    <t>BIOL CONSERV</t>
  </si>
  <si>
    <t>Biol. Conserv.</t>
  </si>
  <si>
    <t>10.1016/j.biocon.2022.109739</t>
  </si>
  <si>
    <t>Biodiversity Conservation; Ecology; Environmental Sciences</t>
  </si>
  <si>
    <t>5B1OQ</t>
  </si>
  <si>
    <t>WOS:000863345100011</t>
  </si>
  <si>
    <t>Xiong, SY; Hao, YF; Fu, JJ; Wang, P; Yang, RQ; Pei, ZG; Li, YM; Li, A; Zhang, QH; Jiang, GB</t>
  </si>
  <si>
    <t>Xiong, Siyuan; Hao, Yanfen; Fu, Jianjie; Wang, Pu; Yang, Ruiqiang; Pei, Zhiguo; Li, Yingming; Li, An; Zhang, Qinghua; Jiang, Guibin</t>
  </si>
  <si>
    <t>Legacy and novel brominated flame retardants in air of Ny-Alesund, Arctic from 2011 to 2019</t>
  </si>
  <si>
    <t>ENVIRONMENTAL POLLUTION</t>
  </si>
  <si>
    <t>Remote regions; Air pollution; PBDEs; NBFRs; Temporal variations</t>
  </si>
  <si>
    <t>POLYBROMINATED DIPHENYL ETHERS; PERSISTENT ORGANIC POLLUTANTS; ATMOSPHERIC CONCENTRATIONS; TEMPORAL TRENDS; HUMAN EXPOSURE; ORGANOCHLORINE PESTICIDES; MULTIYEAR MEASUREMENTS; DECHLORANE PLUS; PBDES; ORGANOPHOSPHATE</t>
  </si>
  <si>
    <t>Concentrations of polybrominated diphenyl ethers (PBDEs) and novel brominated flame retardants (NBFRs) in the atmosphere of Ny-&amp; ANGS;lesund, Svalbard, were investigated. Passive air samples were collected for eight consecutive one-year periods from August 2011 to August 2019 at seven Arctic sampling sites. High-resolution gas chromatography coupled with high-resolution mass spectrometry (HRGC-HRMS) and gas chromatography coupled with election capture negative ionization mass spectrometry (GC-NCI-MS) were employed for PBDE and NBFR analysis, respectively. The median concentrations of E11PBDEs and E6NBFRs were 0.6 pg/m3 and 4.0 pg/ m3, respectively. Hexabromobenzene and BDE-47 were the most abundant NBFR and PBDE congeners in the atmosphere, accounting for 31% and 24% of ENBFR and EPBDE concentrations, respectively. ENBFR concen-tration was approximately six times higher than that of EPBDEs in the same samples. Among NBFRs, the con-centrations of 1,2,3,4,5-pentabromobenzene, 2,3,4,5,6-pentabromobenzene, and 2,3-dibromopropyl-2,4,6-tribromophenyl ether showed increasing temporal variations, with estimated doubling times of 3.0, 3.3, and 2.8 years, respectively. The concentrations of almost all PBDE congeners showed a decreasing variation, with halving times ranging from 2.1 to 9.5 years.</t>
  </si>
  <si>
    <t>[Xiong, Siyuan; Fu, Jianjie; Zhang, Qinghua] UCAS, Hangzhou Inst Adv Study, Sch Environm, Hangzhou 310024, Peoples R China; [Xiong, Siyuan; Fu, Jianjie; Yang, Ruiqiang; Pei, Zhiguo; Li, Yingming; Zhang, Qinghua; Jiang, Guibin] Chinese Acad Sci, Res Ctr Ecoenvironm Sci, State Key Lab Environm Chem &amp; Ecotoxicol, Beijing 100085, Peoples R China; [Xiong, Siyuan; Fu, Jianjie; Yang, Ruiqiang; Pei, Zhiguo; Li, Yingming; Zhang, Qinghua; Jiang, Guibin] Univ Chinese Acad Sci, Beijing 100049, Peoples R China; [Hao, Yanfen; Wang, Pu] Jianghan Univ, Sch Environm &amp; Hlth, Hubei Key Lab Ind Fume &amp; Dust Pollut Control, Wuhan 430056, Peoples R China; [Li, An] Univ Illinois, Sch Publ Hlth, Chicago, IL 60612 USA</t>
  </si>
  <si>
    <t>Chinese Academy of Sciences; Research Center for Eco-Environmental Sciences (RCEES); Chinese Academy of Sciences; University of Chinese Academy of Sciences, CAS; Jianghan University; University of Illinois System; University of Illinois Chicago; University of Illinois Chicago Hospital</t>
  </si>
  <si>
    <t>Li, YM (corresponding author), Chinese Acad Sci, Res Ctr Ecoenvironm Sci, State Key Lab Environm Chem &amp; Ecotoxicol, Beijing 100085, Peoples R China.;Li, YM (corresponding author), Univ Chinese Acad Sci, Beijing 100049, Peoples R China.</t>
  </si>
  <si>
    <t>ymli@rcees.ac.cn</t>
  </si>
  <si>
    <t>ren, jing/JXN-8411-2024; Zhang, Qinghua/L-7652-2019; Yao, Chen/JVD-6226-2023; Wang, Pu/HGE-1628-2022</t>
  </si>
  <si>
    <t>Zhang, Qinghua/0000-0001-9086-7000; Wang, Pu/0000-0002-9003-2756</t>
  </si>
  <si>
    <t>National Key Research and Development Program of China [2019YFE0111100, 2020YFA0608503]; National Natural Science Foundation of China [41977327]; Eco-Environmental Excellent Innovation Projects of the Research Center for Eco-Environmental Sciences, Chinese Academy of Sciences [RCEES- EEI-2019-01]; Samuel and Catherine Epstein Professorship of the School of Public Health, University of Illinois Chicago</t>
  </si>
  <si>
    <t>National Key Research and Development Program of China; National Natural Science Foundation of China(National Natural Science Foundation of China (NSFC)); Eco-Environmental Excellent Innovation Projects of the Research Center for Eco-Environmental Sciences, Chinese Academy of Sciences; Samuel and Catherine Epstein Professorship of the School of Public Health, University of Illinois Chicago</t>
  </si>
  <si>
    <t>This study was supported by the National Key Research and Development Program of China (2019YFE0111100 and 2020YFA0608503) , the National Natural Science Foundation of China (41977327) and the Eco-Environmental Excellent Innovation Projects of the Research Center for Eco-Environmental Sciences, Chinese Academy of Sciences (RCEES- EEI-2019-01) . We also thank the Chinese Arctic and Antarctic Admin- istration and Polar Research Institute of China for their support in ar- ranging the Chinese Arctic Expeditions. An Li was supported by the Samuel and Catherine Epstein Professorship of the School of Public Health, University of Illinois Chicago.</t>
  </si>
  <si>
    <t>0269-7491</t>
  </si>
  <si>
    <t>1873-6424</t>
  </si>
  <si>
    <t>ENVIRON POLLUT</t>
  </si>
  <si>
    <t>Environ. Pollut.</t>
  </si>
  <si>
    <t>10.1016/j.envpol.2022.120195</t>
  </si>
  <si>
    <t>5A1LX</t>
  </si>
  <si>
    <t>WOS:000862656900010</t>
  </si>
  <si>
    <t>Yang, BJ; Liang, S; Huang, HB; Li, XW</t>
  </si>
  <si>
    <t>Yang, Bojin; Liang, Shuang; Huang, Huabing; Li, Xinwu</t>
  </si>
  <si>
    <t>An elevation change dataset in Greenland ice sheet from 2003 to 2020 using satellite altimetry data</t>
  </si>
  <si>
    <t>BIG EARTH DATA</t>
  </si>
  <si>
    <t>Greenland ice sheet; elevation change; volume change; satellite altimetry</t>
  </si>
  <si>
    <t>VOLUME-CHANGE; MASS-LOSS; PENETRATION DEPTH; RADAR ALTIMETRY; CRYOSAT-2 DATA; ICESAT-2; MODEL; ERS; TOPOGRAPHY; BALANCE</t>
  </si>
  <si>
    <t>A decade-long pronounced increase in temperatures in the Arctic resulted in a global warming hotspot over the Greenland ice sheet (GrIS). Associated changes in the cryosphere were the consequence and led to a demand for monitoring glacier changes, which are one of the major parameters to analyze the responses of the GrIS to climate change. Long-term altimetry data (e.g. ICESat, CryoSat-2, and ICESat-2) can provide elevation changes over different periods, and many methods have been developed for altimetry alone to obtain elevation changes. In this work, we provided the long-term elevation change rate data of the GrIS in three different periods using ICESat data (from February 2003 to October 2009), Cryosat-2 data (from August 2010 to October 2018) and ICESat-2 data (from October 2018 to December 2020). Optimal methods were applied to the datasets collected by three different altimeters: crossover analysis for ICESat/ICESat-2 and the surface fit method for Cryosat-2. The data revealed that the elevation change rates of the GrIS were -12.19 +/- 3.81 cm/yr, -19.70 +/- 3.61 cm/yr and -23.39 +/- 3.06 cm/yr in the three different periods, corresponding to volume change rates of -210.20 +/- 25.34 km(3)/yr, -339.11 +/- 24.01 km(3)/yr and -363.33 +/- 20.37 km(3)/yr, respectively. In general, the obtained results agree with the trends discovered by other studies that were also derived from satellite altimetry data. This dataset provides the basic data for research into the impact of climate change over the GrIS.</t>
  </si>
  <si>
    <t>[Yang, Bojin; Liang, Shuang; Li, Xinwu] Chinese Acad Sci, Aerosp Informat Res Inst, Key Lab Digital Earth Sci, Beijing, Peoples R China; [Yang, Bojin; Liang, Shuang; Huang, Huabing; Li, Xinwu] Int Res Ctr Big Data Sustainable Dev Goals, Beijing, Peoples R China; [Yang, Bojin] Univ Chinese Acad Sci, Beijing, Peoples R China; [Huang, Huabing] Sun Yat Sen Univ, Sch Geospatial Engn &amp; Sci, Guangzhou 510275, Peoples R China; [Huang, Huabing] Southern Marine Sci &amp; Engn Guangdong Lab Zhuhai, Zhuhai, Peoples R China</t>
  </si>
  <si>
    <t>Chinese Academy of Sciences; Aerospace Information Research Institute, CAS; Chinese Academy of Sciences; University of Chinese Academy of Sciences, CAS; Sun Yat Sen University; Southern Marine Science &amp; Engineering Guangdong Laboratory; Southern Marine Science &amp; Engineering Guangdong Laboratory (Zhuhai)</t>
  </si>
  <si>
    <t>Huang, HB (corresponding author), Sun Yat Sen Univ, Sch Geospatial Engn &amp; Sci, Guangzhou 510275, Peoples R China.</t>
  </si>
  <si>
    <t>huanghb55@mail.sysu.edu.cn</t>
  </si>
  <si>
    <t>Huang, huabing/JHT-7278-2023</t>
  </si>
  <si>
    <t>Huang, huabing/0000-0001-6253-8437</t>
  </si>
  <si>
    <t>Strategic Priority Research Program of the Chinese Academy of Sciences [XDA19070202]; Joint Project of the Chinese Academy of Science (CAS) entitled Using Earth Observations to Address Ecology and Environment Change in the Pan-Antarctic Cryosphere [183611KYSB20200059]; Open Research Program of the International Research Center of Big Data for Sustainable Development Goals [CBAS2022ORP04]</t>
  </si>
  <si>
    <t>Strategic Priority Research Program of the Chinese Academy of Sciences(Chinese Academy of Sciences); Joint Project of the Chinese Academy of Science (CAS) entitled Using Earth Observations to Address Ecology and Environment Change in the Pan-Antarctic Cryosphere; Open Research Program of the International Research Center of Big Data for Sustainable Development Goals</t>
  </si>
  <si>
    <t>This research was supported by the Strategic Priority Research Program of the Chinese Academy of Sciences (No. XDA19070202), the Joint Project of the Chinese Academy of Science (CAS) entitled Using Earth Observations to Address Ecology and Environment Change in the Pan-Antarctic Cryosphere (No. 183611KYSB20200059), the Open Research Program of the International Research Center of Big Data for Sustainable Development Goals (No. CBAS2022ORP04).</t>
  </si>
  <si>
    <t>TAYLOR &amp; FRANCIS LTD</t>
  </si>
  <si>
    <t>ABINGDON</t>
  </si>
  <si>
    <t>2-4 PARK SQUARE, MILTON PARK, ABINGDON OR14 4RN, OXON, ENGLAND</t>
  </si>
  <si>
    <t>2096-4471</t>
  </si>
  <si>
    <t>2574-5417</t>
  </si>
  <si>
    <t>Big Earth Data</t>
  </si>
  <si>
    <t>2022 SEP 19</t>
  </si>
  <si>
    <t>10.1080/20964471.2022.2116796</t>
  </si>
  <si>
    <t>Computer Science, Information Systems; Geosciences, Multidisciplinary; Remote Sensing</t>
  </si>
  <si>
    <t>Computer Science; Geology; Remote Sensing</t>
  </si>
  <si>
    <t>4T1KZ</t>
  </si>
  <si>
    <t>WOS:000857886800001</t>
  </si>
  <si>
    <t>Attard, MRG; Portugal, SJ</t>
  </si>
  <si>
    <t>Attard, Marie R. G.; Portugal, Steven J.</t>
  </si>
  <si>
    <t>Global diversity and adaptations of avian eggshell thickness indices</t>
  </si>
  <si>
    <t>IBIS</t>
  </si>
  <si>
    <t>avian; dietary calcium; eggs; eggshell thickness indices; habitat; life-history; mode of development</t>
  </si>
  <si>
    <t>WATER-VAPOR CONDUCTANCE; EMBRYONIC-DEVELOPMENT; CALCIUM AVAILABILITY; HATCHING SUCCESS; EGG-PRODUCTION; GAS-EXCHANGE; CLUTCH SIZE; BODY-MASS; BIRDS; GROWTH</t>
  </si>
  <si>
    <t>The amniote eggshell is a fundamental aspect of the embryo life-support system, protecting it from UV light, microbes and mechanical damage, while regulating gas exchange and providing calcium for growth. The thickness of eggshells is highly diverse across modern birds and influences multiple eggshell functions, yet the selective pressures driving eggshell thickness have not been clearly identified. Here, we use a global dataset of avian eggshell thickness indices for 4260 (&gt; 41%) avian species to assess trends in eggshell thickness across the phylogeny, as these indices are strongly correlated with direct measures of eggshell thickness and are non-destructive to the sample. We analysed the dataset within a phylogenetic framework to assess the relative importance of climatic and ecological explanations for variation in eggshell thickness indices. The distribution of avian eggshell thickness indices across species was found to be primarily driven by phylogenetic relatedness, in addition to evolutionary processes that do not match a Brownian model of evolution. Across modern birds, thicker eggshells were more prevalent in species (1) with precocial young, (2) which exhibit a scavenger-based diet, (3) which primarily feed on vertebrates or plants (excluding nectivores, seed and fruit specialists) and (4) which breed in open habitats. Thicker eggshells found in species with precocial young probably enable higher rates of calcium removal for the more advanced embryo development. Excessive light transmission through the shell damages developing embryos, while too little light transmission can impede development. Eggs in shaded habitats experience low light exposure, and thus thinner shells are more prevalent in these environments potentially to increase light transmission through the shell. Overall, variation in eggshell thickness indices appears to be driven largely by phylogeny, with certain life-history traits linked to embryo growth rate, calcium content of their food, and the need to mitigate excessive light transmission through the shell.</t>
  </si>
  <si>
    <t>[Attard, Marie R. G.; Portugal, Steven J.] Royal Holloway Univ London, Sch Life &amp; Environm Sci, Dept Biol Sci, Egham TW20 0EX, Surrey, England; [Attard, Marie R. G.] Open Univ, Sch Engn &amp; Innovat, Milton Keynes MK7 6AA, Bucks, England; [Attard, Marie R. G.] British Antarctic Survey, Mapping &amp; Geog Informat Ctr, Cambridge CB3 0ET, England; [Portugal, Steven J.] Nat Hist Museum, Tring HP23 6AP, Herts, England</t>
  </si>
  <si>
    <t>University of London; Royal Holloway University London; Open University - UK; UK Research &amp; Innovation (UKRI); Natural Environment Research Council (NERC); NERC British Antarctic Survey; Natural History Museum London</t>
  </si>
  <si>
    <t>Attard, MRG (corresponding author), Royal Holloway Univ London, Sch Life &amp; Environm Sci, Dept Biol Sci, Egham TW20 0EX, Surrey, England.;Attard, MRG (corresponding author), Open Univ, Sch Engn &amp; Innovat, Milton Keynes MK7 6AA, Bucks, England.;Attard, MRG (corresponding author), British Antarctic Survey, Mapping &amp; Geog Informat Ctr, Cambridge CB3 0ET, England.</t>
  </si>
  <si>
    <t>marie.r.g.attard@gmail.com</t>
  </si>
  <si>
    <t>Leverhulme Trust [RPG-2018-332]</t>
  </si>
  <si>
    <t>Leverhulme Trust(Leverhulme Trust)</t>
  </si>
  <si>
    <t>Funding was provided by The Leverhulme Trust ` RPG-2018-332'.</t>
  </si>
  <si>
    <t>0019-1019</t>
  </si>
  <si>
    <t>1474-919X</t>
  </si>
  <si>
    <t>Ibis</t>
  </si>
  <si>
    <t>10.1111/ibi.13136</t>
  </si>
  <si>
    <t>Ornithology</t>
  </si>
  <si>
    <t>MA6D9</t>
  </si>
  <si>
    <t>hybrid, Green Accepted</t>
  </si>
  <si>
    <t>WOS:000858379600001</t>
  </si>
  <si>
    <t>Ogrzewalska, M; Motta, FC; Resende, PC; Fumian, T; da Mendonca, ACF; Reis, LA; Brandao, ML; Chame, M; Gomes, ILA; Siqueira, MM</t>
  </si>
  <si>
    <t>Ogrzewalska, Maria; Motta, Fernando Couto; Resende, Paola Cristina; Fumian, Tulio; Fonseca da Mendonca, Ana Carolina; Reis, Luciana Appolinario; Brandao, Martha Lima; Chame, Marcia; Arantes Gomes, Ighor Leonardo; Siqueira, Marilda Mendonca</t>
  </si>
  <si>
    <t>Influenza A(H11N2) Virus Detection in Fecal Samples from Adelie (Pygoscelis adeliae) and Chinstrap (Pygoscelis antarcticus) Penguins, Penguin Island, Antarctica</t>
  </si>
  <si>
    <t>MICROBIOLOGY SPECTRUM</t>
  </si>
  <si>
    <t>avian influenza; virus; Antarctica; penguin</t>
  </si>
  <si>
    <t>A VIRUS; PARAMYXOVIRUSES; ANTIBODIES; ECOLOGY; LINEAGE</t>
  </si>
  <si>
    <t>Influenza A viruses infect a range of host species, including a large variety of mammals and more than a hundred species of birds. A total of 95 avian fecal samples were collected from penguin colonies in the South Shetland Islands, close to the Antarctic Peninsula, and tested by reverse transcription-PCR (RT-PCR) to detect avian influenza viruses (AIVs). Five out of seven samples collected from Penguin Island were positive for AIVs. Analysis of the genomes recovered from four samples revealed the detection of influenza A(H11N2) virus in fecal samples from Adelie penguins (Pygoscelis adeliae) and from a colony of chinstrap penguins (Pygoscelis antarcticus). Bayesian phylogeographic analysis revealed the clustering of all currently available H11N2 samples from Antarctica's avifauna in a single cluster that emerged at least in the early 2010s, suggesting its continued circulation on the continent. Our results reinforce the need for continuous surveillance of avian influenza on the Antarctic continent. IMPORTANCE Although wild birds play a role in the transmission and ecology of avian influenza viruses (AIVs) across the globe, there are significant gaps in our understanding of the worldwide distribution of these viruses in polar environments. In this study, using molecular analysis and full-genome sequencing, we describe the detection of distinct influenza A(H11N2) viruses in fecal samples of penguins in the Southern Shetland Islands, Antarctica. We emphasize the need for virus monitoring as AIVs may have implications for the health of endemic fauna and the potential risk of the introduction of highly pathogenic AIVs to the continent. Although wild birds play a role in the transmission and ecology of avian influenza viruses (AIVs) across the globe, there are significant gaps in our understanding of the worldwide distribution of these viruses in polar environments. In this study, using molecular analysis and full-genome sequencing, we describe the detection of distinct influenza A(H11N2) viruses in fecal samples of penguins in the Southern Shetland Islands, Antarctica.</t>
  </si>
  <si>
    <t>[Ogrzewalska, Maria; Motta, Fernando Couto; Resende, Paola Cristina; Fonseca da Mendonca, Ana Carolina; Reis, Luciana Appolinario; Arantes Gomes, Ighor Leonardo; Siqueira, Marilda Mendonca] Fiocruz MS, Oswaldo Cruz Fdn, Lab Resp Viruses &amp; Measles, Rio De Janeiro, Brazil; [Fumian, Tulio] Fiocruz MS, Oswaldo Cruz Inst, Lab Comparat &amp; Environm Virol, Rio De Janeiro, Brazil; [Brandao, Martha Lima; Chame, Marcia] Fiocruz MS, Inst Platform Biodivers &amp; Wildlife Hlth, Rio De Janeiro, Brazil</t>
  </si>
  <si>
    <t>Fundacao Oswaldo Cruz; Fundacao Oswaldo Cruz; Fundacao Oswaldo Cruz</t>
  </si>
  <si>
    <t>Ogrzewalska, M (corresponding author), Fiocruz MS, Oswaldo Cruz Fdn, Lab Resp Viruses &amp; Measles, Rio De Janeiro, Brazil.</t>
  </si>
  <si>
    <t>mogrzewalska@gmail.com</t>
  </si>
  <si>
    <t>Ogrzewalska, Maria/J-8700-2013; Resende, Paola Cristina/P-5002-2015</t>
  </si>
  <si>
    <t>Ogrzewalska, Maria/0000-0002-9207-743X; Resende, Paola Cristina/0000-0002-2884-3662</t>
  </si>
  <si>
    <t>Carlos Chagas Filho Foundation for Supporting Research in the State of Rio de Janeiro, FAPERJ [E-26/010/002546/2019]; INOVA-EDITAL 2/2018-Geracao de Conhecimento; CNPQ/MCTIC/CAPES/FNDCT [21/2018]; Oswaldo Cruz Foundation (CVSLR/FIOCRUZ)</t>
  </si>
  <si>
    <t>Carlos Chagas Filho Foundation for Supporting Research in the State of Rio de Janeiro, FAPERJ(Fundacao Carlos Chagas Filho de Amparo a Pesquisa do Estado do Rio De Janeiro (FAPERJ)); INOVA-EDITAL 2/2018-Geracao de Conhecimento; CNPQ/MCTIC/CAPES/FNDCT; Oswaldo Cruz Foundation (CVSLR/FIOCRUZ)</t>
  </si>
  <si>
    <t>This study was partly funded by INOVA-EDITAL 2/2018-Geracao de Conhecimento, CNPQ/MCTIC/CAPES/FNDCT no. 21/2018-Programa Antartico Brasileiro-PROANTAR, reference laboratories of the Oswaldo Cruz Foundation (CVSLR/FIOCRUZ), and the Carlos Chagas Filho Foundation for Supporting Research in the State of Rio de Janeiro, FAPERJ no. E-26/010/002546/2019.</t>
  </si>
  <si>
    <t>2165-0497</t>
  </si>
  <si>
    <t>MICROBIOL SPECTR</t>
  </si>
  <si>
    <t>Microbiol. Spectr.</t>
  </si>
  <si>
    <t>SEP-OCT</t>
  </si>
  <si>
    <t>10.1128/spectrum.01427-22</t>
  </si>
  <si>
    <t>LC6L3</t>
  </si>
  <si>
    <t>WOS:000859652600001</t>
  </si>
  <si>
    <t>Meekan, MG; Virtue, P; Marcus, L; Clements, KD; Nichols, PD; Revill, AT</t>
  </si>
  <si>
    <t>Meekan, M. G.; Virtue, P.; Marcus, L.; Clements, K. D.; Nichols, P. D.; Revill, A. T.</t>
  </si>
  <si>
    <t>The world's largest omnivore is a fish</t>
  </si>
  <si>
    <t>ECOLOGY</t>
  </si>
  <si>
    <t>biochemical; diet; filter feeding; herbivory; macroalgae; Rhincodon typus</t>
  </si>
  <si>
    <t>SHARKS RHINCODON-TYPUS; NITROGEN ISOTOPIC COMPOSITION; WHALE SHARKS; NINGALOO REEF; ACIDS; SIZE</t>
  </si>
  <si>
    <t>The evolution of very large body size requires a ubiquitous and abundant source of food. In marine environments, the largest animals such as whale sharks are secondary consumers that filter feed on nekton, which is plentiful, although patchy. Consequently, feeding in coastal environments requires cost-efficient foraging that focuses on oceanographic features that aggregate both nektonic prey and marine debris such as floating macroalgae. Consumption of this algae could present an energetic challenge for these animals, unless some component can be digested. Here, we use a multi-technique approach involving amino acid compound-specific stable isotope analysis (CSIA) and fatty acid analysis to determine the trophic level of whale sharks and to identify likely items in the diet. CSIA analyses showed that the species has a trophic level consistent with omnivory. Fatty acid profiles of whale shark tissues, feces and potential prey items suggest that the floating macroalgae, Sargassum, and its associated epibionts is a significant source of food. Although this overcomes the energetic challenge of consumption of floating algae, this mode of feeding and the need to focus on oceanographic features that aggregate prey also increases the threat to the species posed by pollutants such as plastic.</t>
  </si>
  <si>
    <t>[Meekan, M. G.] Australian Inst Marine Sci, UWA Indian Ocean Marine Res Ctr MO96, Crawley, WA, Australia; [Virtue, P.; Marcus, L.; Nichols, P. D.] Univ Tasmania, Inst Marine &amp; Antarctic Studies, Hobart, Tas, Australia; [Virtue, P.; Nichols, P. D.; Revill, A. T.] CSIRO, Oceans &amp; Atmosphere, Battery Point, Tas, Australia; [Clements, K. D.] Univ Auckland, Sch Biol Sci, Auckland, New Zealand</t>
  </si>
  <si>
    <t>University of Western Australia; Australian Institute of Marine Science; University of Tasmania; Commonwealth Scientific &amp; Industrial Research Organisation (CSIRO); University of Auckland</t>
  </si>
  <si>
    <t>Meekan, MG (corresponding author), Australian Inst Marine Sci, UWA Indian Ocean Marine Res Ctr MO96, Crawley, WA, Australia.</t>
  </si>
  <si>
    <t>m.meekan@aims.gov.au</t>
  </si>
  <si>
    <t>Marcus, Lara/HRC-5985-2023; Nichols, Peter D/C-5128-2011; Revill, Andrew/B-8733-2011</t>
  </si>
  <si>
    <t>Revill, Andrew/0000-0003-2486-5976; Meekan, Mark/0000-0002-3067-9427; Virtue, Patti/0000-0002-9870-1256</t>
  </si>
  <si>
    <t>Santos Ltd.</t>
  </si>
  <si>
    <t>0012-9658</t>
  </si>
  <si>
    <t>1939-9170</t>
  </si>
  <si>
    <t>Ecology</t>
  </si>
  <si>
    <t>e3818</t>
  </si>
  <si>
    <t>10.1002/ecy.3818</t>
  </si>
  <si>
    <t>6S4CV</t>
  </si>
  <si>
    <t>WOS:000858576800001</t>
  </si>
  <si>
    <t>Smellie, JL; Martin, AP; Di Vincenzo, G; Townsend, DB; Heizler, MT; Ruth, DCS</t>
  </si>
  <si>
    <t>Smellie, John L.; Martin, Adam P.; Di Vincenzo, Gianfranco; Townsend, Dougal B.; Heizler, Matthew T.; Ruth, Dawn C. S.</t>
  </si>
  <si>
    <t>Eruptive history of Mason Spur, a Miocene-Pleistocene polygenetic volcanic complex in southern Victoria Land, West Antarctic Rift System, Antarctica</t>
  </si>
  <si>
    <t>BULLETIN OF VOLCANOLOGY</t>
  </si>
  <si>
    <t>Caldera; Ignimbrite; Dome; Block-and-ash-flow; Lahar; 'a 'a lava-fed delta</t>
  </si>
  <si>
    <t>MARIE-BYRD-LAND; NEVADO-DEL-RUIZ; MCMURDO SOUND; INTRUSIVE COMPLEX; MAGMATIC SYSTEMS; ICE; EVOLUTION; MOUNTAINS; GEOCHRONOLOGY; CALDERA</t>
  </si>
  <si>
    <t>Mason Spur is a deeply eroded Middle Miocene to Pleistocene (c. 13 to 0.37 Ma) volcanic complex in southern Victoria Land, within the West Antarctic Rift System (WARS). The oldest rocks include a large volume of trachyte ignimbrites that provided abundant volcanic detritus recovered in McMurdo Sound drill cores. The ignimbrites together with early-formed intrusions were strongly deformed during a substantial caldera collapse at c. 13 Ma. Intense erosion modified the volcanic landscape, creating a paleo-relief of several hundred metres. Deep ravines were cut and filled by deposits of multiple lahars probably linked to gravitational collapses of trachyte dome(s). Small-volume trachytic magmas were also erupted, forming lavas and at least one tuff cone. The youngest trachytic activity comprises a lava dome and related block-and-ash-flow deposits, erupted at 6 Ma. Basanite erupted throughout the history of the complex and eruptions younger than 12 Ma are almost exclusively basanite, forming scoria cones, water-cooled lavas, and tuff cones. Three peripheral outcrops are composed of basanitic 'a'a lava-fed deltas, probably erupted from vents on neighbouring volcanoes at Mount Discovery and Mount Morning. Abundant ignimbrite deposits at Mason Spur differentiate this volcanic complex from others in the WARS. Eruptions were triggered by rift extension initially, yielding the voluminous trachytes sourced from a magma chamber on the margin of the WARS. Later mafic eruptions were associated with deep crustal faults related to residual intraplate deformation. These results add important details to the eruptive history of the intracontinental WARS.</t>
  </si>
  <si>
    <t>[Smellie, John L.] Univ Leicester, Sch Geog Geol &amp; Environm, Leicester LE1 7RH, Leics, England; [Martin, Adam P.] GNS Sci, Private Bag 1930, Dunedin, New Zealand; [Di Vincenzo, Gianfranco] CNR, Ist Geosci &amp; Georisorse, I-56127 Pisa, Italy; [Townsend, Dougal B.] GNS Sci, POB 30-368, Lower Hutt, New Zealand; [Heizler, Matthew T.; Ruth, Dawn C. S.] New Mexico Bur Geol &amp; Mineral Resources, Socorro, NM 87801 USA; [Ruth, Dawn C. S.] US Geol Survey, Menlo Pk, CA 94025 USA</t>
  </si>
  <si>
    <t>University of Leicester; GNS Science - New Zealand; Consiglio Nazionale delle Ricerche (CNR); Istituto di Geoscienze e Georisorse (IGG-CNR); GNS Science - New Zealand; United States Department of the Interior; United States Geological Survey</t>
  </si>
  <si>
    <t>Smellie, JL (corresponding author), Univ Leicester, Sch Geog Geol &amp; Environm, Leicester LE1 7RH, Leics, England.</t>
  </si>
  <si>
    <t>jls55@le.ac.uk</t>
  </si>
  <si>
    <t>smellie, john/0000-0001-5537-1763; DI VINCENZO, GIANFRANCO/0000-0002-9669-9789</t>
  </si>
  <si>
    <t>New Zealand Antarctic Institute [NZARI 2016-1-1]; New Zealand Government's Strategic Science Investment Fund [C05X1701]; Antarctica New Zealand [ANT1801]; Trans-Antarctic Association (UK); New Zealand Ministry of Business, Innovation &amp; Employment (MBIE) [C05X1701] Funding Source: New Zealand Ministry of Business, Innovation &amp; Employment (MBIE)</t>
  </si>
  <si>
    <t>New Zealand Antarctic Institute; New Zealand Government's Strategic Science Investment Fund; Antarctica New Zealand; Trans-Antarctic Association (UK); New Zealand Ministry of Business, Innovation &amp; Employment (MBIE)(New Zealand Ministry of Business, Innovation and Employment (MBIE))</t>
  </si>
  <si>
    <t>This study was inspired by the detailed field studies by Anne Wright-Grassham in the 1980s and we wish to publicly acknowledge her invaluable contribution to our understanding of the Mason Spur volcano and other volcanoes in the region. The present study was funded by the New Zealand Antarctic Institute (grant NZARI 2016-1-1 to Adam Martin). This work was also partly enabled by the New Zealand Government's Strategic Science Investment Fund support to GNS Science's Regional Geological Map Archive and Datafile (contract C05X1701) and supported by contract number ANT1801, with logistics support provided by Antarctica New Zealand. AM also gratefully acknowledges the support provided by the Geology Department, Otago University, for his fieldwork at Mason Spur in 2005. The authors are also grateful to our field assistants Matt Windsor and Benji Nicholson; Sean Mullally (Snow) &amp; Andrew Hefford, pilots for Southern Lakes Helicopters; Peter McCarthy &amp; Fiona Shanhun, Scott Base commanders and programme support supervisors; and Maddy Bellcroft, Scott Base operations scheduler (helicopter support). Samples collected by Anne Wright-Grassham and dated at the New Mexico Geochronology Research Laboratory were selected by Philip Kyle, whose help we are particularly grateful for. DR also thanks Bill McIntosh for his help supervising her Ar dating at the New Mexico Geochronology Research Laboratory. JS is grateful to Annika Burns (Leicester University) for making the numerous thin sections from often challenging samples that are also at the heart of this study, and for financial support provided by the Trans-Antarctic Association (UK). This paper benefitted from detailed reviews by Kurt Panter, Alan Cooper, Chris Waythomas, Philip Kyle, and Mark Stelten, and careful editorial handling by the editor, Michael Ort, for which the authors are grateful. The study is a contribution to the aims and objectives of AntVolc (SCAR Expert Group on Antarctic volcanism: https://scar.org/science/antvolc/home/).Any use of trade, firm, or product names is for descriptive purposes only and does not imply endorsement by the US Government.</t>
  </si>
  <si>
    <t>0258-8900</t>
  </si>
  <si>
    <t>1432-0819</t>
  </si>
  <si>
    <t>B VOLCANOL</t>
  </si>
  <si>
    <t>Bull. Volcanol.</t>
  </si>
  <si>
    <t>SEP 19</t>
  </si>
  <si>
    <t>10.1007/s00445-022-01601-4</t>
  </si>
  <si>
    <t>4P5VP</t>
  </si>
  <si>
    <t>WOS:000855462500001</t>
  </si>
  <si>
    <t>Freer, JJ; Collins, RA; Tarling, GA; Collins, MA; Partridge, JC; Genner, MJ</t>
  </si>
  <si>
    <t>Freer, Jennifer J.; Collins, Rupert A.; Tarling, Geraint A.; Collins, Martin A.; Partridge, Julian C.; Genner, Martin J.</t>
  </si>
  <si>
    <t>Global phylogeography of hyperdiverse lanternfishes indicates sympatric speciation in the deep sea</t>
  </si>
  <si>
    <t>GLOBAL ECOLOGY AND BIOGEOGRAPHY</t>
  </si>
  <si>
    <t>bioluminescence; divergence; ecological niche model; ecoregion; lanternfish; mesopelagic; photophore; phylogeny; speciation</t>
  </si>
  <si>
    <t>ECOLOGICAL SPECIATION; BIOGEOGRAPHIC CLASSIFICATION; LUMINESCENT PROPERTIES; GENETIC DIVERSITY; FISHES; PHYLOGENIES; PATTERNS; GENUS; MYCTOPHIDAE; MODELS</t>
  </si>
  <si>
    <t>Aim Lanternfishes (Myctophidae) are one of the most species-rich families of mid-water fishes. They inhabit the mesopelagic zone, where physical barriers to dispersal and gene flow are permeable. Thus, modes of speciation that rely exclusively on geographical separation are potentially of less importance than those that rely more prominently on evolution of assortative mating through divergent habitat use and/or sexual signals, including visual signals from bioluminescent light organs. Here we used phylogenetic, ecological and morphological data to investigate the roles of geography, habitat use and lateral photophores in lanternfish speciation. Location Global. Time period Data collected between 1950 and 2015. Major taxa studied Lanternfishes (Myctophidae). Methods Ecological niche models (ENMs) were developed for 167 species, enabling the community composition of 33 mesopelagic ecoregions to be determined. Sequence data for seven protein-coding regions from 175 species were used to reconstruct a phylogenetic tree of Myctophidae. Age-overlap correlation tests were conducted using this phylogeny with outputs from ENMs (pairwise geographical overlap and pairwise ecological niche overlap, n = 136), in addition to matrices of pairwise depth overlap (n = 158) and photophore pattern dissimilarity (n = 161). Results Communities assembled according to nine broad climatic regions, and recently diverged species pairs possessed greater geographical and ecological niche overlap than more distantly related species, indicating that sympatric or parapatric speciation might be dominant modes of divergence. Differences in photophore patterns increased with the relative age of speciation events, suggesting that photophore patterns are largely constrained by phylogeny. Main conclusions Based on this evidence, we suggest that large-scale oceanographic features structure the diversity of lanternfish communities and that speciation within this family of deep-water fishes might not have required geographical isolation.</t>
  </si>
  <si>
    <t>[Freer, Jennifer J.; Collins, Rupert A.; Genner, Martin J.] Univ Bristol, Sch Biol Sci, Bristol, Avon, England; [Freer, Jennifer J.; Tarling, Geraint A.; Collins, Martin A.] British Antarctic Survey, Madingley Rd, Cambridge CB3 0ET, England; [Collins, Rupert A.] Nat Hist Museum, Dept Life Sci, London, England; [Partridge, Julian C.] Univ Western Australia, Sch Biol Sci, Perth, WA, Australia; [Partridge, Julian C.] Univ Western Australia, Oceans Inst, Perth, WA, Australia</t>
  </si>
  <si>
    <t>University of Bristol; UK Research &amp; Innovation (UKRI); Natural Environment Research Council (NERC); NERC British Antarctic Survey; Natural History Museum London; University of Western Australia; University of Western Australia</t>
  </si>
  <si>
    <t>Freer, JJ (corresponding author), British Antarctic Survey, Madingley Rd, Cambridge CB3 0ET, England.</t>
  </si>
  <si>
    <t>jenfree@bas.ac.uk</t>
  </si>
  <si>
    <t>, Martin/ABE-6728-2020; Partridge, Julian/F-2097-2014</t>
  </si>
  <si>
    <t>, Martin/0000-0001-7132-8650; Partridge, Julian/0000-0003-3788-2900; Freer, Jennifer/0000-0002-3947-9261</t>
  </si>
  <si>
    <t>Natural Environment Research Council [NE/L002434/1]; Worldwide Universities Network</t>
  </si>
  <si>
    <t>Natural Environment Research Council(UK Research &amp; Innovation (UKRI)Natural Environment Research Council (NERC)); Worldwide Universities Network</t>
  </si>
  <si>
    <t>Natural Environment Research Council, Grant/Award Number: NE/L002434/1; Worldwide Universities Network</t>
  </si>
  <si>
    <t>1466-822X</t>
  </si>
  <si>
    <t>1466-8238</t>
  </si>
  <si>
    <t>GLOBAL ECOL BIOGEOGR</t>
  </si>
  <si>
    <t>Glob. Ecol. Biogeogr.</t>
  </si>
  <si>
    <t>10.1111/geb.13586</t>
  </si>
  <si>
    <t>Ecology; Geography, Physical</t>
  </si>
  <si>
    <t>Environmental Sciences &amp; Ecology; Physical Geography</t>
  </si>
  <si>
    <t>5E8ID</t>
  </si>
  <si>
    <t>Green Published, hybrid, Green Accepted</t>
  </si>
  <si>
    <t>WOS:000854880400001</t>
  </si>
  <si>
    <t>Liu, S; Chen, YY; Sun, YF; He, XL; Song, CG; Si, J; Liu, DM; Gates, G; Cui, BK</t>
  </si>
  <si>
    <t>Liu, Shun; Chen, Yuan-Yuan; Sun, Yi-Fei; He, Xiao-Lan; Song, Chang-Ge; Si, Jing; Liu, Dong-Mei; Gates, Genevieve; Cui, Bao-Kai</t>
  </si>
  <si>
    <t>Systematic classification and phylogenetic relationships of the brown-rot fungi within the Polyporales</t>
  </si>
  <si>
    <t>FUNGAL DIVERSITY</t>
  </si>
  <si>
    <t>Brown-rot fungi; Fomitopsidaceae; Multi-gene phylogeny; New taxa; Taxonomy; Wood-rotting fungi</t>
  </si>
  <si>
    <t>MOLECULAR-DATA REVEAL; WOOD-ROTTING FUNGI; ANTARCTIC PIPTOPORUS POLYPORACEAE; MORPHOLOGICAL CHARACTERS; SPECIES-DIVERSITY; SP-NOV; ANTRODIA-CAMPHORATA; POSTIA BASIDIOMYCOTA; MULTIGENE PHYLOGENY; S.L. POLYPORALES</t>
  </si>
  <si>
    <t>The brown-rot fungi play an important role in forest ecosystems; they can degrade celluloses and hemicelluloses of wood and maintain nutrient cycling. Some of the brown-rot fungi also have important economic value as medicinal or edible mushrooms. Recent studies showed that the ability to produce brown rot has evolved independently at least five times. Nevertheless, the Polyporales contains the vast majority of the species of the brown-rot fungi. In this study, the classification system of the brown-rot fungi within the Polyporales is revised. Furthermore, the phylogenetic relationships of brown-rot fungi within the Polyporales are analysed based on DNA sequences of multiple loci including the internal transcribed spacer (ITS) regions, the large subunit nuclear ribosomal RNA gene (nLSU), the small subunit nuclear ribosomal RNA gene (nSSU), the small subunit mitochondrial rRNA gene sequences (mtSSU), the translation elongation factor 1-alpha gene (TEF1), the RNA polymerase II largest subunit (RPB1) and the second subunit of RNA polymerase II (RPB2). The study showed that the brown-rot fungi within the Polyporales formed fourteen lineages, which are assigned at family level, including four new families: Auriporiaceae, Piptoporellaceae, Postiaceae, Taiwanofungaceae, and ten existing families: Adustoporiaceae, Dacryobolaceae, Fibroporiaceae, Fomitopsidaceae, Laetiporaceae, Laricifomitaceae, Phaeolaceae, Pycnoporellaceae, Sarcoporiaceae, and Sparassidaceae. Meanwhile, eleven new genera, viz., Austroporia, Aurantipostia, Austropostia, Daedalella, Nothofagiporus, Pseudoantrodia, Pseudofomitopsis, Rhodoantrodia, Tenuipostia, Wolfiporiella and Wolfiporiopsis are proposed; eighteen new species, viz., Amyloporia nivea, Antrodia subheteromorpha, Aurantipostia macrospora, Austropostia hirsuta, A. plumbea, A. subpunctata, Cystidiopostia subhibernica, Daedalella micropora, Fuscopostia subfragilis, Lentoporia subcarbonica, Melanoporia tropica, Neolentiporus tropicus, Phaeolus fragilis, Postia crassicontexta, Pseudoantrodia monomitica, Pseudofomitopsis microcarpa, Resinoporia luteola and Rhodonia subrancida are described; and twelve new combinations, viz., Austroporia stratosa, Austropostia brunnea, A. pelliculosa, A. punctata, Nothofagiporus venatus, Rhodoantrodia tropica, R. yunnanensis, Tenuipostia dissecta, Wolfiporiella cartilaginea, W. curvispora, W. dilatohypha and Wolfiporiopsis castanopsidis, are proposed. Illustrated descriptions of the new species are provided. Notes on the genera of brown-rot fungi within the Polyporales are provided.</t>
  </si>
  <si>
    <t>[Liu, Shun; Sun, Yi-Fei; Song, Chang-Ge; Si, Jing; Cui, Bao-Kai] Beijing Forestry Univ, Sch Ecol &amp; Nat Conservat, Inst Microbiol, Beijing 100083, Peoples R China; [Chen, Yuan-Yuan] Henan Agr Univ, Coll Forestry, Zhengzhou 450002, Henan, Peoples R China; [He, Xiao-Lan] Sichuan Acad Agr Sci, Sichuan Inst Edible Fungi, Chengdu 610066, Sichuan, Peoples R China; [Liu, Dong-Mei] Chinese Acad Environm Sci, Inst Ecol, Beijing 100012, Peoples R China; [Gates, Genevieve] Tasmanian Inst Agr, Private Bag 98, Hobart, Tas 7001, Australia</t>
  </si>
  <si>
    <t>Beijing Forestry University; Henan Agricultural University; Sichuan Academy of Agricultural Sciences (SAAS); University of Tasmania</t>
  </si>
  <si>
    <t>Cui, BK (corresponding author), Beijing Forestry Univ, Sch Ecol &amp; Nat Conservat, Inst Microbiol, Beijing 100083, Peoples R China.</t>
  </si>
  <si>
    <t>cuibaokai@bjfu.edu.cn</t>
  </si>
  <si>
    <t>Si, Jing/D-1616-2012; Liu, Shun/IWM-0747-2023; cui, baokai/P-8328-2014</t>
  </si>
  <si>
    <t>cui, baokai/0000-0003-3059-9344</t>
  </si>
  <si>
    <t>National Natural Science Foundation of China [U2003211, 32270010, 31870008]; Scientific and Technological Tackling Plan for the Key Fields of Xinjiang Production and Construction Corps [2021AB004]; Beijing Forestry Outstanding Young Talent Cultivation Project [2019JQ03016]</t>
  </si>
  <si>
    <t>National Natural Science Foundation of China(National Natural Science Foundation of China (NSFC)); Scientific and Technological Tackling Plan for the Key Fields of Xinjiang Production and Construction Corps; Beijing Forestry Outstanding Young Talent Cultivation Project</t>
  </si>
  <si>
    <t>The research is supported by the National Natural Science Foundation of China (Nos. U2003211, 32270010, 31870008), the Scientific and Technological Tackling Plan for the Key Fields of Xinjiang Production and Construction Corps (No. 2021AB004), and Beijing Forestry Outstanding Young Talent Cultivation Project (No. 2019JQ03016).</t>
  </si>
  <si>
    <t>1560-2745</t>
  </si>
  <si>
    <t>1878-9129</t>
  </si>
  <si>
    <t>FUNGAL DIVERS</t>
  </si>
  <si>
    <t>Fungal Divers.</t>
  </si>
  <si>
    <t>10.1007/s13225-022-00511-2</t>
  </si>
  <si>
    <t>Mycology</t>
  </si>
  <si>
    <t>AO2Q7</t>
  </si>
  <si>
    <t>WOS:000854849700001</t>
  </si>
  <si>
    <t>Mervis, J</t>
  </si>
  <si>
    <t>Mervis, Jeffrey</t>
  </si>
  <si>
    <t>SCIENTIFIC COMMUNITY US Antarctic Program has ignored sexual harassment</t>
  </si>
  <si>
    <t>News Item</t>
  </si>
  <si>
    <t>SEP 16</t>
  </si>
  <si>
    <t>6L1ES</t>
  </si>
  <si>
    <t>WOS:000887933500013</t>
  </si>
  <si>
    <t>Hwang, J; Kim, B; Lee, MJ; Nam, Y; Youn, UJ; Lee, CS; Oh, TJ; Park, HH; Do, H; Lee, JH</t>
  </si>
  <si>
    <t>Hwang, Jisub; Kim, Bogeun; Lee, Min Ju; Nam, Yewon; Youn, Ui Joung; Lee, Chang Sup; Oh, Tae-Jin; Park, Hyun Ho; Do, Hackwon; Lee, Jun Hyuck</t>
  </si>
  <si>
    <t>Structural basis for the substrate specificity of an S-formylglutathione hydrolase derived from Variovorax sp. PAMC 28711 br</t>
  </si>
  <si>
    <t>BIOCHEMICAL AND BIOPHYSICAL RESEARCH COMMUNICATIONS</t>
  </si>
  <si>
    <t>Crystal structure; S-Formylglutathione hydrolase; Substrate speci ficity; Variovorax sp; PAMC 28711; X-ray crystallography</t>
  </si>
  <si>
    <t>HUMAN ESTERASE D; CRYSTAL-STRUCTURE; REFINEMENT; RESISTANCE; FAMILY</t>
  </si>
  <si>
    <t>S-Formylglutathione hydrolase was originally known to catalyze the hydrolysis of S-formylglutathione to formate and glutathione. However, this enzyme has a broader esterase activity toward substrates con-taining thioester and ester bonds. In a previous study, we identified a new S-formylglutathione hydrolase (VaSFGH) gene in the Antarctic bacterium Variovorax sp. PAMC 28711, and recombinant VaSFGH protein was purified and characterized. Previous enzyme activity assays showed that VaSFGH has high activity, especially toward short-chain p-nitrophenyl esters (C2-C4). In this study, we determined the crystal structure of substrate-free VaSFGH at a resolution of 2.38 angstrom. In addition, p-nitrophenyl ester-bound VaSFGH structure models were generated by molecular docking simulations to obtain structural evi-dence of its substrate specificity. Comparative structural analysis of the apo-form and p-nitrophenyl ester-bound VaSFGH model structures revealed that large substrates could not bind inside the hydro-phobic substrate-binding pocket because of the intrinsically static and relatively small substrate-binding pocket size of VaSFGH. This study provides useful information for further protein engineering of SFGHs for industrial use. (c) 2022 Elsevier Inc. All rights reserved.</t>
  </si>
  <si>
    <t>[Hwang, Jisub; Kim, Bogeun; Lee, Min Ju; Nam, Yewon; Do, Hackwon; Lee, Jun Hyuck] Korea Polar Res Inst, Res Unit Cryogen Novel Mat, Incheon 21990, South Korea; [Hwang, Jisub; Kim, Bogeun; Youn, Ui Joung; Do, Hackwon] Univ Sci &amp; Technol, Dept Polar Sci, Incheon 21990, South Korea; [Youn, Ui Joung] Korea Polar Res Inst, Div Life Sci, Incheon 21990, South Korea; [Lee, Chang Sup] Gyeongsang Natl Univ, Res Inst Pharmaceut Sci, Coll Pharm, Jinju 52828, South Korea; [Oh, Tae-Jin] SunMoon Univ, Grad Sch, Dept Life Sci &amp; Biochem Engn, Asan 31460, South Korea; [Park, Hyun Ho] Chung Ang Univ, Coll Pharm, Seoul 06974, South Korea</t>
  </si>
  <si>
    <t>Korea Polar Research Institute (KOPRI); Korea Polar Research Institute (KOPRI); Gyeongsang National University; Sun Moon University; Chung Ang University</t>
  </si>
  <si>
    <t>Do, H; Lee, JH (corresponding author), Korea Polar Res Inst, Res Unit Cryogen Novel Mat, Incheon 21990, South Korea.;Do, H (corresponding author), Univ Sci &amp; Technol, Dept Polar Sci, Incheon 21990, South Korea.</t>
  </si>
  <si>
    <t>hackwondo@kopri.re.kr; junhyucklee@kopri.re.kr</t>
  </si>
  <si>
    <t>Hwang, Jisub/0000-0002-9835-5912; Youn, Ui Joung/0000-0001-9338-7934; Kim, Bogeun/0000-0001-6103-0922</t>
  </si>
  <si>
    <t>Ministry of Oceans and Fisheries, Korea [PM22030, KIMST 20200610]; Korea Polar Research Institute (KOPRI) [PE22120]</t>
  </si>
  <si>
    <t>Ministry of Oceans and Fisheries, Korea; Korea Polar Research Institute (KOPRI)(Korea Polar Research Institute of Marine Research Placement (KOPRI))</t>
  </si>
  <si>
    <t>We would like to thank the staff at the X-ray core facility of the Korea Basic Science Institute (Ochang, Korea) and BL -5C of the Pohang Accelerator Laboratory (Pohang, Korea) for their assistance with data collection. This research was part of the project titled ?Development of potential antibiotic compounds using polar or- ganism resources (KIMST 20200610, KOPRI Grant PM22030) , ? funded by the Ministry of Oceans and Fisheries, Korea. This work was also supported by the Korea Polar Research Institute (KOPRI; grant number PE22120) .</t>
  </si>
  <si>
    <t>ACADEMIC PRESS INC ELSEVIER SCIENCE</t>
  </si>
  <si>
    <t>SAN DIEGO</t>
  </si>
  <si>
    <t>525 B ST, STE 1900, SAN DIEGO, CA 92101-4495 USA</t>
  </si>
  <si>
    <t>0006-291X</t>
  </si>
  <si>
    <t>1090-2104</t>
  </si>
  <si>
    <t>BIOCHEM BIOPH RES CO</t>
  </si>
  <si>
    <t>Biochem. Biophys. Res. Commun.</t>
  </si>
  <si>
    <t>NOV 12</t>
  </si>
  <si>
    <t>10.1016/j.bbrc.2022.09.008</t>
  </si>
  <si>
    <t>Biochemistry &amp; Molecular Biology; Biophysics</t>
  </si>
  <si>
    <t>5L3TX</t>
  </si>
  <si>
    <t>WOS:000870339100009</t>
  </si>
  <si>
    <t>Huang, J</t>
  </si>
  <si>
    <t>Huang, Jin</t>
  </si>
  <si>
    <t>Collaborative Control and Optimization Mechanism of Thermal Management of New Energy Vehicles</t>
  </si>
  <si>
    <t>ADVANCES IN MULTIMEDIA</t>
  </si>
  <si>
    <t>Global issues such as global warming, rising sea level, melting Arctic and Antarctic glaciers, deterioration of the natural environment, and depletion of fossil energy have attracted increasing attention. As the concept of environmental protection has become increasingly popular, the concept of new energy automobiles has been proposed to keep the heat up. Especially in recent years, with the advantages of energy conservation, environmental protection, and low noise, new energy automobiles have changed from concept to industry and have been generally accepted and recognized by consumers in the consumer market. The increasingly stringent energy crisis and emission regulations have put forward more stringent requirements for modern automobiles. The thermal management of the new generation of intelligent automobiles is not only limited to simply solving the problem of engine heat dissipation but also involves reliability, power, economy, emissions, and comfort. It is an important vehicle development technology with many performances such as performance. The integrated thermal management of new energy vehicles includes engine cooling, oil cooling, air conditioning refrigeration, HVAC heating, supercharged intercooling, low cycle thermal fatigue, and thermal damage. For new energy vehicles such as hybrid and pure electric vehicles, it also includes motor cooling, motor controller cooling, and power battery temperature control. For the purpose of vehicle thermal management optimization design, this paper innovatively proposes IVTM technical solutions, relying on multidimensional numerical calculation coupling and multiobjective collaborative optimization control to integrate system design, scheme evaluation, performance analysis, dynamic control, and collaborative optimization. Through the integrated thermal management collaborative control strategy based on the full operating conditions of the new energy vehicle, the comprehensive improvement of multiple evaluation indicators such as system design performance, thermal management, and control performance and economy is achieved.</t>
  </si>
  <si>
    <t>[Huang, Jin] Chongqing Ind Polytech Coll, Sch Elect &amp; IoT Engn, Chongqing 401120, Peoples R China</t>
  </si>
  <si>
    <t>Chongqing Industry Polytechnic College</t>
  </si>
  <si>
    <t>Huang, J (corresponding author), Chongqing Ind Polytech Coll, Sch Elect &amp; IoT Engn, Chongqing 401120, Peoples R China.</t>
  </si>
  <si>
    <t>huangjin@cqipc.edu.cn</t>
  </si>
  <si>
    <t>Science and Technology Research Program of Chongqing Municipal Education Commission; [KJQN202003203]</t>
  </si>
  <si>
    <t>Science and Technology Research Program of Chongqing Municipal Education Commission;</t>
  </si>
  <si>
    <t>AcknowledgmentsThis work is supported by the Science and Technology Research Program of Chongqing Municipal Education Commission (Grant No. KJQN202003203).</t>
  </si>
  <si>
    <t>HINDAWI LTD</t>
  </si>
  <si>
    <t>ADAM HOUSE, 3RD FLR, 1 FITZROY SQ, LONDON, W1T 5HF, ENGLAND</t>
  </si>
  <si>
    <t>1687-5680</t>
  </si>
  <si>
    <t>1687-5699</t>
  </si>
  <si>
    <t>ADV MULTIMED</t>
  </si>
  <si>
    <t>Adv. Multimed.</t>
  </si>
  <si>
    <t>10.1155/2022/8759557</t>
  </si>
  <si>
    <t>Engineering, Electrical &amp; Electronic</t>
  </si>
  <si>
    <t>5C1ZT</t>
  </si>
  <si>
    <t>WOS:000864066500004</t>
  </si>
  <si>
    <t>Wang, CC; Kong, JY; Li, XY; Yang, JY; Xue, CH; Yanagita, T; Wang, YM</t>
  </si>
  <si>
    <t>Wang, Cheng-Cheng; Kong, Jing-Ya; Li, Xiao-Yue; Yang, Jin-Yue; Xue, Chang-Hu; Yanagita, Teruyoshi; Wang, Yu-Ming</t>
  </si>
  <si>
    <t>Antarctic krill oil exhibited synergistic effects with nobiletin and theanine in ameliorating memory and cognitive deficiency in SAMP8 mice: Applying the perspective of the sea-land combination to retard brain aging</t>
  </si>
  <si>
    <t>FRONTIERS IN AGING NEUROSCIENCE</t>
  </si>
  <si>
    <t>sea-land combination; neurodegenerative diseases; Antarctic krill oil; nobiletin; theanine; n-3 PUFAs-enriched phospholipids; Alzheimer's disease; neuroinflammation</t>
  </si>
  <si>
    <t>MPTP-INDUCED MICE; ENRICHED PHOSPHOLIPIDS; DOCOSAHEXAENOIC ACID; BEHAVIORAL DEFICITS; NEUROTROPHIC ACTION; OBJECT RECOGNITION; OXIDATIVE STRESS; IMPAIRMENT; DISEASE; NEUROINFLAMMATION</t>
  </si>
  <si>
    <t>The complex pathogenesis of Alzheimer's disease (AD) leads to a limited therapeutic effect; therefore, the combination of multiple bioactive ingredients may be more effective in improving AD due to synergistic effects. Based on the perspective of the sea-land combination, the effects of sea-derived Antarctic krill oil (AKO) combined with land-derived nobiletin (Nob) and L-theanine (The) on memory loss and cognitive deficiency were studied in senescence-accelerated prone 8 mice (SAMP8). The results demonstrated that AKO combined with The significantly increased the number of platform crossings in the Morris water maze test by 1.6-fold, and AKO combined with Nob significantly increased the preference index in a novel object recognition test. AKO exhibited synergistic effects with Nob and The in ameliorating recognition memory and spatial memory deficiency in SAMP8 mice, respectively. Further research of the mechanism indicated that AKO exhibited synergistic effects with Nob in suppressing beta-amyloid (A beta) aggregation, neurofibrillary tangles, and apoptosis and neuroinflammation, while the synergistic effects of AKO and The involved in synaptic plasticity and anti-neuroinflammation, which revealed that the combination was complex, not a mechanical addition. These findings revealed that the sea-land combination may be an effective strategy to treat and alleviate AD.</t>
  </si>
  <si>
    <t>[Wang, Cheng-Cheng; Kong, Jing-Ya; Li, Xiao-Yue; Yang, Jin-Yue; Xue, Chang-Hu; Wang, Yu-Ming] Ocean Univ China, Coll Food Sci &amp; Engn, Qingdao, Peoples R China; [Xue, Chang-Hu; Wang, Yu-Ming] Lab Marine Drugs &amp; Bioprod, Pilot Natl Lab Marine Sci &amp; Technol, Qingdao, Peoples R China; [Yanagita, Teruyoshi] Saga Univ, Dept Appl Biochem &amp; Food Sci, Lab Nutr Biochem, Saga, Japan</t>
  </si>
  <si>
    <t>Ocean University of China; Laoshan Laboratory; Saga University</t>
  </si>
  <si>
    <t>Wang, YM (corresponding author), Ocean Univ China, Coll Food Sci &amp; Engn, Qingdao, Peoples R China.;Wang, YM (corresponding author), Lab Marine Drugs &amp; Bioprod, Pilot Natl Lab Marine Sci &amp; Technol, Qingdao, Peoples R China.</t>
  </si>
  <si>
    <t>wangyuming@ouc.edu.cn</t>
  </si>
  <si>
    <t>yuming, wang/K-8179-2012; Li, Xiaoyue/Y-7276-2019</t>
  </si>
  <si>
    <t>National Key R&amp;D Program of China; [2018YFD0901103]</t>
  </si>
  <si>
    <t>National Key R&amp;D Program of China;</t>
  </si>
  <si>
    <t>Funding This work is supported by National Key R&amp;D Program of China (2018YFD0901103).</t>
  </si>
  <si>
    <t>1663-4365</t>
  </si>
  <si>
    <t>FRONT AGING NEUROSCI</t>
  </si>
  <si>
    <t>Front. Aging Neurosci.</t>
  </si>
  <si>
    <t>10.3389/fnagi.2022.964077</t>
  </si>
  <si>
    <t>Geriatrics &amp; Gerontology; Neurosciences</t>
  </si>
  <si>
    <t>Geriatrics &amp; Gerontology; Neurosciences &amp; Neurology</t>
  </si>
  <si>
    <t>4Z8FR</t>
  </si>
  <si>
    <t>WOS:000862437800001</t>
  </si>
  <si>
    <t>Huang, LQ; Wu, WX; Huang, LS; Zhong, JZ; Chen, L; Wang, MY; Chen, HB</t>
  </si>
  <si>
    <t>Huang, Luqiang; Wu, Wenxin; Huang, Linshan; Zhong, Jiaze; Chen, Lei; Wang, Meiying; Chen, Huibin</t>
  </si>
  <si>
    <t>Antarctic krill (Euphausia superba) oil modulatory effects on ethanol-induced acute injury of the gastric mucosa in rats</t>
  </si>
  <si>
    <t>FRONTIERS IN NUTRITION</t>
  </si>
  <si>
    <t>Antarctic krill oil; supercritical carbon dioxide extraction; gastric mucosal injury; inflammation; polyunsaturated fatty acid</t>
  </si>
  <si>
    <t>NF-KAPPA-B; OXIDATIVE STRESS; ALPHA-TOCOPHEROL; INFLAMMATION; MICE; INVOLVEMENT; EXTRACTION; CANCER; DAMAGE; ULCER</t>
  </si>
  <si>
    <t>Antarctic krill oil (KO) prepared using supercritical carbon dioxide extraction and characterized using gas chromatography-mass spectrometry was used to investigate its preventive effect on ethanol-induced gastric tissue damage in a rat model in vivo. KO characterization showed that 74.96% of the unsaturated fatty acids consist of oleic acid, eicosapentaenoic acid (EPA), and docosahexaenoic acid (DHA). Rats pre-treated with KO (100, 200, and 500 mg/kg) showed mitigated oxidative stress through enhanced antioxidant enzyme superoxide dismutase (SOD) and reducing enzymes malondialdehyde (MDA) and myeloperoxidase (MPO) in gastric mucosal injury induced by ethanol. Additionally, the secretion of pro-inflammatory cytokines (TNF-alpha, IL-6, and IL-1 beta), the expression of the I kappa B alpha/NF-kappa B signaling pathway, and nitric oxide (NO) production was suppressed. The results also demonstrated a significant decrease in histological injury and hemorrhage scores in a dose-dependent manner in the KO range. Therefore, KO has potential as a food supplement to alleviate ethanol-induced acute gastric mucosal injury.</t>
  </si>
  <si>
    <t>[Huang, Luqiang; Wu, Wenxin; Huang, Linshan; Zhong, Jiaze; Chen, Huibin] Fujian Normal Univ, Southern Inst Oceanog, Coll Life Sci, Fuzhou, Peoples R China; [Huang, Luqiang; Chen, Huibin] Fujian Normal Univ, Publ Serv Platform Ind Dev Technol Marine Biol Med, State Ocean Adm, Fuzhou, Peoples R China; [Huang, Luqiang] Fujian Normal Univ, Marine Act Subst &amp; Prod Technol Res &amp; Dev Ctr, Ocean Res Inst Fuzhou, Fuzhou, Peoples R China; [Chen, Lei] Guangdong Ocean Univ, Coll Food Sci &amp; Technol, Zhanjiang, Peoples R China; [Wang, Meiying] Univ Guelph, Sch Engn, Guelph, ON, Canada</t>
  </si>
  <si>
    <t>Fujian Normal University; Fujian Normal University; Fujian Normal University; Guangdong Ocean University; University of Guelph</t>
  </si>
  <si>
    <t>Chen, HB (corresponding author), Fujian Normal Univ, Southern Inst Oceanog, Coll Life Sci, Fuzhou, Peoples R China.;Chen, HB (corresponding author), Fujian Normal Univ, Publ Serv Platform Ind Dev Technol Marine Biol Med, State Ocean Adm, Fuzhou, Peoples R China.;Wang, MY (corresponding author), Univ Guelph, Sch Engn, Guelph, ON, Canada.</t>
  </si>
  <si>
    <t>mwang15@uoguelph.ca; chuibin@fjnu.edu.cn</t>
  </si>
  <si>
    <t>Liu, DY/JPL-4171-2023</t>
  </si>
  <si>
    <t>2296-861X</t>
  </si>
  <si>
    <t>FRONT NUTR</t>
  </si>
  <si>
    <t>Front. Nutr.</t>
  </si>
  <si>
    <t>10.3389/fnut.2022.1003627</t>
  </si>
  <si>
    <t>4Z8MD</t>
  </si>
  <si>
    <t>WOS:000862454600001</t>
  </si>
  <si>
    <t>Menking, JA; Shackleton, SA; Bauska, TK; Buffen, AM; Brook, EJ; Barker, S; Severinghaus, JP; Dyonisius, MN; Petrenko, VV</t>
  </si>
  <si>
    <t>Menking, James A.; Shackleton, Sarah A.; Bauska, Thomas K.; Buffen, Aron M.; Brook, Edward J.; Barker, Stephen; Severinghaus, Jeffrey P.; Dyonisius, Michael N.; Petrenko, Vasilii V.</t>
  </si>
  <si>
    <t>Multiple carbon cycle mechanisms associated with the glaciation of Marine Isotope Stage 4</t>
  </si>
  <si>
    <t>ATMOSPHERIC NITROUS-OXIDE; DEEP SOUTHERN-OCEAN; ANTARCTIC ICE; POLAR ICE; OVERTURNING CIRCULATION; CHRONOLOGY AICC2012; IRON FERTILIZATION; CO2 VARIABILITY; DEGLACIAL RISE; TAYLOR GLACIER</t>
  </si>
  <si>
    <t>Here we use high-precision carbon isotope data (delta C-13-CO2) to show atmospheric CO2 during Marine Isotope Stage 4 (MIS 4, similar to 70.5-59 ka) was controlled by a succession of millennial-scale processes. Enriched delta C-13-CO2 during peak glaciation suggests increased ocean carbon storage. Variations in delta C-13-CO2 in early MIS 4 suggest multiple processes were active during CO2 drawdown, potentially including decreased land carbon and decreased Southern Ocean air-sea gas exchange superposed on increased ocean carbon storage. CO2 remained low during MIS 4 while delta C-13-CO2 fluctuations suggest changes in Southern Ocean and North Atlantic air-sea gas exchange. A 7 ppm increase in CO2 at the onset of Dansgaard-Oeschger event 19 (72.1 ka) and 27 ppm increase in CO2 during late MIS 4 (Heinrich Stadial 6, similar to 63.5-60 ka) involved additions of isotopically light carbon to the atmosphere. The terrestrial biosphere and Southern Ocean air-sea gas exchange are possible sources, with the latter event also involving decreased ocean carbon storage.</t>
  </si>
  <si>
    <t>[Menking, James A.; Buffen, Aron M.; Brook, Edward J.] Oregon State Univ, Coll Earth Ocean &amp; Atmospher Sci, Corvallis, OR 97331 USA; [Shackleton, Sarah A.; Severinghaus, Jeffrey P.] Univ Calif San Diego, Scripps Inst Oceanog, La Jolla, CA 92093 USA; [Bauska, Thomas K.] British Antarctic Survey, Cambridge CB3 0ET, England; [Barker, Stephen] Oregon State Univ, Sch Earth &amp; Environm Sci, Cardiff CF10 3AT, Wales; [Dyonisius, Michael N.] Niels Bohr Inst, Ice Climate &amp; Geophys, DK-2200 Copenhagen, Denmark; [Petrenko, Vasilii V.] Univ Rochester, Dept Earth &amp; Environm Sci, Rochester, NY 14627 USA</t>
  </si>
  <si>
    <t>Oregon State University; University of California System; University of California San Diego; Scripps Institution of Oceanography; UK Research &amp; Innovation (UKRI); Natural Environment Research Council (NERC); NERC British Antarctic Survey; University of Copenhagen; Niels Bohr Institute; University of Rochester</t>
  </si>
  <si>
    <t>Menking, JA (corresponding author), Oregon State Univ, Coll Earth Ocean &amp; Atmospher Sci, Corvallis, OR 97331 USA.</t>
  </si>
  <si>
    <t>James.Menking@utas.edu.au</t>
  </si>
  <si>
    <t>Stephen, Barker/C-2770-2009; Menking, James Andrew/GPX-8702-2022</t>
  </si>
  <si>
    <t>Menking, James Andrew/0000-0002-5891-6711; Shackleton, Sarah/0000-0001-5927-1954; Barker, Stephen/0000-0001-7870-6431</t>
  </si>
  <si>
    <t>National Science Foundation [US NSF PLR-1245821, US NSF PLR-1245659, US NSF PLR-1246148]</t>
  </si>
  <si>
    <t>We thank Kathy Schroeder and Mike Jayred for enormous assistance in the field. We also thank Mike Kalk for assistance at the OSU ice core lab. This project was funded by the National Science Foundation: US NSF PLR-1245821 EJB, US NSF PLR-1245659 VVP, US NSF PLR-1246148 JPS.</t>
  </si>
  <si>
    <t>10.1038/s41467-022-33166-3</t>
  </si>
  <si>
    <t>4O6GK</t>
  </si>
  <si>
    <t>WOS:000854793700023</t>
  </si>
  <si>
    <t>Tang, YH; Duan, AM; Hu, J</t>
  </si>
  <si>
    <t>Tang, Yuheng; Duan, Anmin; Hu, Jun</t>
  </si>
  <si>
    <t>Surface Heating Over the Tibetan Plateau Associated With the Antarctic Oscillation</t>
  </si>
  <si>
    <t>the Tibetan Plateau heating; Antarctic Oscillation; the surface sensible heat flux; the Rossby wave train</t>
  </si>
  <si>
    <t>SPRING SENSIBLE HEAT; INTERANNUAL VARIABILITY; NORTH-ATLANTIC; INDIAN-OCEAN; ANNULAR MODE; PRECIPITATION; TEMPERATURE; CIRCULATION; MONSOON; IMPACT</t>
  </si>
  <si>
    <t>The surface heating on the Tibetan Plateau (TP) exerts large influence on the Asian summer monsoon. Drivers of TP surface heat include the tropical forcings and other climate modes in middle and high latitude of the Northern Hemisphere, however whether the climate modes in Southern Hemisphere influence the TP surface heat is rarely studied. Using multiple source data diagnosis and numerical experiment from an atmospheric general circulation model (AGCM), we found that the Antarctic Oscillation (AAO) in May can efficiently modulate the subsequent surface heat source over the TP in June. When the AAO is in positive phases, a northeastward propagating atmospheric Rossby wave train originates from the Amundsen Sea low. As a part of this wave train, a pair of anomalous cyclone and anticyclone in the Southern Hemisphere accelerates the surface southeasterlies between them, accompanied by cold sea surface temperature (SST) anomaly in the equatorial middle and eastern Indian Ocean induced by the wind-evaporation-SST feedback. Due to the large thermal inertia, in June, the cold SST anomaly stimulates anticyclone anomalies over the western TP and eastern Arabian Sea, which increase the moisture transportation toward the TP and are conducive to the formation and maintenance of the precipitation over the middle and eastern TP. In contrast, the surface heat source, which is dominated by the upward sensible heat flux, is reduced substantially. This result indicates that the AAO can be one of the precursors of the TP heat source, and may help improve the prediction of the Asian summer monsoon.</t>
  </si>
  <si>
    <t>[Tang, Yuheng; Duan, Anmin] Chinese Acad Sci, Inst Atmospher Phys, State Key Lab Numer Modeling Atmospher Sci &amp; Geop, Beijing, Peoples R China; [Tang, Yuheng; Duan, Anmin] Univ Chinese Acad Sci, Coll Earth Sci, Beijing, Peoples R China; [Duan, Anmin; Hu, Jun] Xiamen Univ, Coll Ocean &amp; Earth Sci, Xiamen, Peoples R China</t>
  </si>
  <si>
    <t>Chinese Academy of Sciences; Institute of Atmospheric Physics, CAS; Chinese Academy of Sciences; University of Chinese Academy of Sciences, CAS; Xiamen University</t>
  </si>
  <si>
    <t>Duan, AM (corresponding author), Chinese Acad Sci, Inst Atmospher Phys, State Key Lab Numer Modeling Atmospher Sci &amp; Geop, Beijing, Peoples R China.;Duan, AM (corresponding author), Univ Chinese Acad Sci, Coll Earth Sci, Beijing, Peoples R China.;Duan, AM (corresponding author), Xiamen Univ, Coll Ocean &amp; Earth Sci, Xiamen, Peoples R China.</t>
  </si>
  <si>
    <t>amduan@lasg.iap.ac.cn</t>
  </si>
  <si>
    <t>Hu, Jun/K-8453-2019; Tang, Yuheng/JRY-0088-2023</t>
  </si>
  <si>
    <t>Tang, Yuheng/0000-0002-9639-3958; Hu, Jun/0000-0002-0458-5996</t>
  </si>
  <si>
    <t>Strategic Priority Research Program of the Chinese Academy of Sciences [XDA19070404]; National Natural Science Foundation of China [42030602]</t>
  </si>
  <si>
    <t>Strategic Priority Research Program of the Chinese Academy of Sciences(Chinese Academy of Sciences); National Natural Science Foundation of China(National Natural Science Foundation of China (NSFC))</t>
  </si>
  <si>
    <t>This work was supported by the Strategic Priority Research Program of the Chinese Academy of Sciences (Grant No. XDA19070404) and the National Natural Science Foundation of China (Grant No. 42030602).</t>
  </si>
  <si>
    <t>e2022JD036851</t>
  </si>
  <si>
    <t>10.1029/2022JD036851</t>
  </si>
  <si>
    <t>4P3NC</t>
  </si>
  <si>
    <t>WOS:000855302500001</t>
  </si>
  <si>
    <t>Barbero, A; Grilli, R; Frey, MM; Blouzon, C; Helmig, D; Caillon, N; Savarino, J</t>
  </si>
  <si>
    <t>Barbero, Albane; Grilli, Roberto; Frey, Markus M.; Blouzon, Camille; Helmig, Detlev; Caillon, Nicolas; Savarino, Joel</t>
  </si>
  <si>
    <t>Summer variability of the atmospheric NO2 : NO ratio a Dome C on the East Antarctic Plateau</t>
  </si>
  <si>
    <t>SURFACE MASS-BALANCE; GAS-PHASE REACTIONS; NITROGEN-OXIDES NO; AIR-SNOW TRANSFER; BOUNDARY-LAYER; COASTAL ANTARCTICA; PHOTOCHEMICAL DATA; CHABLIS CAMPAIGN; MIXING RATIOS; SOUTH-POLE</t>
  </si>
  <si>
    <t>Previous Antarctic summer campaigns have shown unexpectedly high levels of oxidants in the lower atmosphere of the continental plateau and at coastal regions, with atmospheric hydroxyl radical (OH) concentrations up to 4 x 10(6) cm(-3). Such high reactivity in the summer Antarctic boundary layer results in part from the emissions of nitrogen oxides (NOx NO + NO2) produced during photo-denitrification of the snowpack, but its underlying mechanisms are not yet fully understood, as some of the chemical species involved (NO2, in particular) have not yet been measured directly and accurately. To overcome this crucial lack of information, newly developed optical instruments based on absorption spectroscopy (incoherent broadband cavity-enhanced absorption spectroscopy, IBBCEAS) were deployed for the first time at Dome C (-75.10 lat., 123.33 long., 3233 m a.s.l.) during the 2019-2020 summer campaign to investigate snow-air-radiation interaction. These instruments directly measure NO2 with a detection limit of 30 pptv (parts per trillion by volume or 10(-12) mol mol(-1)) (3 sigma). We performed two sets of measurements in December 2019 (4 to 9) and January 2020 (16 to 25) to capture the early and late photolytic season, respectively. Late in the season, the daily averaged NO2 : NO ratio of 0.4 +/- 0.4 matches that expected for photochemical equilibrium through Leighton's extended relationship involving ROx (0.6 +/- 0.3). In December, however, we observed a daily averaged NO2 : NO ratio of 1.3 +/- 1.1, which is approximately twice the daily ratio of 0.7 +/- 0.4 calculated for the Leighton equilibrium. This suggests that more NO2 is produced from the snowpack early in the photolytic season (4 to 9 December), possibly due to stronger UV irradiance caused by a smaller solar zenith angle near the solstice. Such a high sensitivity of the NO2 : NO ratio to the sun's position is of importance for consideration in atmospheric chemistry models.</t>
  </si>
  <si>
    <t>[Barbero, Albane; Grilli, Roberto; Blouzon, Camille; Caillon, Nicolas; Savarino, Joel] Univ Grenoble Alpes, IGE, Grenoble INP Inst Engn, CNRS,IRD, Grenoble, France; [Frey, Markus M.] British Antarctic Survey, Cambridge CB3 0ET, England; [Blouzon, Camille] MirSense, Campus Minatec, Grenoble, France; [Helmig, Detlev] Boulder AIR LLC, 2820 Lafayette Dr, Boulder, CO 80305 USA</t>
  </si>
  <si>
    <t>Communaute Universite Grenoble Alpes; Universite Grenoble Alpes (UGA); Institut de Recherche pour le Developpement (IRD); Centre National de la Recherche Scientifique (CNRS); UK Research &amp; Innovation (UKRI); Natural Environment Research Council (NERC); NERC British Antarctic Survey</t>
  </si>
  <si>
    <t>Barbero, A; Savarino, J (corresponding author), Univ Grenoble Alpes, IGE, Grenoble INP Inst Engn, CNRS,IRD, Grenoble, France.</t>
  </si>
  <si>
    <t>albane.barbero@univ-grenoble-alpes.fr; joel.savarino@cnrs.fr</t>
  </si>
  <si>
    <t>Frey, Markus/G-1756-2012; Barbero, Albane/AAW-6323-2020; Caillon, Nicolas/B-7127-2019</t>
  </si>
  <si>
    <t>Frey, Markus/0000-0003-0535-0416; Barbero, Albane/0000-0002-3600-2169; Caillon, Nicolas/0000-0002-6318-6194</t>
  </si>
  <si>
    <t>LabEx OSUG@2020 [ANR10 LABX56]; French National programme LEFE (Les Enveloppes Fluides et l'Environnement) via LEFE REACT; Agence Nationale de la Recherche (ANR) [ANR-16-CE01-001101]; Foundation BNP-Paribas through its Climate &amp; Biodiversity Initiative programme; French Polar Institute (IPEV) [1177, 1169]; NERC [NE/N011813/1] Funding Source: UKRI</t>
  </si>
  <si>
    <t>LabEx OSUG@2020; French National programme LEFE (Les Enveloppes Fluides et l'Environnement) via LEFE REACT; Agence Nationale de la Recherche (ANR)(Agence Nationale de la Recherche (ANR)); Foundation BNP-Paribas through its Climate &amp; Biodiversity Initiative programme; French Polar Institute (IPEV); NERC(UK Research &amp; Innovation (UKRI)Natural Environment Research Council (NERC))</t>
  </si>
  <si>
    <t>This research has been supported by the LabEx OSUG@2020 (Investissements d'avenir -ANR10 LABX56), the French National programme LEFE (Les Enveloppes Fluides et l'Environnement) via LEFE REACT, the Agence Nationale de la Recherche (ANR) via contract ANR-16-CE01-001101 EAIIST, the Foundation BNP-Paribas through its Climate &amp; Biodiversity Initiative programme, and the French Polar Institute (IPEV) through programmes 1177 (CAPOXI 35-75) and 1169 (EAIIST).</t>
  </si>
  <si>
    <t>10.5194/acp-22-12025-2022</t>
  </si>
  <si>
    <t>4N7TD</t>
  </si>
  <si>
    <t>Green Submitted, gold, Green Accepted</t>
  </si>
  <si>
    <t>WOS:000854218200001</t>
  </si>
  <si>
    <t>Koloskov, OV; Nickolaenko, AP; Yampolski, YM; Budanov, OV</t>
  </si>
  <si>
    <t>Koloskov, O., V; Nickolaenko, A. P.; Yampolski, Yu M.; Budanov, O., V</t>
  </si>
  <si>
    <t>Electromagnetic Seasons in Schumann Resonance Records</t>
  </si>
  <si>
    <t>frequency and intensity of Schumann resonance; long-term synchronous observations in the Northern and Southern hemispheres; seasonal changes</t>
  </si>
  <si>
    <t>GLOBAL LIGHTNING ACTIVITY; EARTH-IONOSPHERE CAVITY; VARIABILITY; PARAMETERS; FIELD</t>
  </si>
  <si>
    <t>Results of 6-year concurrent observations of Schumann resonance at the Ukrainian Akademik Vernadsky Antarctic station (65.25 degrees N, 64.25 degrees W) and at SOUSY Arctic facility (Svalbard 78.15 degrees N, 16.05 degrees E) are analyzed and compared. Measurements were performed simultaneously by using similar techniques and the calibrated digital equipment. The long-term records of two orthogonal horizontal magnetic field components demonstrated seasonal and interannual changes in the peak frequency and intensity of the first Schumann resonance mode. The analysis of the annual variations of these parameters in different hemispheres allowed us to select the electromagnetic seasons. We suggest that each electromagnetic season corresponds to the characteristic pattern of diurnal peak frequency variation determined by lightning the source-observer configuration. This configuration is unique for each observation point and varies from one season to another in line with the seasonal latitudinal north-south drift of world thunderstorms. Our observation has demonstrated the different duration of electromagnetic seasons in the Arctic and Antarctic. To study the formal reason of this discrepancy, the final data were processed using the singular value decomposition (SVD) algorithm, which allowed us to identify the principal components (PCs) of the time series. The implementation of this technique to peak frequency variation showed the phase shift between the semiannual PCs at the Southern and Northern Hemispheres that explains the different duration of electromagnetic seasons. The SVD of the first Schumann resonance mode intensity demonstrated the phase shift between annual variations in different hemispheres and complicated the behavior of other PCs that deserve a separate study.</t>
  </si>
  <si>
    <t>[Koloskov, O., V] Minist Educ &amp; Sci Ukraine, State Inst Natl Antarctic Sci Ctr Ukraine, Kiev, Ukraine; [Koloskov, O., V; Yampolski, Yu M.; Budanov, O., V] Natl Acad Sci Ukraine, Inst Radio Astron, Kharkiv, Ukraine; [Nickolaenko, A. P.] Natl Acad Sci Ukraine, AYa Usikov Inst Radiophys &amp; Elect, Kharkiv, Ukraine</t>
  </si>
  <si>
    <t>Ministry of Education &amp; Science of Ukraine; State Institution National Antarctic Scientific Center; National Academy of Sciences Ukraine; Institute of Radio Astronomy of the National Academy of Sciences of Ukraine; National Academy of Sciences Ukraine; O. Ya. Usikov Institute for Radio Physics &amp; Electronics, National Academy of Sciences of Ukraine</t>
  </si>
  <si>
    <t>Koloskov, OV (corresponding author), Minist Educ &amp; Sci Ukraine, State Inst Natl Antarctic Sci Ctr Ukraine, Kiev, Ukraine.;Koloskov, OV (corresponding author), Natl Acad Sci Ukraine, Inst Radio Astron, Kharkiv, Ukraine.</t>
  </si>
  <si>
    <t>koloskov@rian.kharkov.ua</t>
  </si>
  <si>
    <t>Koloskov, Oleksandr/ABB-4631-2020</t>
  </si>
  <si>
    <t>Koloskov, Oleksandr/0000-0001-8921-3851; Yampolski, Yuri/0000-0002-6142-5753; Nickolaenko, Alexander/0000-0003-0714-9214</t>
  </si>
  <si>
    <t>National Antarctic Scientific Center of Ukraine [0121U112293, 0122U001389, 0121U108635]; STCU project [P775]; research project Inversiya [0117U004040]</t>
  </si>
  <si>
    <t>National Antarctic Scientific Center of Ukraine; STCU project; research project Inversiya</t>
  </si>
  <si>
    <t>The authors are grateful to the winterers of the Ukrainian Antarctic station Akademik Vernadsky, who ensured the continuity of long-term ELF observations in Antarctica as well as to the stuff of the SOUSY facility for supporting measurements at Svalbard. We would like to thank the administration of the National Scientific Antarctic Center of the MES of Ukraine for purchasing a necessary equipment and many years of logistical support of ELF observations at UAS. The authors greatly appreciated the reviewers for careful reading of the paper and valuable suggestions and comments that, without any doubts, make the paper much better. Experimental studies of seasonal and interannual variations of Schumann resonance signals were carried out by coauthors from the Institute of Radio Astronomy of NAS of Ukraine and National Antarctic Scientific Center of Ukraine in the framework of the research projects Heliomax-2021 (0121U112293), Spitsbergen-2022 (0122U001389), Yatagan-4 (0121U108635), and STCU project P775. The analysis of the observational data was performed by a coauthor from the Institute for Radiophysics and Electronics of NAS of Ukraine and was partially supported by the research project Inversiya (0117U004040).</t>
  </si>
  <si>
    <t>e2022JD036582</t>
  </si>
  <si>
    <t>10.1029/2022JD036582</t>
  </si>
  <si>
    <t>4M6PJ</t>
  </si>
  <si>
    <t>WOS:000853444900001</t>
  </si>
  <si>
    <t>Huang, SJ; Qin, J; Li, SL; Yuan, ZX; Mbululo, Y</t>
  </si>
  <si>
    <t>Huang, Sijing; Qin, Jun; Li, Shuanglin; Yuan, Zhengxuan; Mbululo, Yassin</t>
  </si>
  <si>
    <t>Spatiotemporal Variability of the Southern Second Mode and Its Influence on June Precipitation in Southern China</t>
  </si>
  <si>
    <t>Antarctic climate variability; air-sea interaction; EOF; coupled oceanic-atmospheric bridge</t>
  </si>
  <si>
    <t>ANTARCTIC OSCILLATION; ATMOSPHERIC CIRCULATION; ANNULAR MODE; HEMISPHERE; AMUNDSEN; CLIMATE; TROPICS; TELECONNECTIONS; CONNECTION; ANOMALIES</t>
  </si>
  <si>
    <t>Based on the Empirical Orthogonal Functions decomposition of the Sea level pressure (SLP) anomalies over the southern extratropic, the second pattern is defined as a southern second mode (SMD2), and its corresponding principal component is named the southern second mode index. The most significant feature of SMD2 is the seesaw pattern of SLP, which indicates the opposite phase of the Amundsen Low and surroundings. The spatial mode of EOF2 varies in different months but EOF2 in March is most similar to SMD2. This study shows that the March SMD2 is negatively associated with the June precipitation in southern China. The mechanisms can be briefly summarized as follows: The March SMD2 is negatively correlated with sea surface temperature (SST) in the midlatitude. Surface wind changes can affect surface heat flux and heat transport, leading to the SST changes. The SST anomaly acts as the oceanic bridge to preserve the March SMD2 signal and persists into late summer. The key area of SST is associated with Maritime Continent convective activity anomalies, which can excite and maintain the Pacific-Japan pattern resulting in precipitation anomalies in south China. Through sea-air interactions, the SMD2 can affect the precipitation in southern China across seasons. This work is expected to provide a new perspective for forecasting summer precipitation in southern China.</t>
  </si>
  <si>
    <t>[Huang, Sijing; Qin, Jun; Li, Shuanglin; Yuan, Zhengxuan; Mbululo, Yassin] China Univ Geosci, Sch Environm Studies, Dept Atmospher Sci, Wuhan, Peoples R China; [Qin, Jun] Ctr Severe Weather &amp; Climate &amp; Hydrogeol Hazards, Wuhan, Peoples R China; [Mbululo, Yassin] Sokoine Univ Agr, Dept Geog &amp; Environm Studies, Morogoro, Tanzania</t>
  </si>
  <si>
    <t>China University of Geosciences; Sokoine University of Agriculture</t>
  </si>
  <si>
    <t>Qin, J (corresponding author), China Univ Geosci, Sch Environm Studies, Dept Atmospher Sci, Wuhan, Peoples R China.;Qin, J (corresponding author), Ctr Severe Weather &amp; Climate &amp; Hydrogeol Hazards, Wuhan, Peoples R China.</t>
  </si>
  <si>
    <t>qinjun@cug.edu.cn</t>
  </si>
  <si>
    <t>Li, Shuanglin/D-5695-2013; huang, sijing/IYS-1040-2023</t>
  </si>
  <si>
    <t>Huang, Sijing/0000-0003-3569-8106</t>
  </si>
  <si>
    <t>Strategic Priority Research Program of the Chinese Academy of Sciences [XDA19070402]</t>
  </si>
  <si>
    <t>Strategic Priority Research Program of the Chinese Academy of Sciences(Chinese Academy of Sciences)</t>
  </si>
  <si>
    <t>This study is supported by the Strategic Priority Research Program of the Chinese Academy of Sciences (Grant No. XDA19070402).</t>
  </si>
  <si>
    <t>e2022JD036762</t>
  </si>
  <si>
    <t>10.1029/2022JD036762</t>
  </si>
  <si>
    <t>4H4AJ</t>
  </si>
  <si>
    <t>WOS:000849822200001</t>
  </si>
  <si>
    <t>Rossi-Santos, MR; Filun, D; Soares-Filho, W; Paro, AD; Wedekin, LL</t>
  </si>
  <si>
    <t>Rossi-Santos, Marcos R.; Filun, Diego; Soares-Filho, William; Paro, Alexandre D.; Wedekin, Leonardo L.</t>
  </si>
  <si>
    <t>Playing the beat: Occurrence of Bio-duck calls in Santos Basin (Brazil) reveals a complex acoustic behaviour for the Antarctic minke whale (Balaenoptera bonaerensis)</t>
  </si>
  <si>
    <t>PLOS ONE</t>
  </si>
  <si>
    <t>HUMPBACK WHALE; BLUE WHALE; SONG; LOCALIZATION; CALIFORNIA; UNDERWATER; ABUNDANCE; PATTERNS; SOUNDS</t>
  </si>
  <si>
    <t>The Antarctic minke whale (Balaenoptera bonaerensis) (AMW) is one of the smallest species among baleen whales, occurring in the southern hemisphere from Antarctica to near the equator, and performing seasonal migrations from polar to tropical waters. Information about (AMW) occurrence in the winter breeding grounds is scarce, mostly coming from old records from whaling stations before the 1960's international moratorium, such as Costinha Station in Northeastern Brazil (6 degrees S / 34 degrees W) and some sightings from few dedicated visual surveys. Acoustic methods can provide important data on the occurrence and distribution of migratory species. This work describes the occurrence of the Antarctic minke whale through acoustic detections of their Bioduck vocalisations in the Santos Basin, South-Southeastern Brazil (22 degrees and 28 degrees S / 42 degrees and 48 degrees W). Data was recorded between November 12 and December 19, 2015. AMW calls were detected for 12 days. We detected and classified 9 different Bio-duck calls in Brazilian coastal waters, evidencing a highly diverse acoustic behavior for the minke whale breeding ground. This is the first attempt to describe the acoustic diversity of AMW vocalizations in lower latitudes, contributing important information for future conservation efforts and management of AMW populations and their habitat. Therefore, our study presents the foremost acoustic evidence of the Antarctic minke whale in Brazilian coastal waters.</t>
  </si>
  <si>
    <t>[Rossi-Santos, Marcos R.] Univ Fed Reconcavo Bahia, Ctr Ciencias Agr Ambientais &amp; Biol, Lab Ecol Acust &amp; Comportamento Anim, Acoust Ecol &amp; Anim Behav Lab, Cruz Das Almas, BA, Brazil; [Rossi-Santos, Marcos R.; Paro, Alexandre D.; Wedekin, Leonardo L.] Socioambiental Consultores Associados, Projeto Monitoramento Cetaceos Bacia Santos Petro, Florianopolis, SC, Brazil; [Filun, Diego] Helmholtz Ctr Polar &amp; Marine Res, Alfred Wegener Inst, Ocean Acoust Lab, Bremerhaven, Germany; [Soares-Filho, William] Inst Pesquisas Marinha, Projeto Monitoramento Paisagem Acust Submarina Ba, Rio De Janeiro, RJ, Brazil; [Paro, Alexandre D.] Inst Estudo Mar Almirante Paulo Moreira, Marine Biotechnol Program, Rio De Janeiro, Brazil; [Rossi-Santos, Marcos R.] Curtin Univ, Ctr Marine Sci &amp; Technol, Perth, WA, Australia</t>
  </si>
  <si>
    <t>Universidade Federal do Reconcavo da Bahia; Helmholtz Association; Alfred Wegener Institute, Helmholtz Centre for Polar &amp; Marine Research; Curtin University</t>
  </si>
  <si>
    <t>Rossi-Santos, MR (corresponding author), Univ Fed Reconcavo Bahia, Ctr Ciencias Agr Ambientais &amp; Biol, Lab Ecol Acust &amp; Comportamento Anim, Acoust Ecol &amp; Anim Behav Lab, Cruz Das Almas, BA, Brazil.;Rossi-Santos, MR (corresponding author), Socioambiental Consultores Associados, Projeto Monitoramento Cetaceos Bacia Santos Petro, Florianopolis, SC, Brazil.;Filun, D (corresponding author), Helmholtz Ctr Polar &amp; Marine Res, Alfred Wegener Inst, Ocean Acoust Lab, Bremerhaven, Germany.;Rossi-Santos, MR (corresponding author), Curtin Univ, Ctr Marine Sci &amp; Technol, Perth, WA, Australia.</t>
  </si>
  <si>
    <t>m.rossisantos@yahoo.com.br; diego.filun@awi.de</t>
  </si>
  <si>
    <t>Wedekin, Leonardo L/F-7014-2012; Rossi-Santos, Marcos R/J-9545-2015</t>
  </si>
  <si>
    <t>Rossi-Santos, Marcos R/0000-0002-7171-3011; Wedekin, Leonardo/0000-0001-8651-8051</t>
  </si>
  <si>
    <t>1932-6203</t>
  </si>
  <si>
    <t>PLoS One</t>
  </si>
  <si>
    <t>SEP 15</t>
  </si>
  <si>
    <t>e0255868</t>
  </si>
  <si>
    <t>10.1371/journal.pone.0255868</t>
  </si>
  <si>
    <t>6R1RR</t>
  </si>
  <si>
    <t>WOS:000892087100001</t>
  </si>
  <si>
    <t>Zhao, YX; Wang, XL; Zhao, XY; Ying, YP</t>
  </si>
  <si>
    <t>Zhao, Yunxia; Wang, Xinliang; Zhao, Xianyong; Ying, Yiping</t>
  </si>
  <si>
    <t>A statistical assessment of the density of Antarctic krill based on chaotic acoustic data collected by a commercial fishing vessel</t>
  </si>
  <si>
    <t>Antarctic krill; acoustic data; Regional Gridding; Extended delta-distribution model; fishing vessel</t>
  </si>
  <si>
    <t>EUPHAUSIA-SUPERBA; TRAWL SURVEY; SEA-ICE; ABUNDANCE; POPULATIONS; ROBUSTNESS; ESTIMATORS; BIOMASS</t>
  </si>
  <si>
    <t>With the development of acoustic data processing technology, it is possible to make full use of the chaotic acoustic data obtained by fishing vessels. The purpose of this study is to explore a feasible statistical approach to assess the Antarctic krill density rationally and scientifically based on the acoustic data collected during routine fishing operations. The acoustic data used in this work were collected from the surveys conducted by the Chinese krill fishing vessel F/V Fu Rong Hai since the 2015/16 fishing season in the Bransfield Strait. We first processed acoustic data into small units of 0.1 nm, then selected the location of the central fishing ground for grid processing. Because of many zero and low values, we established a Regional Gridding and Extended Delta-distribution (RGED) model to evaluate the acoustic density of the krill. We defined the selection coefficient of grid size by using the coefficient of variation (CV) of the mean density and the weight of the effective covered area of the grids. Through the comparison of selection indexes, cells of 5'S x 10'W were selected as a computational grid and applied to the hotspot in the Bransfield Strait. Acoustic data reveal the distribution of krill density to be spatially heterogeneous. The CV of the mean density for 4 months converges at similar to 15% for cells of 5'S x 10'W. Simulations estimate krill resource densities in February to be similar to 1990 m(2) nm(-2) and to increase to similar to 8760 m(2) nm(-2) in May (4.4 times higher). We deem the RGED model to be useful to explore dynamic changes in krill resources in the hotspot. It is not only of great significance for guiding krill fishery, but it also provides krill density data for studying the formation mechanism of the resource hotspots.</t>
  </si>
  <si>
    <t>[Zhao, Yunxia; Wang, Xinliang; Zhao, Xianyong; Ying, Yiping] Chinese Acad Fishery Sci, Yellow Sea Fisheries Res Inst, Key Lab Sustainable Dev Polar Fisheries, Minist Agr &amp; Rural Affairs, Qingdao, Peoples R China; [Wang, Xinliang; Zhao, Xianyong] Pilot Natl Lab Marine Sci &amp; Technol Qingdao, Joint Lab Open Sea Fishery Engn, Qingdao, Peoples R China</t>
  </si>
  <si>
    <t>Ministry of Agriculture &amp; Rural Affairs; Chinese Academy of Fishery Sciences; Yellow Sea Fisheries Research Institute, CAFS; Laoshan Laboratory</t>
  </si>
  <si>
    <t>Zhao, XY (corresponding author), Chinese Acad Fishery Sci, Yellow Sea Fisheries Res Inst, Key Lab Sustainable Dev Polar Fisheries, Minist Agr &amp; Rural Affairs, Qingdao, Peoples R China.;Zhao, XY (corresponding author), Pilot Natl Lab Marine Sci &amp; Technol Qingdao, Joint Lab Open Sea Fishery Engn, Qingdao, Peoples R China.</t>
  </si>
  <si>
    <t>zhaoxy@ysfri.ac.cn</t>
  </si>
  <si>
    <t>National Natural Science Foundation of China [42006194, 41706219]; Marine S&amp;T Fund of Shandong Province for Pilot National Laboratory for Marine Science and Technology (Qingdao) [2022QNLM030002-1]; Major Scientific and Technological Innovation Project of Shandong Provincial Key Research and Development Program [2019JZZY010819]; Central Public-interest Scientific Institution Basal Research Fund, YSFRI, CAFS, China [20603022021017]; Central Public-interest Scientific Institution Basal Research Fund, CAFS, China [2021TD02]</t>
  </si>
  <si>
    <t>National Natural Science Foundation of China(National Natural Science Foundation of China (NSFC)); Marine S&amp;T Fund of Shandong Province for Pilot National Laboratory for Marine Science and Technology (Qingdao); Major Scientific and Technological Innovation Project of Shandong Provincial Key Research and Development Program; Central Public-interest Scientific Institution Basal Research Fund, YSFRI, CAFS, China; Central Public-interest Scientific Institution Basal Research Fund, CAFS, China</t>
  </si>
  <si>
    <t>This work was funded by the National Natural Science Foundation of China (No.42006194 and 41706219); the Marine S&amp;T Fund of Shandong Province for Pilot National Laboratory for Marine Science and Technology (Qingdao) (No. 2022QNLM030002-1); the Major Scientific and Technological Innovation Project of Shandong Provincial Key Research and Development Program (No.2019JZZY010819); the Central Public-interest Scientific Institution Basal Research Fund, YSFRI, CAFS, China (No.20603022021017); and the Central Public-interest Scientific Institution Basal Research Fund, CAFS, China (No.2021TD02).Y</t>
  </si>
  <si>
    <t>10.3389/fmars.2022.934504</t>
  </si>
  <si>
    <t>5D0OX</t>
  </si>
  <si>
    <t>WOS:000864651700001</t>
  </si>
  <si>
    <t>de Boer, AM; Hutchinson, DK; Roquet, F; Sime, LC; Burls, NJ; Heuze, C</t>
  </si>
  <si>
    <t>de Boer, Agatha M.; Hutchinson, David K.; Roquet, Fabien; Sime, Louise C.; Burls, Natalie J.; Heuze, Celine</t>
  </si>
  <si>
    <t>The Impact of Southern Ocean Topographic Barriers on the Ocean Circulation and the Overlying Atmosphere</t>
  </si>
  <si>
    <t>Abyssal circulation; Atmosphere-ocean interaction; Currents; Deep convection; Fronts; General circulation models; Momentum; Ocean circulation; Ocean dynamics; Orographic effects; Precipitation; Southern Ocean; Wind stress; Wind stress curl; Topographic effects; Wind</t>
  </si>
  <si>
    <t>ANTARCTIC CIRCUMPOLAR CURRENT; LAST GLACIAL MAXIMUM; DRAKE PASSAGE; MOMENTUM BALANCE; DEEP CONVECTION; GULF-STREAM; SEA-ICE; MODEL; ATLANTIC; WATER</t>
  </si>
  <si>
    <t>Southern Ocean bathymetry constrains the path of the Antarctic Circumpolar Current (ACC), but the bathymetric influence on the coupled ocean-atmosphere system is poorly understood. Here, we investigate this impact by respectively flattening large topographic barriers around the Kerguelen Plateau, Campbell Plateau, Mid-Atlantic Ridge, and Drake Passage in four simulations in a coupled climate model. The barriers impact both the wind and buoyancy forcing of the ACC transport, which increases by between 4% and 14% when barriers are removed individually and by 56% when all barriers are removed simultaneously. The removal of Kerguelen Plateau bathymetry increases convection south of the plateau and the removal of Drake Passage bathymetry reduces convection upstream in the Ross Sea. When the barriers are removed, zonal flattening of the currents leads to sea surface temperature (SST) anomalies that strongly correlate to precipitation anomalies, with correlation coefficients ranging between r = 0.92 and r = 0.97 in the four experiments. The SST anomalies correlate to the surface winds too in some locations. However, they also generate circumpolar waves of sea level pressure (SLP) anomalies, which induce remote wind speed changes that are unconnected to the underlying SST field. The meridional variability in the wind stress curl contours over the Mid-Atlantic Ridge, the Kerguelen Plateau, and the Campbell Plateau disappears when these barriers are removed, confirming the impact of bathymetry on surface winds. However, bathymetry-induced wind changes are too small to affect the overall wave-3 asymmetry in the Southern Hemisphere westerlies. Removal of Southern Hemisphere orography is also inconsequential to the wave-3 pattern. Significance StatementSeveral studies in the past have pointed to the controlling effect of bathymetry on currents in the Southern Ocean circulation, but a clear idea of the importance of the major topographic barriers in the Southern Ocean is lacking. By removing these barriers systematically in a coupled climate model, we can evaluate their impact on several important components of the climate system, such as the Antarctic Circumpolar Current (ACC) pathways and strength, Antarctic Bottom Water formation, sea surface temperature, overlying winds, air-sea fluxes, and even precipitation. This helps in our understanding of what controls the pathways of the ACC and how much it matters for climate.</t>
  </si>
  <si>
    <t>[de Boer, Agatha M.; Hutchinson, David K.] Stockholm Univ, Dept Geol Sci, Stockholm, Sweden; [Hutchinson, David K.] Univ New South Wales Sydney, Climate Change Res Ctr, Sydney, Australia; [Roquet, Fabien] Univ Gothenburg, Dept Marine Sci, Gothenburg, Sweden; [Sime, Louise C.] British Antarctic Survey, Cambridge, England; [Burls, Natalie J.] George Mason Univ, Dept Atmosphere Ocean &amp; Earth Sci, Fairfax, VA USA; [Heuze, Celine] Univ Gothenburg, Dept Earth Sci, Gothenburg, Sweden</t>
  </si>
  <si>
    <t>Stockholm University; University of New South Wales Sydney; University of Gothenburg; UK Research &amp; Innovation (UKRI); Natural Environment Research Council (NERC); NERC British Antarctic Survey; George Mason University; University of Gothenburg</t>
  </si>
  <si>
    <t>de Boer, AM (corresponding author), Stockholm Univ, Dept Geol Sci, Stockholm, Sweden.</t>
  </si>
  <si>
    <t>Heuzé, Céline/U-5058-2017; De Boer, Agatha M/H-4202-2012; Hutchinson, David/F-4564-2016</t>
  </si>
  <si>
    <t>Heuzé, Céline/0000-0002-8850-5868; Hutchinson, David/0000-0001-9385-4782; Burls, Natalie/0000-0002-6950-3808</t>
  </si>
  <si>
    <t>Swedish Research Council [2016-03912, 2020-04791, 2018-05973]; Australian Research Council [DE220100279]; Swedish Research Council [2020-04791, 2016-03912] Funding Source: Swedish Research Council; Australian Research Council [DE220100279] Funding Source: Australian Research Council</t>
  </si>
  <si>
    <t>Swedish Research Council(Swedish Research Council); Australian Research Council(Australian Research Council); Swedish Research Council(Swedish Research Council); Australian Research Council(Australian Research Council)</t>
  </si>
  <si>
    <t>ADB was supported by Swedish Research Council projects 2016-03912 and 2020-04791. Numerical simulations were performed by resources provided by the Swedish National Infrastructure for Computing (SNIC) at the National Supercomputer Centre (NSC), partially funded by the Swedish Research Council through grant agreement 2018-05973. DKH was supported by Formas grant 2018-0162 and Australian Research Council grant DE220100279. We thank the three anonymous reviewers for their comments that greatly improved this manuscript.</t>
  </si>
  <si>
    <t>10.1175/JCLI-D-21-0896.1</t>
  </si>
  <si>
    <t>5A5TO</t>
  </si>
  <si>
    <t>Green Accepted, hybrid</t>
  </si>
  <si>
    <t>WOS:000862950100001</t>
  </si>
  <si>
    <t>Santer, BD; Po-Chedley, S; Feldl, N; Fyfe, JC; Fu, Q; Solomon, S; England, M; Rodgers, KB; Stuecker, MF; Mears, C; Zou, CZ; Bonfils, CJW; Pallotta, G; Zelinka, MD; Rosenbloom, N; Edwards, J</t>
  </si>
  <si>
    <t>Santer, Benjamin D.; Po-Chedley, Stephen; Feldl, Nicole; Fyfe, John C.; Fu, Qiang; Solomon, Susan; England, Mark; Rodgers, Keith B.; Stuecker, Malte F.; Mears, Carl; Zou, Cheng-Zhi; Bonfils, Celine J. W.; Pallotta, Giuliana; Zelinka, Mark D.; Rosenbloom, Nan; Edwards, Jim</t>
  </si>
  <si>
    <t>Robust Anthropogenic Signal Identified in the Seasonal Cycle of Tropospheric Temperature</t>
  </si>
  <si>
    <t>Pattern detection; Climate models; Ensembles; Interdecadal variability; Seasonal cycle</t>
  </si>
  <si>
    <t>INTERNAL CLIMATE VARIABILITY; ANTARCTIC OZONE HOLE; HADLEY CIRCULATION; PROJECTED CHANGES; SUMMER DRYNESS; CMIP5 MODELS; PACIFIC; OSCILLATION; UNCERTAINTY; ATTRIBUTION</t>
  </si>
  <si>
    <t>Previous work identified an anthropogenic fingerprint pattern in T-AC(x, t), the amplitude of the seasonal cycle of mid- to upper-tropospheric temperature (TMT), but did not explicitly consider whether fingerprint identification in satellite T-AC(x, t) data could have been influenced by real-world multidecadal internal variability (MIV). We address this question here using large ensembles (LEs) performed with five climate models. LEs provide many different sequences of internal variability noise superimposed on an underlying forced signal. Despite differences in historical external forcings, climate sensitivity, and MIV properties of the five models, their T-AC(x, t) fingerprints are similar and statistically identifiable in 239 of the 240 LE realizations of historical climate change. Comparing simulated and observed variability spectra reveals that consistent fingerprint identification is unlikely to be biased by model underestimates of observed MIV. Even in the presence of large (factor of 3-4) intermodel and inter-realization differences in the amplitude of MIV, the anthropogenic fingerprints of seasonal cycle changes are robustly identifiable in models and satellite data. This is primarily due to the fact that the distinctive, global-scale fingerprint patterns are spatially dissimilar to the smaller-scale patterns of internal T-AC(x, t) variability associated with the Atlantic multidecadal oscillation and El Nino-Southern Oscillation. The robustness of the seasonal cycle detection and attribution results shown here, taken together with the evidence from idealized aquaplanet simulations, suggest that basic physical processes are dictating a common pattern of forced T-AC(x, t) changes in observations and in the five LEs. The key processes involved include GHG-induced expansion of the tropics, lapse-rate changes, land surface drying, and sea ice decrease.</t>
  </si>
  <si>
    <t>[Santer, Benjamin D.; Po-Chedley, Stephen; Bonfils, Celine J. W.; Pallotta, Giuliana; Zelinka, Mark D.] Lawrence Livermore Natl Lab, Program Climate Model Diag &amp; Intercomparison, Livermore, CA 94550 USA; [Santer, Benjamin D.] Univ Calif Los Angeles, Joint Inst Reg Earth Syst Sci &amp; Engn, Los Angeles, CA 90095 USA; [Feldl, Nicole; England, Mark] Univ Calif Santa Cruz, Dept Earth &amp; Planetary Sci, Santa Cruz, CA USA; [Fyfe, John C.] Environm &amp; Climate Change Canada, Canadian Ctr Climate Modelling &amp; Anal, Victoria, BC, Canada; [Fu, Qiang] Univ Washington, Dept Atmospher Sci, Seattle, WA USA; [Solomon, Susan] MIT, Earth Atmospher &amp; Planetary Sci, Cambridge, MA USA; [Rodgers, Keith B.] Inst Basic Sci, Ctr Climate Phys g, Busan, South Korea; [Rodgers, Keith B.] Pusan Natl Univ, Busan, South Korea; [Stuecker, Malte F.] Univ Hawaii Manoa, Int Pacific Res Ctr, Dept Oceanog, Honolulu, HI USA; [Stuecker, Malte F.] Univ Hawaii Manoa, Int Pacific Res Ctr, Sch Ocean &amp; Earth Sci &amp; Technol, Honolulu, HI USA; [Mears, Carl] Remote Sensing Syst, Santa Rosa, CA USA; [Zou, Cheng-Zhi] NOAA, Ctr Satellite Applicat &amp; Res, NESDIS, Camp Springs, MD USA</t>
  </si>
  <si>
    <t>United States Department of Energy (DOE); Lawrence Livermore National Laboratory; University of California System; University of California Los Angeles; University of California System; University of California Santa Cruz; Environment &amp; Climate Change Canada; Canadian Centre for Climate Modelling &amp; Analysis (CCCma); University of Washington; University of Washington Seattle; Massachusetts Institute of Technology (MIT); Pusan National University; University of Hawaii System; University of Hawaii Manoa; University of Hawaii System; University of Hawaii Manoa; National Oceanic Atmospheric Admin (NOAA) - USA</t>
  </si>
  <si>
    <t>Santer, BD (corresponding author), Lawrence Livermore Natl Lab, Program Climate Model Diag &amp; Intercomparison, Livermore, CA 94550 USA.;Santer, BD (corresponding author), Univ Calif Los Angeles, Joint Inst Reg Earth Syst Sci &amp; Engn, Los Angeles, CA 90095 USA.</t>
  </si>
  <si>
    <t>bensanter1289@gmail.com</t>
  </si>
  <si>
    <t>Stuecker, Malte Fabian/H-6304-2011; Bonfils, Celine/H-2356-2012; Zou, Cheng-Zhi/E-3085-2010; Zelinka, Mark/C-4627-2011; Santer, Ben/ABA-1099-2021; Po-Chedley, Stephen/O-3450-2019</t>
  </si>
  <si>
    <t>Stuecker, Malte Fabian/0000-0001-8355-0662; Bonfils, Celine/0000-0002-4674-5708; Zou, Cheng-Zhi/0000-0003-4124-6448; Zelinka, Mark/0000-0002-6570-5445; England, Mark/0000-0003-3882-872X</t>
  </si>
  <si>
    <t>U.S. Department of Energy (DOE) by Lawrence Livermore National Laboratory [DE-AC52-07NA27344]; Regional and Global Model Analysis Program (RGMA) of the Office of Science at the DOE; LDRD [18-ERD-054, 21-FS-035]; NSF [AGS-1753034, AGS-1821437, AGS-1848863]; NOAA's Climate Program Office Modeling, Analysis, Predictions, and Projections (MAPP) program [NA20OAR4310445]; Institute for Basic Sciences (IBS), South Korea [IBS-R028-D1]; RGMA component of the Earth and Environmental System Modeling Program of the U.S. Department of Energy's Office of Biological and Environmental Research (BER) via National Science Foundation [IA 1844590]</t>
  </si>
  <si>
    <t>U.S. Department of Energy (DOE) by Lawrence Livermore National Laboratory(United States Department of Energy (DOE)); Regional and Global Model Analysis Program (RGMA) of the Office of Science at the DOE; LDRD; NSF(National Science Foundation (NSF)); NOAA's Climate Program Office Modeling, Analysis, Predictions, and Projections (MAPP) program; Institute for Basic Sciences (IBS), South Korea; RGMA component of the Earth and Environmental System Modeling Program of the U.S. Department of Energy's Office of Biological and Environmental Research (BER) via National Science Foundation</t>
  </si>
  <si>
    <t>We acknowledge the World Climate Research Programme's Working Group on Coupled Modelling, which is responsible for CMIP, and we thank the climate modeling groups for producing and making available their model output. For CMIP, the U.S. Department of Energy's Program for Climate Model Diagnosis and Intercomparison (PCMDI) provides coordinating support and led development of software infrastructure in partnership with the Global Organization for Earth System Science Portals. This work was performed under the auspices of the U.S. Department of Energy (DOE) by Lawrence Livermore National Laboratory under Contract DE-AC52-07NA27344. At LLNL, S.P.-C., C.B., G.P., and M.D.Z. were supported by the Regional and Global Model Analysis Program (RGMA) of the Office of Science at the DOE. S.P.-C. was also supported under LDRD 18-ERD-054. B.D.S. was funded under LDRD task number 21-FS-035. N.F. was supported by NSF award AGS-1753034. M.F.S. was supported by NOAA's Climate Program Office Modeling, Analysis, Predictions, and Projections (MAPP) program grant NA20OAR4310445. The work of K.B.R. was supported by the Institute for Basic Sciences (IBS), South Korea, under IBS-R028-D1. Q.F. was in part supported by NSF Grant AGS-1821437. S.S. was funded in part by NSF Grant AGS-1848863. N.R. was supported by the RGMA component of the Earth and Environmental System Modeling Program of the U.S. Department of Energy's Office of Biological and Environmental Research (BER) via National Science Foundation IA 1844590. For the International Pacific Research Center (IPRC), School of Ocean and Earth Science and Technology (SOEST), this is IPRC publication 1568 and SOEST contribution 11519. We thank Jeff Painter (LLNL) for calculating synthetic satellite temperatures from CMIP5 simulation output and Frank Wentz (RSS) for providing observational TMT and TLS data. D ' aith ' i Stone and two anonymous reviewers provided constructive and helpful comments.</t>
  </si>
  <si>
    <t>10.1175/JCLI-D-21-0766.1</t>
  </si>
  <si>
    <t>WOS:000862950100016</t>
  </si>
  <si>
    <t>Piccione, G; Blackburn, T; Tulaczyk, S; Rasbury, ET; Hain, MP; Ibarra, DE; Methner, K; Tinglof, C; Cheney, B; Northrup, P; Licht, K</t>
  </si>
  <si>
    <t>Piccione, Gavin; Blackburn, Terrence; Tulaczyk, Slawek; Rasbury, E. Troy; Hain, Mathis P.; Ibarra, Daniel E.; Methner, Katharina; Tinglof, Chloe; Cheney, Brandon; Northrup, Paul; Licht, Kathy</t>
  </si>
  <si>
    <t>Subglacial precipitates record Antarctic ice sheet response to late Pleistocene millennial climate cycles</t>
  </si>
  <si>
    <t>MCMURDO DRY VALLEYS; TRANSANTARCTIC MOUNTAINS; WEST ANTARCTICA; TAYLOR GLACIER; VICTORIA LAND; WRIGHT VALLEY; BLUE ICE; OXYGEN; OCEAN; CORE</t>
  </si>
  <si>
    <t>Ice cores and offshore sedimentary records demonstrate enhanced ice loss along Antarctic coastal margins during millennial-scale warm intervals within the last glacial termination. However, the distal location and short temporal coverage of these records leads to uncertainty in both the spatial footprint of ice loss, and whether millennial-scale ice response occurs outside of glacial terminations. Here we present a &gt;100kyr archive of periodic transitions in subglacial precipitate mineralogy that are synchronous with Late Pleistocene millennial-scale climate cycles. Geochemical and geochronologic data provide evidence for opal formation during cold periods via cryoconcentration of subglacial brine, and calcite formation during warm periods through the addition of subglacial meltwater originating from the ice sheet interior. These freeze-flush cycles represent cyclic changes in subglacial hydrologic-connectivity driven by ice sheet velocity fluctuations. Our findings imply that oscillating Southern Ocean temperatures drive a dynamic response in the Antarctic ice sheet on millennial timescales, regardless of the background climate state. Piccione et al find evidence for Antarctic ice sheet instability driven by millennial cycles in Southern Ocean temperature, providing clues for the mechanisms that link climate change and rapid Antarctic ice loss events.</t>
  </si>
  <si>
    <t>[Piccione, Gavin; Blackburn, Terrence; Tulaczyk, Slawek; Hain, Mathis P.; Tinglof, Chloe; Cheney, Brandon] Univ Calif Santa Cruz, Earth &amp; Planetary Sci, Santa Cruz, CA 95064 USA; [Rasbury, E. Troy; Northrup, Paul] SUNY Stony Brook, Dept Geosci, Stony Brook, NY 11794 USA; [Ibarra, Daniel E.] Univ Calif Berkeley, Dept Earth &amp; Planetary Sci, Berkeley, CA 94720 USA; [Ibarra, Daniel E.] Brown Univ, Dept Earth Environm &amp; Planetary Sci, Providence, RI 02912 USA; [Ibarra, Daniel E.] Brown Univ, Brown Environm &amp; Soc, Providence, RI 02912 USA; [Methner, Katharina] Stanford Univ, Dept Geol Sci, Stanford, CA 94305 USA; [Licht, Kathy] Indiana Univ Purdue Univ, Dept Earth Sci, Indianapolis, IN 46202 USA</t>
  </si>
  <si>
    <t>University of California System; University of California Santa Cruz; State University of New York (SUNY) System; State University of New York (SUNY) Stony Brook; University of California System; University of California Berkeley; Brown University; Brown University; Stanford University; Indiana University System; Indiana University-Purdue University Indianapolis</t>
  </si>
  <si>
    <t>Piccione, G (corresponding author), Univ Calif Santa Cruz, Earth &amp; Planetary Sci, Santa Cruz, CA 95064 USA.</t>
  </si>
  <si>
    <t>gpiccion@ucsc.edu</t>
  </si>
  <si>
    <t>Hain, Mathis P/I-5252-2012; Ibarra, Daniel E/E-6141-2013; Tulaczyk, Slawek/O-7375-2018</t>
  </si>
  <si>
    <t>Hain, Mathis P/0000-0002-8478-1857; Ibarra, Daniel E/0000-0002-9980-4599; Blackburn, Terrence/0000-0003-0029-0709; Tulaczyk, Slawek/0000-0002-9711-4332; Northrup, Paul/0000-0002-6547-1028; Rasbury, Troy/0000-0003-0591-4461; Piccione, Gavin/0000-0002-7637-9796; Licht, Kathy/0000-0002-2233-2853</t>
  </si>
  <si>
    <t>NSF graduate research fellowship [NSF 2042495, NSF 2045611, NSF 0944578]</t>
  </si>
  <si>
    <t>NSF graduate research fellowship(National Science Foundation (NSF))</t>
  </si>
  <si>
    <t>We thank G. Faure for his sample collection at the Elephant Moraine and A. Grunow and the Byrd Polar Rock Repository for providing sample PRR50489. We also thank Warren Sharp for a helpful pre-submission review of a previous version of this work, and G. H. Edwards and S. Hemming for insightful input. This research was funded by the NSF graduate research fellowship to G.P.; NSF 2042495 to T.B., S.T., and M.H.; NSF 2045611 to E.T.R. and P.N.; NSF 0944578 to K.L.</t>
  </si>
  <si>
    <t>10.1038/s41467-022-33009-1</t>
  </si>
  <si>
    <t>4O6HE</t>
  </si>
  <si>
    <t>WOS:000854795700018</t>
  </si>
  <si>
    <t>Gonçalves, VN; de Souza, LMD; Lirio, JM; Coria, SH; Lopes, FAC; Convey, P; Carvalho-Silva, M; de Oliveira, FS; Câmara, PEAS; Rosa, LH</t>
  </si>
  <si>
    <t>Goncalves, Vivian Nicolau; Drumond de Souza, Lauren Machado; Lirio, Juan Manuel; Coria, Silvia Herminda; Cardoso Lopes, Fabyano Alvares; Convey, Peter; Carvalho-Silva, Micheline; de Oliveira, Fabio Soares; Saraiva Camara, Paulo Eduardo Aguiar; Rosa, Luiz Henrique</t>
  </si>
  <si>
    <t>Diversity and ecology of fungal assemblages present in lake sediments at Clearwater Mesa, James Ross Island, Antarctica, assessed using metabarcoding of environmental DNA</t>
  </si>
  <si>
    <t>FUNGAL BIOLOGY</t>
  </si>
  <si>
    <t>Antarctica; Extremophiles; Environmental DNA; Freshwater; Fungi</t>
  </si>
  <si>
    <t>MARITIME ANTARCTICA; COMMUNITIES; FOREST; PLANT</t>
  </si>
  <si>
    <t>We detected the fungal assemblages present in lake sediments on James Ross Island, Antarctica, using DNA metabarcoding. A total of 132 amplicon sequence variants (ASVs) were assigned, dominated by taxa of the phyla Ascomycota, Basidiomycota, Mortierellomycota and Mucoromycota. The less common phyla Chytridiomycota, Rozellomycota, Monoblepharomycota, Basidiobolomycota, Aphelidiomycota and the fungus-like Straminopila were also detected. Fungal sp. 1, Fungal sp. 2, Spizellomycetales sp. 1, Rozellomycotina sp. 1, Talaromyces rubicundus and Betamyces sp. dominated the assemblages. In general, the assemblages displayed high diversity and richness, and moderate dominance. Saprophytic, pathogenic and symbiotic fungi were detected. The metabarcoding data indicated that Antarctic lakes may represent a hotspot of fungal diversity in Antarctica. The sediments of these lakes may accumulate different fungal fragments and active fungal mycelia and their propagules, deposited over long periods of time. Lakes in the Antarctic Peninsula region are sensitive environments threatened by the effects of regional climatic changes. The abundance of sequences of little-known Rozellomycota and Chytridiomycota (Spizellomycetales) taxa in these ecosystems highlights the need for further studies to identify if they are metabolically active in the sediments and whether they have potentially pathogenic capabilities. (c) 2022 British Mycological Society. Published by Elsevier Ltd. All rights reserved.</t>
  </si>
  <si>
    <t>[Goncalves, Vivian Nicolau; Drumond de Souza, Lauren Machado; Rosa, Luiz Henrique] Univ Fed Minas Gerais, Dept Microbiol, Belo Horizonte, MG, Brazil; [Lirio, Juan Manuel; Coria, Silvia Herminda] Inst Antartico Argentino, Buenos Aires, DF, Argentina; [Cardoso Lopes, Fabyano Alvares] Univ Fed Tocantins, Lab Microbiol, Porto Nacl, Brazil; [Convey, Peter] British Antarctic Survey, NERC, Madingley Rd, Cambridge CB3 0ET, England; [Convey, Peter] Univ Johannesburg, Dept Zool, POB 524, ZA-2006 Auckland Pk, South Africa; [Carvalho-Silva, Micheline; Saraiva Camara, Paulo Eduardo Aguiar] Univ Brasilia, Dept Bot, Brasilia, DF, Brazil; [de Oliveira, Fabio Soares] Univ Fed Minas Gerais, Dept Geog, Belo Horizonte, MG, Brazil</t>
  </si>
  <si>
    <t>Universidade Federal de Minas Gerais; Instituto Antartico Argentino; Universidade Federal do Tocantins (UFT); UK Research &amp; Innovation (UKRI); Natural Environment Research Council (NERC); NERC British Antarctic Survey; University of Johannesburg; Universidade de Brasilia; Universidade Federal de Minas Gerais</t>
  </si>
  <si>
    <t>Rosa, LH (corresponding author), Univ Fed Minas Gerais, Inst Ciencias Biol, Dept Microbiol, Lab Microbiol Polar &amp; Conexoes Trop, POB 486, BR-31270901 Belo Horizonte, MG, Brazil.</t>
  </si>
  <si>
    <t>lhrosa@icb.ufmg.br</t>
  </si>
  <si>
    <t>Lopes, Fabyano/F-7558-2018; Convey, Peter/AAV-5728-2020; Camara, Paulo/GPP-2054-2022</t>
  </si>
  <si>
    <t>Lopes, Fabyano/0000-0002-4565-9103; Convey, Peter/0000-0001-8497-9903; Camara, Paulo/0000-0002-3944-996X; Lirio, Juan Manuel/0000-0002-1019-8407</t>
  </si>
  <si>
    <t>CNPq; CAPES; FNDCT; FAPEMIG; PROANTAR; NERC; FAPT; Instituto Antartico Argentino</t>
  </si>
  <si>
    <t>CNPq(Conselho Nacional de Desenvolvimento Cientifico e Tecnologico (CNPQ)); CAPES(Coordenacao de Aperfeicoamento de Pessoal de Nivel Superior (CAPES)); FNDCT; FAPEMIG(Fundacao de Amparo a Pesquisa do Estado de Minas Gerais (FAPEMIG)); PROANTAR; NERC(UK Research &amp; Innovation (UKRI)Natural Environment Research Council (NERC)); FAPT; Instituto Antartico Argentino</t>
  </si>
  <si>
    <t>This study received financial support from CNPq, CAPES, FNDCT, FAPEMIG and PROANTAR. P. Convey is supported by NERC core funding to the British Antarctic Survey's 'Biodiversity, Evolution and Adaptation' Team. F.A.C. Lopes supported by FAPT. We thank the Instituto Antartico Argentino for logistical and financial support</t>
  </si>
  <si>
    <t>1878-6146</t>
  </si>
  <si>
    <t>1878-6162</t>
  </si>
  <si>
    <t>FUNGAL BIOL-UK</t>
  </si>
  <si>
    <t>Fungal Biol.</t>
  </si>
  <si>
    <t>10.1016/j.funbio.2022.08.002</t>
  </si>
  <si>
    <t>4P8TZ</t>
  </si>
  <si>
    <t>WOS:000855664400003</t>
  </si>
  <si>
    <t>Duncan, B; McKay, R; Levy, R; Naish, T; Prebble, JG; Sangiorgi, F; Krishnan, S; Hoem, F; Clowes, C; Jones, TD; Gasson, E; Kraus, C; Kulhanek, DK; Meyers, SR; Moossen, H; Warren, C; Willmott, V; Ventura, GT; Bendle, J</t>
  </si>
  <si>
    <t>Duncan, B.; McKay, R.; Levy, R.; Naish, T.; Prebble, J. G.; Sangiorgi, F.; Krishnan, S.; Hoem, F.; Clowes, C.; Jones, T. Dunkley; Gasson, E.; Kraus, C.; Kulhanek, D. K.; Meyers, S. R.; Moossen, H.; Warren, C.; Willmott, V; Ventura, G. T.; Bendle, J.</t>
  </si>
  <si>
    <t>Climatic and tectonic drivers of late Oligocene Antarctic ice volume</t>
  </si>
  <si>
    <t>NATURE GEOSCIENCE</t>
  </si>
  <si>
    <t>OFFSHORE WILKES LAND; ORBITALLY-INDUCED OSCILLATIONS; ROSS SEA; SHEET VARIABILITY; DINOFLAGELLATE CYST; ATMOSPHERIC CO2; MIOCENE CLIMATE; LEVEL; RECORD; EOCENE</t>
  </si>
  <si>
    <t>Cenozoic evolution of the Antarctic ice sheets is thought to be driven primarily by long-term changes in radiative forcing, but the tectonic evolution of Antarctica may also have played a substantive role. While deep-sea foraminiferal oxygen isotope records provide a combined measure of global continental ice volume and ocean temperature, they do not provide direct insights into non-radiative influences on Antarctic Ice Sheet dynamics. Here we present an Antarctic compilation of Cenozoic upper-ocean temperature for the Ross Sea and offshore Wilkes Land, generated by membrane lipid distributions from archaea. We find trends of ocean temperature, atmospheric carbon dioxide and oxygen isotopes largely co-vary. However, this relationship is less clear for the late Oligocene, when high-latitude cooling occurred despite interpretation of oxygen isotopes suggesting global warming and ice-volume loss. We propose this retreat of the West Antarctic Ice Sheet occurred in response to a tectonically driven marine transgression, with warm surface waters precluding marine-based ice-sheet growth. Marine ice-sheet expansion occurred only when ocean temperatures further cooled during the Oligocene-Miocene transition, with cold orbital conditions and low atmospheric carbon dioxide. Our results support a threshold response to atmospheric carbon dioxide, below which Antarctica's marine ice sheets grow, and above which ocean warming exacerbates their retreat. Retreat of the West Antarctic Ice Sheet during the late Oligocene was caused primarily by a tectonically driven marine transgression, according to a compilation of Ross Sea surface temperature estimates throughout the Cenozoic.</t>
  </si>
  <si>
    <t>[Duncan, B.; McKay, R.; Levy, R.; Naish, T.; Kraus, C.] Victoria Univ Wellington, Antarctic Res Ctr, Wellington, New Zealand; [Levy, R.; Prebble, J. G.; Clowes, C.; Ventura, G. T.] GNS Sci, Lower Hutt, New Zealand; [Sangiorgi, F.; Hoem, F.] Univ Utrecht, Dept Earth Sci Marine Palynol &amp; Paleoceanog, Utrecht, Netherlands; [Krishnan, S.; Warren, C.] Yale Univ, Dept Earth &amp; Planetary Sci, New Haven, CT USA; [Jones, T. Dunkley; Moossen, H.; Bendle, J.] Univ Birmingham, Sch Geog Earth &amp; Environm Sci, Birmingham, W Midlands, England; [Gasson, E.] Univ Exeter, Ctr Geog &amp; Environm Sci, Exeter, Cornwall, England; [Kulhanek, D. K.] Texas A&amp;M Univ, Int Ocean Discovery Program, College Stn, TX USA; [Meyers, S. R.] Univ Wisconsin, Dept Geosci, Madison, WI USA; [Willmott, V] NIOZ Royal Netherlands Inst Sea Res, Dept Marine Organ Biogeochem, Den Burg, Netherlands; [Krishnan, S.] CICERO Ctr Int Climate &amp; Environm Res, Oslo, Norway; [Kraus, C.] Beca Ltd, Wellington, New Zealand; [Kulhanek, D. K.] Christian Albrechts Univ Kiel, Inst Geosci, Kiel, Germany; [Moossen, H.] Max Planck Inst Biogeochem, Jena, Germany; [Willmott, V] Alfred Wegener Inst, Int Cooperat Unit, Bremerhaven, Germany; [Ventura, G. T.] St Marys Univ, Dept Geol, Halifax, NS, Canada</t>
  </si>
  <si>
    <t>Victoria University Wellington; GNS Science - New Zealand; Utrecht University; Yale University; University of Birmingham; University of Exeter; Texas A&amp;M University System; Texas A&amp;M University College Station; University of Wisconsin System; University of Wisconsin Madison; Utrecht University; Royal Netherlands Institute for Sea Research (NIOZ); University of Kiel; Max Planck Society; Helmholtz Association; Alfred Wegener Institute, Helmholtz Centre for Polar &amp; Marine Research; Saint Marys University - Canada</t>
  </si>
  <si>
    <t>Duncan, B (corresponding author), Victoria Univ Wellington, Antarctic Res Ctr, Wellington, New Zealand.</t>
  </si>
  <si>
    <t>Bella.Duncan@vuw.ac.nz</t>
  </si>
  <si>
    <t>Duncan, Bella/IAR-0060-2023; Willmott Puig, Veronica/AGN-3478-2022; Dunkley Jones, Tom/A-8441-2008</t>
  </si>
  <si>
    <t>Willmott Puig, Veronica/0000-0002-6552-8901; Duncan, Bella/0000-0003-1108-6033; Sangiorgi, Francesca/0000-0003-4233-6154; Hoem, Frida/0000-0002-8834-6799; Krishnan, Srinath/0000-0002-6852-1924; Meyers, Stephen/0000-0003-4422-720X; Dunkley Jones, Tom/0000-0002-9518-8143</t>
  </si>
  <si>
    <t>Scientific Committee of Antarctic Research Fellowship; Rutherford Foundation Postdoctoral Fellowship [RFT-VUW1804-PD]; Royal Society Te Aparangi Marsden Fund [MFP-VUW1808]; New Zealand Ministry of Business Innovation and Employment through the Antarctic Science Platform [ANTA1801, C05X1001]; Natural Environment Research Council [NE/P013112/1, Ne/I00646X/1]; US National Science Foundation [OCE-1326927]; IODP; University of Birmingham; Yale University; Antarctica New Zealand Sir Robin Irvine PhD Scholarship; NERC [NE/P013112/1] Funding Source: UKRI</t>
  </si>
  <si>
    <t>Scientific Committee of Antarctic Research Fellowship; Rutherford Foundation Postdoctoral Fellowship(Royal Society of New Zealand); Royal Society Te Aparangi Marsden Fund(Royal Society of New Zealand); New Zealand Ministry of Business Innovation and Employment through the Antarctic Science Platform; Natural Environment Research Council(UK Research &amp; Innovation (UKRI)Natural Environment Research Council (NERC)); US National Science Foundation(National Science Foundation (NSF)); IODP; University of Birmingham; Yale University; Antarctica New Zealand Sir Robin Irvine PhD Scholarship; NERC(UK Research &amp; Innovation (UKRI)Natural Environment Research Council (NERC))</t>
  </si>
  <si>
    <t>The authors are grateful for access to samples from the IODP core repository at Texas A&amp;M University for DSDP Sites 270 and 274 and to the Alfred Wegener Institute for access to samples from the Cape Roberts Project. This study was funded via an Antarctica New Zealand Sir Robin Irvine PhD Scholarship, Scientific Committee of Antarctic Research Fellowship and Rutherford Foundation Postdoctoral Fellowship (RFT-VUW1804-PD) awarded to B.D., with additional funding by the Royal Society Te Aparangi Marsden Fund award MFP-VUW1808 (B.D. and R.M.) and the New Zealand Ministry of Business Innovation and Employment through the Antarctic Science Platform (ANTA1801) and contract C05X1001 (B.D., R.M., R.L., T.N. and J.G.P.). The Natural Environment Research Council funded J.B. (standard grant Ne/I00646X/1). J.B. and T.D.J. also acknowledge support from Natural Environment Research Council grant NE/P013112/1. D.K.K. was supported by US National Science Foundation award OCE-1326927. The authors are grateful for support from IODP and support in kind from the University of Birmingham and Yale University. We thank S. Schouten (NIOZ) for laboratory support and assistance with temperature data and J. Super for assistance with sample analysis while at Yale University.</t>
  </si>
  <si>
    <t>1752-0894</t>
  </si>
  <si>
    <t>1752-0908</t>
  </si>
  <si>
    <t>NAT GEOSCI</t>
  </si>
  <si>
    <t>Nat. Geosci.</t>
  </si>
  <si>
    <t>10.1038/s41561-022-01025-x</t>
  </si>
  <si>
    <t>5H7NV</t>
  </si>
  <si>
    <t>Green Accepted, Green Submitted</t>
  </si>
  <si>
    <t>WOS:000854727400002</t>
  </si>
  <si>
    <t>Effendi, DB; Sakamoto, T; Ohtani, S; Awai, K; Kanesaki, Y</t>
  </si>
  <si>
    <t>Effendi, Devi B.; Sakamoto, Toshio; Ohtani, Shuji; Awai, Koichiro; Kanesaki, Yu</t>
  </si>
  <si>
    <t>Possible involvement of extracellular polymeric substrates of Antarctic cyanobacterium Nostoc sp. strain SO-36 in adaptation to harsh environments</t>
  </si>
  <si>
    <t>JOURNAL OF PLANT RESEARCH</t>
  </si>
  <si>
    <t>Antarctica; Cyanobacteria; Extracellular polymeric substrate; Genome sequence; Nostoc sp; strain SO-36</t>
  </si>
  <si>
    <t>BLUE-GREEN-ALGAE; EXOPOLYSACCHARIDES; SUBSTANCES; QUALITY; DESICCATION; DESATURASE; TOLERANCE; BIOFILMS; COMMUNE; GENES</t>
  </si>
  <si>
    <t>Cyanobacteria are some of the primary producers in extremely cold biospheres such as the Arctic, Antarctic, and vast ice sheets. Many genera of cyanobacteria are identified from these harsh environments, but their specific mechanisms for cold adaptation are not fully understood. Nostoc sp. strain SO-36 is a cyanobacterium isolated in Antarctica more than 30 years ago and regarded as a psychrotolelant species. To determine whether the strain is psychrotolelant or psychrophilic, it was first grown at 30 degrees C and 10 degrees C. The cells grew exponentially at 30 degrees C, but their growth stopped at 10 degrees C, indicating that the strain is only psychrotolerant. Microscopic analysis revealed that the morphology of the cells grown at 30 degrees C was filamentous and differentiated heterocysts, which are specialized cells for gaseous nitrogen fixation under nitrogen-deprived conditions, indicating that the strain can grow diazotrophically. The cells grown at 10 degrees C have a smaller size, shortened filament length and decreased chlorophyll content per cell. At 10 degrees C, the cells are aggregated with extracellular polymeric substrates (EPSs), which is a common mechanism to protect cells from ultraviolet light. These results imply that segmentation into short filaments was induced by photodamage at low temperatures. To fully understand the adaptation mechanisms of Nostoc sp. strain SO-36 for low-temperature conditions, next-generation sequencing analyses were conducted. Complete genome sequence of the strain revealed that it has one main chromosome of approximately 6.8 Mbp with 4 plasmids, including 6855 coding sequences, 48 tRNA genes, 4 copies of rRNA operons, and 5 CRISPR regions. Putative genes for EPS biosynthesis were found to be conserved in Nostocaceae regardless of their habitat. These results provide basic information to understand the adaptation mechanisms at low temperatures, and the strain can be a model organism to analyze adaptation to extreme environments.</t>
  </si>
  <si>
    <t>[Effendi, Devi B.; Awai, Koichiro] Shizuoka Univ, Grad Sch Sci &amp; Technol, Suruga Ku, Shizuoka 4228529, Japan; [Sakamoto, Toshio] Kanazawa Univ, Coll Sci &amp; Engn, Sch Biol Sci &amp; Technol, Kanazawa, Ishikawa 9201192, Japan; [Ohtani, Shuji] Shimane Univ, Fac Educ, Matsue, Shimane 6908504, Japan; [Awai, Koichiro] Shizuoka Univ, Fac Sci, Dept Biol Sci, Suruga Ku, Shizuoka 4228529, Japan; [Awai, Koichiro] Shizuoka Univ, Res Inst Elect, Johoku Ku, Hamamatsu, Shizuoka 4328561, Japan; [Kanesaki, Yu] Shizuoka Univ, Res Inst Green Sci &amp; Technol, Suruga Ku, 836 Ohya, Shizuoka 4228529, Japan</t>
  </si>
  <si>
    <t>Shizuoka University; Kanazawa University; Shimane University; Shizuoka University; Shizuoka University; Shizuoka University</t>
  </si>
  <si>
    <t>Kanesaki, Y (corresponding author), Shizuoka Univ, Res Inst Green Sci &amp; Technol, Suruga Ku, 836 Ohya, Shizuoka 4228529, Japan.</t>
  </si>
  <si>
    <t>kanesaki.yuh@shizuoka.ac.jp</t>
  </si>
  <si>
    <t>Effendi, Devi Bentia/HZH-4323-2023; Kanesaki, Yu/J-3817-2017</t>
  </si>
  <si>
    <t>Kanesaki, Yu/0000-0003-3537-9789; Effendi, Devi Bentia/0000-0002-9589-6801</t>
  </si>
  <si>
    <t>MEXT/JSPS KAKENHI [18H03941, 20K06683, 20K05724, 21K05338]; Research Institute of Green Science and Technology Fund for Research Project Support [2021RIGST-21B02]; National University Corporation Shizuoka University; Grants-in-Aid for Scientific Research [20K06683] Funding Source: KAKEN</t>
  </si>
  <si>
    <t>MEXT/JSPS KAKENHI(Ministry of Education, Culture, Sports, Science and Technology, Japan (MEXT)Japan Society for the Promotion of ScienceGrants-in-Aid for Scientific Research (KAKENHI)); Research Institute of Green Science and Technology Fund for Research Project Support; National University Corporation Shizuoka University; Grants-in-Aid for Scientific Research(Ministry of Education, Culture, Sports, Science and Technology, Japan (MEXT)Japan Society for the Promotion of ScienceGrants-in-Aid for Scientific Research (KAKENHI))</t>
  </si>
  <si>
    <t>This work was partly supported by MEXT/JSPS KAKENHI Grant Number 18H03941 and 20K06683 for KA, 20K05724 for TS; 21K05338 for YK; Research Institute of Green Science and Technology Fund for Research Project Support (2021RIGST-21B02) for YK and Joint Research Program for Faculties of Science and Agriculture for KA from National University Corporation Shizuoka University.</t>
  </si>
  <si>
    <t>SPRINGER JAPAN KK</t>
  </si>
  <si>
    <t>SHIROYAMA TRUST TOWER 5F, 4-3-1 TORANOMON, MINATO-KU, TOKYO, 105-6005, JAPAN</t>
  </si>
  <si>
    <t>0918-9440</t>
  </si>
  <si>
    <t>1618-0860</t>
  </si>
  <si>
    <t>J PLANT RES</t>
  </si>
  <si>
    <t>J. Plant Res.</t>
  </si>
  <si>
    <t>10.1007/s10265-022-01411-x</t>
  </si>
  <si>
    <t>6C4ST</t>
  </si>
  <si>
    <t>WOS:000854694000001</t>
  </si>
  <si>
    <t>Ono, A; Hashihama, F; Amakasu, K; Moteki, M</t>
  </si>
  <si>
    <t>Ono, Atsushi; Hashihama, Fuminori; Amakasu, Kazuo; Moteki, Masato</t>
  </si>
  <si>
    <t>Estimated ammonium regeneration potentials of two common euphausiid species (Euphausia superba and E. crystallorophias) off Adelie Land, East Antarctica, in austral summer, 2008</t>
  </si>
  <si>
    <t>POLAR BIOLOGY</t>
  </si>
  <si>
    <t>Scientific echosounder; Euphausiacea; Metabolism; Nutrient regeneration; Southern Ocean</t>
  </si>
  <si>
    <t>ELEMENTAL COMPOSITION; COMMUNITY STRUCTURE; BRANSFIELD STRAIT; METABOLIC RATES; SOUTHERN-OCEAN; AMUNDSEN SEA; ROSS SEA; KRILL; ZOOPLANKTON; EXCRETION</t>
  </si>
  <si>
    <t>Zooplankton contribute to nitrogen regeneration for primary productivity via ammonium excretion. To improve our understanding of the biogeochemical role of zooplankton in the Southern Ocean, ammonium excretion rates (AERs) were determined for two major euphausiid species (Euphausia superba and E. crystallorophias) off Adelie Land, East Antarctica, during the austral summer of 2008. AER on a dry weight basis (weight-specific rate) for E. superba and E. crystallorophias was 2.5 +/- 0.6 x 10(-3) and 2.2 +/- 1.0 x 10(-3) mu mol N mg DW-1 h(-1) (mean +/- standard deviation), respectively. Using the abundances of the two euphausiid species estimated by an acoustic survey with a scientific echosounder, areal daily AER along the observational transect was estimated to be 0.08-23.10 mmol N m(-2) day(-1) for E. superba and 0.01-40.89 mmol N m(-2) day(-1) for E. crystallorophias. Contributions of the daily AERs of E. superba and E. crystallorophias to the ambient ammonium stock in the 20-200 m depth layer accounted for 0.14-40.12 and 0.02-44.71%, respectively. Although the median of the contribution was significantly higher in E. superba, our data imply non-negligible contributions of E. crystallorophias to ammonia concentrations when they are distributed with higher abundance in the neritic zone, which is comparable to E. superba in slope zones. To evaluate entire nutrient cycles in the Southern Ocean ecosystem, information on the life history, distribution and abundance of E. crystallorophias should be key data.</t>
  </si>
  <si>
    <t>[Ono, Atsushi; Hashihama, Fuminori; Amakasu, Kazuo; Moteki, Masato] Tokyo Univ Marine Sci &amp; Technol, Minato Ku, 4-5-7 Konan, Tokyo 1088477, Japan; [Moteki, Masato] Natl Inst Polar Res, 10-3 Midori Cho, Tachikawa, Tokyo 1908518, Japan; [Ono, Atsushi] MarineNet Co Ltd, Minato Ku, COMS Toranomon 8F,1-18-2 Nishi Shimbashi, Tokyo 1050003, Japan</t>
  </si>
  <si>
    <t>Tokyo University of Marine Science &amp; Technology; Research Organization of Information &amp; Systems (ROIS); National Institute of Polar Research (NIPR) - Japan</t>
  </si>
  <si>
    <t>Ono, A (corresponding author), Tokyo Univ Marine Sci &amp; Technol, Minato Ku, 4-5-7 Konan, Tokyo 1088477, Japan.;Ono, A (corresponding author), MarineNet Co Ltd, Minato Ku, COMS Toranomon 8F,1-18-2 Nishi Shimbashi, Tokyo 1050003, Japan.</t>
  </si>
  <si>
    <t>ono@marine-net.com</t>
  </si>
  <si>
    <t>Hashihama, Fuminori/O-1924-2014; AMAKASU, Kazuo/O-1857-2014</t>
  </si>
  <si>
    <t>Hashihama, Fuminori/0000-0003-3835-7681;</t>
  </si>
  <si>
    <t>[14255012]; [19255014]; [15H05239]; [17H06319]</t>
  </si>
  <si>
    <t>; ; ;</t>
  </si>
  <si>
    <t>The study was conducted as part of the Collaborative East Antarctic Marine Census (CEAMARC) program, and was supported by Grants-in-Aid for Science (Nos. 14255012 and 19255014 awarded to T. Ishimaru of TUMSAT, and Nos. 15H05239 and 17H06319 awarded to M. Moteki).</t>
  </si>
  <si>
    <t>0722-4060</t>
  </si>
  <si>
    <t>1432-2056</t>
  </si>
  <si>
    <t>POLAR BIOL</t>
  </si>
  <si>
    <t>Polar Biol.</t>
  </si>
  <si>
    <t>10.1007/s00300-022-03081-w</t>
  </si>
  <si>
    <t>5F2BG</t>
  </si>
  <si>
    <t>WOS:000854706100001</t>
  </si>
  <si>
    <t>Hu, CG; Wei, ZX; Zhan, HC; Gu, WH; Liu, HW; Chen, AF; Jiang, B; Yue, FE; Zhang, RQ; Fan, SD; He, PZ; Leung, MY; Wang, XM; Xie, ZQ</t>
  </si>
  <si>
    <t>Hu, Chengge; Wei, Zexun; Zhan, Haicong; Gu, Weihua; Liu, Hongwei; Chen, Afeng; Jiang, Bei; Yue, Fange; Zhang, Runqi; Fan, Shidong; He, Pengzhen; Leung, M. Y.; Wang, Xinming; Xie, Zhouqing</t>
  </si>
  <si>
    <t>Molecular characteristics, sources and influencing factors of isoprene and monoterpenes secondary organic aerosol tracers in the marine atmosphere over the Arctic Ocean</t>
  </si>
  <si>
    <t>The Arctic Ocean atmosphere; Biogenic secondary organic aerosols; Biogenic secondary organic carbon; Sea ice changes</t>
  </si>
  <si>
    <t>CHEMICAL-COMPOSITION; SEASONAL-VARIATIONS; ANTHROPOGENIC EMISSIONS; SOA; PHOTOOXIDATION; CHINA; PM2.5; OXIDATION; PRODUCTS; FOREST</t>
  </si>
  <si>
    <t>Biogenic secondary organic aerosols (BSOA) are important components of the remote marine atmosphere. However, the response of BSOA changes to sea ice reduction over the Arctic Ocean remains unclear. Here we investigated iso-prene and monoterpenes secondary organic aerosol (SOAI and SOAM) tracers in three years of summer aerosol sam-ples collected from the Arctic Ocean atmosphere. The results indicated that methyltetrols were the most abundant SOAI tracers, while the main oxidation products of monoterpenes varied over the years owing to different aerosol aging. The results of the principal component analysis (PCA)-generalized additive model (GAM) combined with corre-lation analysis suggested that SOAI tracers were mainly generated by the oxidation of isoprene from marine emissions, while SOAM tracers were probably more influenced by terrestrial transport. Estimation of secondary organic carbon (SOC) indicated that monoterpenes oxidation contributed more than isoprene and that sea ice changes had a relatively small effect on biogenic SOC concentration levels. Our study quantified the contribution of influencing factors to the atmospheric concentration of BSOA tracers in the Arctic Ocean, and showed that there were differences in the sources of precursors for different BSOA. Hence, our findings have contributed to a better understanding of the characteristics, sources and formation of SOA in the atmosphere of the Arctic Ocean.</t>
  </si>
  <si>
    <t>[Hu, Chengge; Zhan, Haicong; Gu, Weihua; Liu, Hongwei; Chen, Afeng; Jiang, Bei; Yue, Fange; Fan, Shidong; He, Pengzhen; Xie, Zhouqing] Univ Sci &amp; Technol China, Dept Environm Sci &amp; Engn, Anhui Key Lab Polar Environm &amp; Global Change, Hefei, Peoples R China; [Hu, Chengge; Jiang, Bei] Univ Sci &amp; Technol China, Suzhou Inst Adv Study, Suzhou, Peoples R China; [Wei, Zexun] Minist Nat Resources, Inst Oceanog 1, Qingdao, Peoples R China; [Wei, Zexun] Minist Nat Resources, Key Lab Marine Sci &amp; Numer Modeling, Qingdao, Peoples R China; [Wei, Zexun] Pilot Natl Lab Marine Sci &amp; Technol, Lab Reg Oceanog &amp; Numer Modeling, Qingdao, Peoples R China; [Wei, Zexun] Shandong Key Lab Marine Sci &amp; Numer Modeling, Qingdao, Peoples R China; [Zhang, Runqi; Wang, Xinming] Chinese Acad Sci, Guangzhou Inst Geochem, State Key Lab Organ Geochem, Guangzhou, Peoples R China; [Leung, M. Y.] City Univ Hong Kong, State Key Lab Marine Pollut, Kowloon, Tat Chee Ave, Hong Kong, Peoples R China; [Leung, M. Y.] City Univ Hong Kong, Dept Chem, Kowloon, Tat Chee Ave, Hong Kong, Peoples R China</t>
  </si>
  <si>
    <t>Chinese Academy of Sciences; University of Science &amp; Technology of China, CAS; Chinese Academy of Sciences; University of Science &amp; Technology of China, CAS; Ministry of Natural Resources of the People's Republic of China; First Institute of Oceanography, Ministry of Natural Resources; Ministry of Natural Resources of the People's Republic of China; Laoshan Laboratory; Chinese Academy of Sciences; Guangzhou Institute of Geochemistry, CAS; City University of Hong Kong; City University of Hong Kong</t>
  </si>
  <si>
    <t>Xie, ZQ (corresponding author), Univ Sci &amp; Technol China, Dept Environm Sci &amp; Engn, Anhui Key Lab Polar Environm &amp; Global Change, Hefei, Peoples R China.;Wang, XM (corresponding author), Chinese Acad Sci, Guangzhou Inst Geochem, State Key Lab Organ Geochem, Guangzhou, Peoples R China.</t>
  </si>
  <si>
    <t>wangxm@gig.ac.cn; zqxie@ustc.edu.cn</t>
  </si>
  <si>
    <t>Jiang, Bei/JDC-9899-2023; Leung, Mei-yung/K-4075-2015; Zhang, Runqi/I-9809-2019; Wang, Xinming/A-7388-2014; Leung, Kenneth Mei Yee/C-1055-2009</t>
  </si>
  <si>
    <t>Jiang, Bei/0000-0001-5223-6742; Zhang, Runqi/0000-0002-4434-509X; Wang, Xinming/0000-0002-1982-0928; Leung, Kenneth Mei Yee/0000-0002-2164-4281</t>
  </si>
  <si>
    <t>National Natural Science Foundation of China [41941014, 41930532]; Ministry of Natural Resources of the People's Republic of China [01-01-02E]; University of Science and Technology of China and City University of Hong Kong</t>
  </si>
  <si>
    <t>National Natural Science Foundation of China(National Natural Science Foundation of China (NSFC)); Ministry of Natural Resources of the People's Republic of China; University of Science and Technology of China and City University of Hong Kong</t>
  </si>
  <si>
    <t>This work was supported by the National Natural Science Foundation of China (grant nos. 41941014, 41930532) , and Ministry of Natural Resources of the People's Republic of China (IRASCC2020-2022-No.01-01-02E) . We gratefully acknowledge the China Arctic and Antarctic Admin-istration for fieldwork support and the NOAA Air Resources Laboratory for providing the HYSPLIT model. Chengge Hu is thankful to University of Science and Technology of China and City University of Hong Kong for supporting her research study through the joint PhD degree programme.</t>
  </si>
  <si>
    <t>DEC 20</t>
  </si>
  <si>
    <t>10.1016/j.scitotenv.2022.158645</t>
  </si>
  <si>
    <t>4X9UO</t>
  </si>
  <si>
    <t>WOS:000861181400009</t>
  </si>
  <si>
    <t>Dawson, EJ; Schroeder, DM; Chu, WN; Mantelli, E; Seroussi, H</t>
  </si>
  <si>
    <t>Dawson, Eliza J.; Schroeder, Dustin M.; Chu, Winnie; Mantelli, Elisa; Seroussi, Helene</t>
  </si>
  <si>
    <t>Ice mass loss sensitivity to the Antarctic ice sheet basal thermal state</t>
  </si>
  <si>
    <t>WEST ANTARCTICA; FLOW SPEED; MODEL; GLACIERS; SHELVES; PROJECTIONS; STABILITY; SATELLITE; DYNAMICS; FRICTION</t>
  </si>
  <si>
    <t>Sea-level rise projections rely on accurate predictions of ice mass loss from Antarctica. Climate change promotes greater mass loss by destabilizing ice shelves and accelerating the discharge of upstream grounded ice. Mass loss is further exacerbated by mechanisms such as the Marine Ice Sheet Instability and the Marine Ice Cliff Instability. However, the effect of basal thermal state changes of grounded ice remains largely unexplored. Here, we use numerical ice sheet modeling to investigate how warmer basal temperatures could affect the Antarctic ice sheet mass balance. We find increased mass loss in response to idealized basal thawing experiments run over 100 years. Most notably, frozen-bed patches could be tenuously sustaining the current ice configuration in parts of George V, Adelie, Enderby, and Kemp Land regions of East Antarctica. With less than 5 degrees of basal warming, these frozen patches may begin to thaw, producing new loci of mass loss.</t>
  </si>
  <si>
    <t>[Dawson, Eliza J.; Schroeder, Dustin M.] Stanford Univ, Dept Geophys, Stanford, CA 94305 USA; [Schroeder, Dustin M.] Stanford Univ, Dept Elect Engn, Stanford, CA 94305 USA; [Chu, Winnie] Georgia Inst Technol, Sch Earth &amp; Atmospher Sci, Atlanta, GA USA; [Mantelli, Elisa] Univ Tasmania, Inst Marine &amp; Antarctic Studies, Hobart, Tas, Australia; [Mantelli, Elisa] Univ Tasmania, Australian Ctr Excellence Antarctic Sci, Hobart, Tas, Australia; [Seroussi, Helene] Dartmouth Coll, Thayer Sch Engn, Hanover, NH 03755 USA</t>
  </si>
  <si>
    <t>Stanford University; Stanford University; University System of Georgia; Georgia Institute of Technology; University of Tasmania; University of Tasmania; Dartmouth College</t>
  </si>
  <si>
    <t>Dawson, EJ (corresponding author), Stanford Univ, Dept Geophys, Stanford, CA 94305 USA.</t>
  </si>
  <si>
    <t>ejdawson@stanford.edu</t>
  </si>
  <si>
    <t>; MANTELLI, ELISA/G-4965-2018</t>
  </si>
  <si>
    <t>Schroeder, Dustin/0000-0003-1916-3929; Dawson, Eliza/0000-0002-2662-3201; MANTELLI, ELISA/0000-0001-5096-7998</t>
  </si>
  <si>
    <t>National Science Foundation Graduate Research Fellowship [DGE-1656518]; National Science Foundation [1745137]; Australian Research Council Special Research Initiative, Australian Centre for Excellence in Antarctic Science [SR200100008]; NASA Cryospheric Science Program</t>
  </si>
  <si>
    <t>National Science Foundation Graduate Research Fellowship(National Science Foundation (NSF)); National Science Foundation(National Science Foundation (NSF)); Australian Research Council Special Research Initiative, Australian Centre for Excellence in Antarctic Science(Australian Research Council); NASA Cryospheric Science Program</t>
  </si>
  <si>
    <t>E.D. was supported by the National Science Foundation Graduate Research Fellowship under Grant No. DGE-1656518. This study was also funded by the National Science Foundation Award No. 1745137. EM was supported by the Australian Research Council Special Research Initiative, Australian Centre for Excellence in Antarctic Science (Project Number SR200100008). H.S. was supported by a grant from NASA Cryospheric Science Program. We thank members of the ISSM model development team for their correspondence regarding our experimental setup, and E. MacKie for providing advice on the statistical analysis.</t>
  </si>
  <si>
    <t>SEP 14</t>
  </si>
  <si>
    <t>10.1038/s41467-022-32632-2</t>
  </si>
  <si>
    <t>4N3RC</t>
  </si>
  <si>
    <t>WOS:000853935100021</t>
  </si>
  <si>
    <t>Phillips, LR; Carroll, G; Jonsen, I; Harcourt, R; Brierley, AS; Wilkins, A; Cox, M</t>
  </si>
  <si>
    <t>Phillips, Lachlan R.; Carroll, Gemma; Jonsen, Ian; Harcourt, Robert; Brierley, Andrew S.; Wilkins, Adam; Cox, Martin</t>
  </si>
  <si>
    <t>Variability in prey field structure drives inter-annual differences in prey encounter by a marine predator, the little penguin</t>
  </si>
  <si>
    <t>prey field; active acoustics; predator-prey interactions; marine predator; foraging ecology; Eudyptula minor</t>
  </si>
  <si>
    <t>FORAGING BEHAVIOR; SUCCESS; ZOOPLANKTON; MOVEMENTS; ACOUSTICS</t>
  </si>
  <si>
    <t>Understanding how marine predators encounter prey across patchy landscapes remains challenging due to difficulties in measuring the three-dimensional structure of pelagic prey fields at scales relevant to animal movement. We measured at-sea behaviour of a central-place forager, the little penguin (Eudyptula minor), over 5 years (2015-2019) using GPS and dive loggers. We made contemporaneous measurements of the prey field within the penguins' foraging range via boat-based acoustic surveys. We developed a prey encounter index by comparing estimates of acoustic prey density encountered along actual penguin tracks to those encountered along simulated penguin tracks with the same characteristics as real tracks but that moved randomly through the prey field. In most years, penguin tracks encountered prey better than simulated random movements greater than 99% of the time, and penguin dive depths matched peaks in the vertical distribution of prey. However, when prey was unusually sparse and/or deep, penguins had worse than random prey encounter indices, exhibited dives that mismatched depth of maximum prey density, and females had abnormally low body mass (5.3% lower than average). Reductions in prey encounters owing to decreases in the density or accessibility of prey may ultimately lead to reduced fitness and population declines in central-place foraging marine predators.</t>
  </si>
  <si>
    <t>[Phillips, Lachlan R.; Jonsen, Ian; Harcourt, Robert] Macquarie Univ, Dept Biol Sci, Sydney, NSW, Australia; [Carroll, Gemma] Univ Washington, Sch Aquat &amp; Fisheries Sci, Seattle, WA USA; [Carroll, Gemma] NOAA, Resource Ecol &amp; Fisheries Management Div, Alaska Fisheries Sci Ctr, Seattle, WA USA; [Brierley, Andrew S.; Cox, Martin] Univ St Andrews, Scottish Oceans Inst, Sch Biol, Gatty Marine Lab,Pelag Ecol Res Grp, St Andrews KY16 8LB, Scotland; [Wilkins, Adam] Field Friendly, Adelaide, Australia; [Cox, Martin] Australian Antarctic Div, 203 Channel Highway, Kingston, Tas 7050, Australia</t>
  </si>
  <si>
    <t>Macquarie University; University of Washington; University of Washington Seattle; National Oceanic Atmospheric Admin (NOAA) - USA; University of St Andrews; Australian Antarctic Division</t>
  </si>
  <si>
    <t>Phillips, LR (corresponding author), Macquarie Univ, Dept Biol Sci, Sydney, NSW, Australia.</t>
  </si>
  <si>
    <t>lachlan.phillips@hdr.mq.edu.au</t>
  </si>
  <si>
    <t>Brierley, Andrew/G-8019-2011; Carroll, Gemma/K-3203-2014</t>
  </si>
  <si>
    <t>Brierley, Andrew/0000-0002-6438-6892; Carroll, Gemma/0000-0001-7776-0946; Harcourt, Robert/0000-0003-4666-2934; Jonsen, Ian/0000-0001-5423-6076; Phillips, Lachlan/0000-0002-7635-2817</t>
  </si>
  <si>
    <t>Australian Research Council Linkage Grants [LP110200603, LP160100162]; Taronga Conservation Society Australia</t>
  </si>
  <si>
    <t>Australian Research Council Linkage Grants(Australian Research Council); Taronga Conservation Society Australia</t>
  </si>
  <si>
    <t>This study was funded by Australian Research Council Linkage Grants (grant nos. LP110200603 and LP160100162), with contributions from the Taronga Conservation Society Australia.</t>
  </si>
  <si>
    <t>10.1098/rsos.220028</t>
  </si>
  <si>
    <t>4R1FP</t>
  </si>
  <si>
    <t>WOS:000856516500007</t>
  </si>
  <si>
    <t>Karagali, I; Suhr, MB; Mottram, R; Nielsen-Englyst, P; Dybkjær, G; Ghent, D; Hoyer, JL</t>
  </si>
  <si>
    <t>Karagali, Ioanna; Suhr, Magnus Barfod; Mottram, Ruth; Nielsen-Englyst, Pia; Dybkjaer, Gorm; Ghent, Darren; Hoyer, Jacob L.</t>
  </si>
  <si>
    <t>A new Level 4 multi-sensor ice surface temperature product for the Greenland Ice Sheet</t>
  </si>
  <si>
    <t>M AIR TEMPERATURES; MASS-BALANCE; ARCTIC SURFACE; DATA RECORD; NORTH-SEA; SATELLITE; CLIMATE; PROGRAM; TRENDS; MODEL</t>
  </si>
  <si>
    <t>The Greenland Ice Sheet (GIS) is subject to amplified impacts of climate change and its monitoring is essential for understanding and improving scenarios of future climate conditions. Surface temperature over the GIS is an important variable, regulating processes related to the exchange of energy and water between the surface and the atmosphere. Few local observation sites exist; thus spaceborne platforms carrying thermal infrared instruments offer an alternative for surface temperature observations and are the basis for deriving ice surface temperature (IST) products. In this study several satellite IST products for the GIS were compared, and the first multi-sensor, gap-free (Level 4, L4) product was developed and validated for 2012. High-resolution Level 2 (L2) products from the European Space Agency (ESA) Land Surface Temperature Climate Change Initiative (LST_cci) project and the Arctic and Antarctic Ice Surface Temperatures from Thermal Infrared Satellite Sensors (AASTI) dataset were assessed using observations from the PROMICE (Programme for Monitoring of the Greenland Ice Sheet) stations and IceBridge flight campaigns. AASTI showed overall better performance compared to LST_cci data, which had superior spatial coverage and availability. Both datasets were utilised to construct a daily, gap-free L4 IST product using the optimal interpolation (OI) method. The resulting product performed satisfactorily when compared to surface temperature observations from PROMICE and IceBridge. Combining the advantages of satellite datasets, the L4 product allowed for the analysis of IST over the GIS during 2012, when a significant melt event occurred. Mean summer (June-August) IST was -5.5 +/- 4.5 degrees C, with an annual mean of -22.1 +/- 5.4 degrees C. Mean IST during the melt season (May-August) ranged from -15 to -1 degrees C, while almost the entire GIS experienced at least between 1 and 5 melt days when temperatures were -1 degrees C or higher. Finally, this study assessed the potential for using the satellite L4 IST product to improve model simulations of the GIS surface mass balance (SMB). The L4 IST product was assimilated into an SMB model of snow and firn processes during 2012, when extreme melting occurred, to assess the impact of including a high-resolution IST product on the SMB model. Compared with independent observations from PROMICE and IceBridge, inclusion of the L4 IST dataset improved the SMB model simulated IST during the key onset of the melt season, where model biases are typically large and can impact the amount of simulated melt.</t>
  </si>
  <si>
    <t>[Karagali, Ioanna; Suhr, Magnus Barfod; Mottram, Ruth; Nielsen-Englyst, Pia; Dybkjaer, Gorm; Hoyer, Jacob L.] Danish Meteorol Inst, Lyngbyvej 100, DK-2100 Copenhagen O, Denmark; [Nielsen-Englyst, Pia] Tech Univ Denmark, DTU Space, DK-2800 Lyngby, Denmark; [Ghent, Darren] Univ Leicester, Natl Ctr Earth Observat NCEO, Univ Rd, Leicester LE1 7RH, Leics, England</t>
  </si>
  <si>
    <t>Danish Meteorological Institute DMI; Technical University of Denmark; University of Leicester</t>
  </si>
  <si>
    <t>Karagali, I (corresponding author), Danish Meteorol Inst, Lyngbyvej 100, DK-2100 Copenhagen O, Denmark.</t>
  </si>
  <si>
    <t>ika@dmi.dk</t>
  </si>
  <si>
    <t>Karagali, Ioanna/Q-5950-2018</t>
  </si>
  <si>
    <t>Karagali, Ioanna/0000-0002-8695-7190; Mottram, Ruth/0000-0002-1016-1997; Nielsen-Englyst, Pia/0000-0001-6915-3388; Hoyer, Jacob Lorentsen/0000-0002-4141-0490</t>
  </si>
  <si>
    <t>European Space Agency (ESA) [400123553/18/I-NB]; National Centre for Climate Research (Nationalt Center for Klimaforskning, Forskningsreserven); NERC [NE/R016518/1] Funding Source: UKRI</t>
  </si>
  <si>
    <t>European Space Agency (ESA)(European Space Agency); National Centre for Climate Research (Nationalt Center for Klimaforskning, Forskningsreserven); NERC(UK Research &amp; Innovation (UKRI)Natural Environment Research Council (NERC))</t>
  </si>
  <si>
    <t>This research has been supported by the European Space Agency (ESA contract no. 400123553/18/I-NB) and the National Centre for Climate Research (Nationalt Center for Klimaforskning, Forskningsreserven; Danish Finance Law 20202021).</t>
  </si>
  <si>
    <t>10.5194/tc-16-3703-2022</t>
  </si>
  <si>
    <t>4M6LV</t>
  </si>
  <si>
    <t>WOS:000853435500001</t>
  </si>
  <si>
    <t>Kong, JY; Wang, CC; Duan, XF; Shi, HH; Xue, CH; Wei, ZH; Huang, QR; Zhang, TT; Wang, YM</t>
  </si>
  <si>
    <t>Kong, Jing-Ya; Wang, Cheng-Cheng; Duan, Xue-Feng; Shi, Hao-Hao; Xue, Chang-Hu; Wei, Zi-Hao; Huang, Qing-Rong; Zhang, Tian-Tian; Wang, Yu-Ming</t>
  </si>
  <si>
    <t>Dietary Antarctic Krill Oil Enhances the Oral Bioavailability of Nobiletin but Has No Ideal Synergistic Effect on Improving Memory and Cognition Ability in Aβ1-42 Induced Rats</t>
  </si>
  <si>
    <t>EUROPEAN JOURNAL OF LIPID SCIENCE AND TECHNOLOGY</t>
  </si>
  <si>
    <t>Alzheimer's disease; antarctic krill oil; bioavailability; mechanisms; nobiletin</t>
  </si>
  <si>
    <t>OXIDATIVE STRESS; AMYLOID-BETA; MOUSE MODEL; A-BETA; ALZHEIMERS; ACID; TAU; PHARMACOKINETICS; PLASMALOGEN; IMPAIRMENT</t>
  </si>
  <si>
    <t>Nobiletin (Nob) is reported to exhibit neuroprotective properties, which is limited by its low oral bioavailability. Antarctic krill oil (AKO) is abundant in n-3 polyunsaturated fatty acids in the form of phospholipids, which exhibit an amphiphilic property. It is unclear whether AKO can enhance the bioavailability of nobiletin to facilitate the combined effect on neuroprotection. In the present study, the absorption of Nob carried by AKO is significantly enhanced in contrast to that suspended in corn oil. Moreover, A beta(1-42) injected rats are utilized to clarify the effect of the combination of Nob and AKO on improving the memory and learning ability. Results present that the combination of AKO and Nob significantly reverses the cognitive and learning defects induced by A beta(1-42) injection, but does not have ideal synergistic effect compared to AKO or Nob alone treated groups. Further molecular experiments imply that the neuroprotective effect may be attributed to the reduction of oxidative stress, the inhibition of apoptosis and tau phosphorylation, as well as the improvement of the neurotrophic activity. This study provides scientific insights and theoretical guidance for the nutritional interventions of the combined development of nobiletin and AKO to prevent neuropsychiatric disorders.</t>
  </si>
  <si>
    <t>[Kong, Jing-Ya; Wang, Cheng-Cheng; Duan, Xue-Feng; Shi, Hao-Hao; Xue, Chang-Hu; Wei, Zi-Hao; Zhang, Tian-Tian; Wang, Yu-Ming] Ocean Univ China, Coll Food Sci &amp; Engn, Qingdao 266003, Peoples R China; [Xue, Chang-Hu; Wang, Yu-Ming] Pilot Natl Lab Marine Sci &amp; Technol Qingdao, Lab Marine Drugs &amp; Bioprod, Qingdao 266237, Shandong, Peoples R China; [Huang, Qing-Rong] Rutgers State Univ, Dept Food Sci, Sch Environm &amp; Biol Sci, New Brunswick, NJ 08901 USA</t>
  </si>
  <si>
    <t>Ocean University of China; Laoshan Laboratory; Rutgers University System; Rutgers University New Brunswick</t>
  </si>
  <si>
    <t>Zhang, TT; Wang, YM (corresponding author), Ocean Univ China, Coll Food Sci &amp; Engn, Qingdao 266003, Peoples R China.;Wang, YM (corresponding author), Pilot Natl Lab Marine Sci &amp; Technol Qingdao, Lab Marine Drugs &amp; Bioprod, Qingdao 266237, Shandong, Peoples R China.</t>
  </si>
  <si>
    <t>zhangtiantian@ouc.edu.cn; wangyuming@ouc.edu.cn</t>
  </si>
  <si>
    <t>zhang, tian/GZK-6001-2022; Wei, Zihao/AAJ-8483-2021; yuming, wang/K-8179-2012</t>
  </si>
  <si>
    <t>Wei, Zihao/0000-0002-1942-7907;</t>
  </si>
  <si>
    <t>National Natural Science Foundation of China [31901688, 32072145]</t>
  </si>
  <si>
    <t>This work was supported by National Natural Science Foundation of China (31901688 and 32072145).</t>
  </si>
  <si>
    <t>1438-7697</t>
  </si>
  <si>
    <t>1438-9312</t>
  </si>
  <si>
    <t>EUR J LIPID SCI TECH</t>
  </si>
  <si>
    <t>Eur. J. Lipid Sci. Technol.</t>
  </si>
  <si>
    <t>10.1002/ejlt.202200049</t>
  </si>
  <si>
    <t>Food Science &amp; Technology; Nutrition &amp; Dietetics</t>
  </si>
  <si>
    <t>5W1BO</t>
  </si>
  <si>
    <t>WOS:000853576700001</t>
  </si>
  <si>
    <t>Mandic, M; Frazier, AJ; Naslund, AW; Todgham, AE</t>
  </si>
  <si>
    <t>Mandic, Milica; Frazier, Amanda J.; Naslund, Andrew W.; Todgham, Anne E.</t>
  </si>
  <si>
    <t>A comparative and ontogenetic examination of mitochondrial function in Antarctic notothenioid species</t>
  </si>
  <si>
    <t>JOURNAL OF COMPARATIVE PHYSIOLOGY B-BIOCHEMICAL SYSTEMS AND ENVIRONMENTAL PHYSIOLOGY</t>
  </si>
  <si>
    <t>Mitochondrial function; Oxidative phosphorylation; Notothenioids; Ontogeny; Metabolic capacity; Permeabilized fibers</t>
  </si>
  <si>
    <t>CYTOCHROME-C-OXIDASE; THERMAL SENSITIVITY; MUSCLE MITOCHONDRIA; TREMATOMUS-NEWNESI; DEFENSE SYSTEM; CLIMATE-CHANGE; FISH; TEMPERATURE; CAPACITY; RESPIRATION</t>
  </si>
  <si>
    <t>Notothenioidei fishes have evolved under stable cold temperatures; however, ocean conditions are changing globally, with polar regions poised to experience the greatest changes in environmental factors, such as warming. These stressors have the potential to dramatically affect energetic demands, and the persistence of the notothenioids will be dependent on metabolic capacity, or the ability to match energy supply with energy demand, to restore homeostasis in the face of changing climate conditions. In this study we examined aerobic metabolic capacity in three species, Trematomus bernacchii, T. pennellii and T. newnesi, and between two life stages, juvenile and adult, by assessing mitochondrial function of permeabilized cardiac fibers. Respiratory capacity differed among the adult notothenioids in this study, with greater oxidative phosphorylation (OXPHOS) respiration in the pelagic T. newnesi than the benthic T. bernacchii and T. pennellii. The variation in mitochondrial respiratory capacity was likely driven by differences in the mitochondrial content, as measured by citrate synthase activity, which was the highest in T. newnesi. In addition to high OXPHOS, T. newnesi exhibited lower LEAK respiration, resulting in greater mitochondrial efficiency than either T. bernacchii or T. pennellii. Life stage largely had an effect on mitochondrial efficiency and excess complex IV capacity, but there were little differences in OXPHOS respiration and electron transfer capacity, pointing to a lack of significant differences in the metabolic capacity between juveniles and adults. Overall, these results demonstrate species-specific differences in cardiac metabolic capacity, which may influence the acclimation potential of notothenioid fishes to changing environmental conditions.</t>
  </si>
  <si>
    <t>[Mandic, Milica; Frazier, Amanda J.; Naslund, Andrew W.; Todgham, Anne E.] Univ Calif Davis, Dept Anim Sci, 2251 Meyer Hall, Davis, CA 95616 USA</t>
  </si>
  <si>
    <t>University of California System; University of California Davis</t>
  </si>
  <si>
    <t>Todgham, AE (corresponding author), Univ Calif Davis, Dept Anim Sci, 2251 Meyer Hall, Davis, CA 95616 USA.</t>
  </si>
  <si>
    <t>todgham@ucdavis.edu</t>
  </si>
  <si>
    <t>Todgham, Anne/0000-0003-1439-6985; Naslund, Andrew/0000-0002-3492-9702</t>
  </si>
  <si>
    <t>National Science Foundation [NSF ANT-1744999]; University of California Agricultural Experiment Station [CA-D-ASC-2252-H]</t>
  </si>
  <si>
    <t>National Science Foundation(National Science Foundation (NSF)); University of California Agricultural Experiment Station(University of California System)</t>
  </si>
  <si>
    <t>This study was funded by the National Science Foundation [NSF ANT-1744999 to AET] and the University of California Agricultural Experiment Station (grant number CA-D-ASC-2252-H to AET). We thank all the Antarctic Science Support who made this study possible including the U.S. Antarctic Program, the Crary Lab staff, and ASC SCUBA divers Rob Robbins and Steve Rupp. We would also like to thank Dr. Gigi Lau and Dr. Rashpal Dhillon for their invaluable help with mitochondrial respiration protocols.</t>
  </si>
  <si>
    <t>0174-1578</t>
  </si>
  <si>
    <t>1432-136X</t>
  </si>
  <si>
    <t>J COMP PHYSIOL B</t>
  </si>
  <si>
    <t>J. Comp. Physiol. B-Biochem. Syst. Environ. Physiol.</t>
  </si>
  <si>
    <t>10.1007/s00360-022-01461-6</t>
  </si>
  <si>
    <t>Physiology; Zoology</t>
  </si>
  <si>
    <t>5E6WI</t>
  </si>
  <si>
    <t>WOS:000854720100001</t>
  </si>
  <si>
    <t>Diao, HY; Lin, SY; Li, DM; Li, S; Feng, Q; Sun, N</t>
  </si>
  <si>
    <t>Diao, Huayu; Lin, Songyi; Li, Dongmei; Li, Shuang; Feng, Qi; Sun, Na</t>
  </si>
  <si>
    <t>Control on moisture distribution and protein changes of Antarctic krill meat by antifreeze protein during multiple freeze-thaw cycles</t>
  </si>
  <si>
    <t>JOURNAL OF FOOD SCIENCE</t>
  </si>
  <si>
    <t>Antarctic krill meat; antifreeze protein; freeze-thaw cycles; moisture distribution; protein degradation; protein structure</t>
  </si>
  <si>
    <t>MYOFIBRILLAR PROTEIN; CHEMICAL INTERACTIONS; WATER STATUS; LF-NMR; QUALITY; HEAT; PH; CONFORMATION; UREA; GELS</t>
  </si>
  <si>
    <t>Control on the moisture distribution, protein structure changes, and protein degradation of Antarctic krill meat during freeze-thaw (F-T) cycles by presoaking with antifreeze protein (AFP) was investigated. The results from the thawing loss rate and cooking loss rate indicated that 0.1% was the optimal AFP concentration. Magnetic resonance imaging and low-field nuclear magnetic resonance results showed that AFP inhibited the changes in moisture distribution and maintained the moisture in Antarctic krill meat. The contents of nonprotein nitrogen and trichloroacetic acid-soluble peptides indicated that AFP reduced protein degradation. Further, SDS-PAGE showed that AFP reduced the degradation of actin, troponin T, and myosin light chain. The results of fluorescence spectra, circular dichroism, and chemical bond contents indicated that AFP reduced the damage of the protein tertiary and secondary structures of Antarctic krill meat by holding it in a weak polar environment. This study supplied basic theory for the quality control of Antarctic krill meat. Practical Application Protein degradation, moisture distribution, and protein structure changes occurred to Antarctic krill meat during freeze-thaw cycles due to ice crystal growth and recrystallization, which leads to the decrease in quality. Antifreeze protein has been proven to avoid ice crystals' growth and inhibit ice recrystallization. During freeze-thaw cycles, the moisture distribution of Antarctic krill meat treated with antifreeze protein was more uniform, the degree of protein degradation was lower, and the protein structure was protected. This study demonstrated the potential of antifreeze protein as a water and protein protectant of Antarctic krill meat during freeze-thaw cycles.</t>
  </si>
  <si>
    <t>[Diao, Huayu; Lin, Songyi; Li, Dongmei; Li, Shuang; Feng, Qi; Sun, Na] Dalian Polytech Univ, Natl Engn Res Ctr Seafood, Sch Food Sci &amp; Lbchnol, 1 Qinggongyuan, Dalian 116034, Peoples R China; [Lin, Songyi; Li, Dongmei; Sun, Na] Dalian Polytech Univ, Collaborat Innovat Ctr Seafood Deep Proc, Dalian, Peoples R China</t>
  </si>
  <si>
    <t>Dalian Polytechnic University; Dalian Polytechnic University</t>
  </si>
  <si>
    <t>Sun, N (corresponding author), Dalian Polytech Univ, Natl Engn Res Ctr Seafood, Sch Food Sci &amp; Lbchnol, 1 Qinggongyuan, Dalian 116034, Peoples R China.</t>
  </si>
  <si>
    <t>sunna1215@126.com</t>
  </si>
  <si>
    <t>liu, lingling/IUQ-7478-2023; Liu, Yixuan/JFJ-2820-2023; 王, 娅冰/JGE-0541-2023; Lin, Song-Y i/A-1778-2012; Yan, Miaochen/JLL-5061-2023; liu, xy/JEP-3175-2023; yang, yun/IZE-1092-2023; sun, chen/JCP-0396-2023; li, zhang/JHV-1750-2023; Yang, Fei/JLM-3367-2023; wang, zhiwen/JDV-9990-2023; Yang, Ying/ADL-4165-2022; Zhao, Yi/JFA-7988-2023; ZHOU, YUE/IZE-6277-2023; li, wei/IUQ-2973-2023; liu, xinyu/IWD-6630-2023; 李, 嘉馨/IWM-4023-2023; Wang, Guang/JFS-8374-2023</t>
  </si>
  <si>
    <t>Yang, Ying/0000-0002-3469-7681;</t>
  </si>
  <si>
    <t>Central Guidance on Local Science and Technology Development Fund of Dalian.; Marine Economic Development Project of Liaoning Province [2022-47]</t>
  </si>
  <si>
    <t>Central Guidance on Local Science and Technology Development Fund of Dalian.; Marine Economic Development Project of Liaoning Province</t>
  </si>
  <si>
    <t>the Central Guidance on Local Science and Technology Development Fund of Dalian.; Marine Economic Development Project of Liaoning Province, Grant/Award Number: 2022-47</t>
  </si>
  <si>
    <t>0022-1147</t>
  </si>
  <si>
    <t>1750-3841</t>
  </si>
  <si>
    <t>J FOOD SCI</t>
  </si>
  <si>
    <t>J. Food Sci.</t>
  </si>
  <si>
    <t>10.1111/1750-3841.16308</t>
  </si>
  <si>
    <t>Food Science &amp; Technology</t>
  </si>
  <si>
    <t>5K9HR</t>
  </si>
  <si>
    <t>WOS:000853530400001</t>
  </si>
  <si>
    <t>Hyde, CA; di Sciara, GN; Sorrentino, L; Boyd, C; Finucci, B; Fowler, SL; Kyne, PM; Leurs, G; Simpfendorfer, CA; Tetley, MJ; Womersley, F; Jabado, RW</t>
  </si>
  <si>
    <t>Hyde, Ciaran A.; Notarbartolo di Sciara, Giuseppe; Sorrentino, Lynn; Boyd, Charlotte; Finucci, Brittany; Fowler, Sarah L.; Kyne, Peter M.; Leurs, Guido; Simpfendorfer, Colin A.; Tetley, Michael J.; Womersley, Freya; Jabado, Rima W.</t>
  </si>
  <si>
    <t>Putting sharks on the map: A global standard for improving shark area-based conservation</t>
  </si>
  <si>
    <t>biodiversity; chimaeras; conservation; Important Shark And Ray Areas (ISRA); marine spatial planning (MSP); protected areas; rays (fish); threatened species</t>
  </si>
  <si>
    <t>BIOLOGICALLY SIGNIFICANT AREAS; EXTINCTION RISK; GALEOCERDO-CUVIER; LIFE-HISTORY; HABITAT USE; REEF SHARK; RAYS; MANAGEMENT; DEFINITION; MIGRATION</t>
  </si>
  <si>
    <t>Area-based conservation is essential to safeguard declining biodiversity. Several approaches have been developed for identifying networks of globally important areas based on the delineation of sites or seascapes of importance for various elements of biodiversity (e.g., birds, marine mammals). Sharks, rays, and chimaeras are facing a biodiversity crisis with an estimated 37% of species threatened with extinction driven by overfishing. Yet spatial planning tools often fail to consider the habitat needs critical for their survival. The Important Shark and Ray Area (ISRA) approach is proposed as a response to the dire global status of sharks, rays, and chimaeras. A set of four globally standardized scientific criteria, with seven sub-criteria, was developed based on input collated during four shark, biodiversity, and policy expert workshops conducted in 2022. The ISRA Criteria provide a framework to identify discrete, three-dimensional portions of habitat important for one or more shark, ray, or chimaera species, that have the potential to be delineated and managed for conservation. The ISRA Criteria can be applied to all environments where sharks occur (marine, estuarine, and freshwater) and consider the diversity of species, their complex behaviors and ecology, and biological needs. The identification of ISRAs will guide the development, design, and application of area-based conservation initiatives for sharks, rays, and chimaeras, and contribute to their recovery.</t>
  </si>
  <si>
    <t>[Hyde, Ciaran A.] Consultant Int Union Conservat Nat IUCN, Gland, Switzerland; [Notarbartolo di Sciara, Giuseppe; Finucci, Brittany; Fowler, Sarah L.; Leurs, Guido; Simpfendorfer, Colin A.; Jabado, Rima W.] Int Union Conservat Nat IUCN Species Survival Comm, Dubai, U Arab Emirates; [Notarbartolo di Sciara, Giuseppe; Tetley, Michael J.] World Commiss Protected Areas WCPA Marine Mammal P, IUCN Joint Species Survival Commiss SSC, Gland, Switzerland; [Notarbartolo di Sciara, Giuseppe] Tethys Res Inst, Milan, Italy; [Sorrentino, Lynn] Int Union Conservat Nat IUCN Ocean Team, Gland, Switzerland; [Boyd, Charlotte] Conservat Int, Nairobi, Kenya; [Finucci, Brittany] Natl Inst Water &amp; Atmospher Res NIWA, Wellington, New Zealand; [Fowler, Sarah L.] Save our Seas Fdn, Geneva, Switzerland; [Kyne, Peter M.] Charles Darwin Univ, Res Inst Environm &amp; Livelihoods, Darwin, NT, Australia; [Leurs, Guido] Univ Groningen, Groningen Inst Evolutionary Life Sci, Conservat Ecol Grp, Groningen, Netherlands; [Simpfendorfer, Colin A.; Jabado, Rima W.] James Cook Univ, Coll Sci &amp; Engn, Townsville, Qld, Australia; [Simpfendorfer, Colin A.] Univ Tasmania, Inst Marine &amp; Antarctic Studies, Hobart, Tas, Australia; [Womersley, Freya] Lab Plymouth, Marine Biol Assoc United Kingdom, Plymouth, England; [Womersley, Freya] Univ Southampton, Natl Oceanog Ctr Southampton, Ocean &amp; Earth Sci, Southampton, England; [Jabado, Rima W.] Elasmo Project, Dubai, U Arab Emirates</t>
  </si>
  <si>
    <t>National Institute of Water &amp; Atmospheric Research (NIWA) - New Zealand; Charles Darwin University; University of Groningen; James Cook University; University of Tasmania; Marine Biological Association United Kingdom; NERC National Oceanography Centre; University of Southampton</t>
  </si>
  <si>
    <t>Hyde, CA (corresponding author), Consultant Int Union Conservat Nat IUCN, Gland, Switzerland.;Jabado, RW (corresponding author), Int Union Conservat Nat IUCN Species Survival Comm, Dubai, U Arab Emirates.;Jabado, RW (corresponding author), James Cook Univ, Coll Sci &amp; Engn, Townsville, Qld, Australia.;Jabado, RW (corresponding author), Elasmo Project, Dubai, U Arab Emirates.</t>
  </si>
  <si>
    <t>ciaran.hyde@outlook.com; rimajabado@hotmail.com</t>
  </si>
  <si>
    <t>di Sciara, Giuseppe Notarbartolo/P-8906-2019; Womersley, Freya/IUM-7145-2023; Simpfendorfer, Colin A/G-9681-2011</t>
  </si>
  <si>
    <t>Jabado, Rima/0000-0001-6239-6723; Notarbartolo di Sciara, Giuseppe/0000-0003-0353-617X; Finucci, Brittany/0000-0003-1315-2946; Kyne, Peter/0000-0003-4494-2625</t>
  </si>
  <si>
    <t>Save Our Seas Foundation; German Federal Ministry for the Environment, Nature Conservation, Nuclear Safety and Consumer Protection; [2021 - 070]</t>
  </si>
  <si>
    <t>Save Our Seas Foundation; German Federal Ministry for the Environment, Nature Conservation, Nuclear Safety and Consumer Protection;</t>
  </si>
  <si>
    <t>Funding Funding to conduct this work was received from the Save Our Seas Foundation (Agreement 2021 - 070) and from the German Federal Ministry for the Environment, Nature Conservation, Nuclear Safety and Consumer Protection.</t>
  </si>
  <si>
    <t>SEP 13</t>
  </si>
  <si>
    <t>10.3389/fmars.2022.968853</t>
  </si>
  <si>
    <t>6G1ZO</t>
  </si>
  <si>
    <t>WOS:000884557600001</t>
  </si>
  <si>
    <t>Coulson, PG; Wakefield, CB</t>
  </si>
  <si>
    <t>Coulson, Peter G.; Wakefield, Corey B.</t>
  </si>
  <si>
    <t>Reproduction, sexually dimorphic growth, exceptional longevity and low natural mortality of the knifejaw, Oplegnathus woodwardi, from temperate waters in the south-eastern Indian Ocean</t>
  </si>
  <si>
    <t>FISHERIES RESEARCH</t>
  </si>
  <si>
    <t>Oplegnathidae; Otoliths; Spawning period; Commercial fishing; Long-lived; Growth</t>
  </si>
  <si>
    <t>SOUTHWESTERN ATLANTIC WRECKFISH; POLYPRION-AMERICANUS TELEOSTEI; LIFE-HISTORY PARAMETERS; OPLEGNATHUS-FASCIATUS; BIOLOGICAL CHARACTERISTICS; FISHERIES MANAGEMENT; CHRYSOPHRYS-AURATUS; WESTERN-AUSTRALIA; AGE-DETERMINATION; LEEUWIN CURRENT</t>
  </si>
  <si>
    <t>This is the first study of the life history characteristics of the monotypic Oplegnathus woodwardi. A total of 371 samples were collected from waters along the continental shelf (depths 30-120 m) off south-western Australia from 2010 to 2014, with a further 31 individuals collected in 1978/1979. Maximum ages of 51 and 53 years obtained from these contemporary and historical samples, respectively, are markedly higher than previous age estimates of two congeners from South African waters, whose ages were based on counts of growth zones in whole otoliths. Traditional von Bertalanffy growth (vBG) curves provided the best fit to the length at age data for females and males of O. woodwardi, when compared to vBG curves with t0 constrained to -0.5 or the four parameter Schnute growth curve. In south-western Australia O. woodwardi exhibits a spring-summer spawning period, which is consistent with other temperate demersal teleosts along this coast. The age-based life history characteristics of O. woodwardi determined from this study, provide important information from which to infer the inherent vulnerability of this species. This study also contributes toward the broader sustainable management of this species, particularly where life history information is unknown but higher catches and smaller length compositions likely render that fisheries resource to be at a higher risk.</t>
  </si>
  <si>
    <t>[Coulson, Peter G.] Murdoch Univ, Ctr Sustainable Aquat Ecosyst, Sch Vet &amp; Life Sci, 90 South St, Murdoch, WA 6150, Australia; [Wakefield, Corey B.] Govt Western Australia, Dept Primary Ind &amp; Reg Dev, Western Australian Fisheries &amp; Marine Res Labs, POB 20, North Beach, WA 6920, Australia; [Coulson, Peter G.] Univ Tasmania, Inst Marine &amp; Antarctic Studies, Hobart 7053, Australia</t>
  </si>
  <si>
    <t>Murdoch University; Government of Western Australia; Western Australian Fisheries &amp; Marine Research Laboratories; University of Tasmania</t>
  </si>
  <si>
    <t>Coulson, PG (corresponding author), Murdoch Univ, Ctr Sustainable Aquat Ecosyst, Sch Vet &amp; Life Sci, 90 South St, Murdoch, WA 6150, Australia.;Coulson, PG (corresponding author), Univ Tasmania, Inst Marine &amp; Antarctic Studies, Hobart 7053, Australia.</t>
  </si>
  <si>
    <t>peter.coulson@utas.edu.au</t>
  </si>
  <si>
    <t>Murdoch University; Western Australian Department of Primary Industries and Regional Development</t>
  </si>
  <si>
    <t>Our gratitude is expressed to Sean Flynn (All Seas Fish Supply) and Adam Soumalidis (Great Southern Seafoods) for supplying commercial samples and to Mark Davidson for assistance in transporting samples to Perth. Norm Hall kindly provided statistical assistance in comparisons of growth curves and discussions about mortality estimates and Owen Hamel kindly provided a description of his mortality estimation. Financial support was provided by Murdoch University and the Western Australian Department of Primary Industries and Regional Development.</t>
  </si>
  <si>
    <t>0165-7836</t>
  </si>
  <si>
    <t>1872-6763</t>
  </si>
  <si>
    <t>FISH RES</t>
  </si>
  <si>
    <t>Fish Res.</t>
  </si>
  <si>
    <t>10.1016/j.fishres.2022.106466</t>
  </si>
  <si>
    <t>5M1RS</t>
  </si>
  <si>
    <t>WOS:000870882200006</t>
  </si>
  <si>
    <t>Liu, SH; Li, TT; Fang, S; Zhang, PY; Yi, D; Cong, BL; Zhang, ZH; Zhao, LL</t>
  </si>
  <si>
    <t>Liu, Shenghao; Li, Tingting; Fang, Shuo; Zhang, Pengying; Yi, Dan; Cong, Bailin; Zhang, Zhaohui; Zhao, Linlin</t>
  </si>
  <si>
    <t>Metabolic profiling and gene expression analyses provide insights into cold adaptation of an Antarctic moss Pohlia nutans</t>
  </si>
  <si>
    <t>FRONTIERS IN PLANT SCIENCE</t>
  </si>
  <si>
    <t>cold stress; flavonoids; very-long-chain fatty acids; metabolomic profiling; transcriptomic sequencing; bryophytes</t>
  </si>
  <si>
    <t>PHYSCOMITRELLA-PATENS; HYDROGEN-PEROXIDE; STRESS; TRANSCRIPTOME; DIVERSITY; IDENTIFICATION; TOLERANCE; CATECHIN; GALLATE; HISAT</t>
  </si>
  <si>
    <t>Antarctica is the coldest, driest, and most windy continent on earth. The major terrestrial vegetation consists of cryptogams (mosses and lichens) and two vascular plant species. However, the molecular mechanism of cold tolerance and relevant regulatory networks were largely unknown in these Antarctic plants. Here, we investigated the global alterations in metabolites and regulatory pathways of an Antarctic moss (Pohlia nutans) under cold stress using an integrated multi-omics approach. We found that proline content and several antioxidant enzyme activities were significantly increased in P. nutans under cold stress, but the contents of chlorophyll and total flavonoids were markedly decreased. A total of 559 metabolites were detected using ultra high-performance liquid chromatography/electrospray ionization tandem mass spectrometry (HPLC-ESI-MS/MS). We observed 39 and 71 differentially changed metabolites (DCMs) after 24 h and 60 h cold stress, indicating that several major pathways were differentially activated for producing fatty acids, alkaloids, flavonoids, terpenoids, and phenolic acids. In addition, the quantitative transcriptome sequencing was conducted to uncover the global transcriptional profiles of P. nutans under cold stress. The representative differentially expressed genes (DEGs) were identified and summarized to the function including Ca2+ signaling, ABA signaling, jasmonate signaling, fatty acids biosynthesis, flavonoid biosynthesis, and other biological processes. The integrated dataset analyses of metabolome and transcriptome revealed that jasmonate signaling, auxin signaling, very-long-chain fatty acids and flavonoid biosynthesis pathways might contribute to P. nutans acclimating to cold stress. Overall, these observations provide insight into Antarctic moss adaptations to polar habitats and the impact of global climate change on Antarctic plants.</t>
  </si>
  <si>
    <t>[Liu, Shenghao; Li, Tingting; Fang, Shuo; Yi, Dan; Cong, Bailin; Zhang, Zhaohui; Zhao, Linlin] Minist Nat Resources, Inst Oceanog 1, Key Lab Marine Ecoenvironm Sci &amp; Technol, Qingdao, Peoples R China; [Liu, Shenghao; Cong, Bailin; Zhao, Linlin] Fuzhou Univ, Sch Adv Mfg, Fuzhou, Peoples R China; [Zhang, Pengying] Shandong Univ, Natl Glycoengineering Res Ctr, Sch Life Sci, Qingdao, Peoples R China; [Zhang, Zhaohui] Pilot Natl Lab Marine Sci &amp; Technol, Lab Marine Ecol &amp; Environm Sci, Qingdao, Peoples R China</t>
  </si>
  <si>
    <t>Ministry of Natural Resources of the People's Republic of China; First Institute of Oceanography, Ministry of Natural Resources; Fuzhou University; Shandong University; Laoshan Laboratory</t>
  </si>
  <si>
    <t>Zhao, LL (corresponding author), Minist Nat Resources, Inst Oceanog 1, Key Lab Marine Ecoenvironm Sci &amp; Technol, Qingdao, Peoples R China.;Zhao, LL (corresponding author), Fuzhou Univ, Sch Adv Mfg, Fuzhou, Peoples R China.</t>
  </si>
  <si>
    <t>zhaolinlin@fio.org.cn</t>
  </si>
  <si>
    <t>Liu, Shenghao/ISU-3076-2023</t>
  </si>
  <si>
    <t>Liu, Shenghao/0000-0002-1449-3526</t>
  </si>
  <si>
    <t>1664-462X</t>
  </si>
  <si>
    <t>FRONT PLANT SCI</t>
  </si>
  <si>
    <t>Front. Plant Sci.</t>
  </si>
  <si>
    <t>10.3389/fpls.2022.1006991</t>
  </si>
  <si>
    <t>4Y0GU</t>
  </si>
  <si>
    <t>WOS:000861213800001</t>
  </si>
  <si>
    <t>Lavers, JL; de Jersey, AM; Jones, NR; Stewart, LG; Charlton-Howard, HS; Grant, ML; Woehler, EJ</t>
  </si>
  <si>
    <t>Lavers, Jennifer L.; de Jersey, Alix M.; Jones, Nina R.; Stewart, Lillian G.; Charlton-Howard, Hayley S.; Grant, Megan L.; Woehler, Eric J.</t>
  </si>
  <si>
    <t>Ingested plastics in beach-washed Fairy Prions Pachyptila turtur from Tasmania</t>
  </si>
  <si>
    <t>Body condition; Marine debris; Seabirds; Tasman Sea; Wreck</t>
  </si>
  <si>
    <t>FLESH-FOOTED SHEARWATERS; MARINE DEBRIS; SEABIRDS; ACCUMULATION; COLLECTION; PARTICLES; WRECKS; COAST</t>
  </si>
  <si>
    <t>Plastic is an omnipresent pollutant in marine ecosystems and is widely documented to be ingested among seabird species. Procellariiformes are particularly vulnerable to plastic ingestion, which can cause internal damage, starvation, and occasionally mortality. In this study, 34 fledgling Fairy Prions (Pachyptila turtur) recovered during a wreck event in south-eastern Tasmania in 2022 were examined for ingested plastics and body condition (e.g., wing chord length). While many of the birds exhibited poor body condition, this was not correlated with the count or mass of ingested plastics. We hypothesise the marine heatwave event, and resulting lack of prey, contributed to bird body condition and subsequent mortality. We provide some of the first data on the size of individual plastic particles ingested by seabirds and make recommendations for future studies to report this important metric in a consistent manner that ensures data are comparable.</t>
  </si>
  <si>
    <t>[Lavers, Jennifer L.; Jones, Nina R.; Stewart, Lillian G.; Charlton-Howard, Hayley S.] Univ Tasmania, Inst Marine &amp; Antarctic Studies, 20 Castray Esplanade, Battery Point, Tas 7004, Australia; [de Jersey, Alix M.] Univ Tasmania, Sch Med, Liverpool St, Hobart, Tas 7000, Australia; [Grant, Megan L.] Univ Tasmania, Inst Marine &amp; Antarctic Studies, Sch Rd, Newnham, Tas 7248, Australia; [Woehler, Eric J.] BirdLife Tasmania, GPO Box 68, Hobart, Tas 7001, Australia</t>
  </si>
  <si>
    <t>University of Tasmania; University of Tasmania; University of Tasmania</t>
  </si>
  <si>
    <t>Lavers, JL (corresponding author), Univ Tasmania, Inst Marine &amp; Antarctic Studies, 20 Castray Esplanade, Battery Point, Tas 7004, Australia.</t>
  </si>
  <si>
    <t>Jennifer.Lavers@utas.edu.au</t>
  </si>
  <si>
    <t>Lavers, Jennifer/IWM-5417-2023; Lavers, Jennifer/O-4831-2017</t>
  </si>
  <si>
    <t>Lavers, Jennifer/0000-0001-7596-6588; Woehler, Eric/0000-0002-1125-0748</t>
  </si>
  <si>
    <t>10.1016/j.marpolbul.2022.114096</t>
  </si>
  <si>
    <t>4W7EM</t>
  </si>
  <si>
    <t>WOS:000860321400003</t>
  </si>
  <si>
    <t>Fudala, K; Bialik, RJ</t>
  </si>
  <si>
    <t>Fudala, Katarzyna; Bialik, Robert Jozef</t>
  </si>
  <si>
    <t>Seals from outer space-Population census of southern elephant seals using VHR satellite imagery</t>
  </si>
  <si>
    <t>REMOTE SENSING APPLICATIONS-SOCIETY AND ENVIRONMENT</t>
  </si>
  <si>
    <t>Southern elephant seal; Mirounga leonina; Remote sensing; VHR; Satellite imagery in wildlife monitoring; King George Island; Unmanned Aerial Systems</t>
  </si>
  <si>
    <t>CLIMATE-CHANGE</t>
  </si>
  <si>
    <t>This work aims to assess the utility of World-View 3 satellite imagery of 31 cm resolution for con-ducting population censuses of southern elephant seals (SES). For the first time, we present a comparison of the results of image analyses of a 31 cm resolution satellite image and 1.39 cm res-olution drone-based orthophoto of a SES breeding colony located at Patelnia Point (King George Island, breeding season 2019). The time distance separating both visualisations of the same area was 15 h 4 min, which allowed us to determine the female recognition from the VHR image with an error of 1.5-7.0%, depending on the density of females in the breeding formation. An impor-tant component of this error is false negative matches, which can have a significant impact when selecting the objects needed to train deep learning models. In addition, the pup recognition error was much higher and was 24.6-40.2%, which depended on the density of animals in harems, a large variation in the size of the pups and the diverse substrate on which they were deposited. Counting on VHR images was performed manually by eleven observers familiar with the morpho-logical characteristics of SES. The resolution of the VHR photo allows the identification of fe-males and males involved in breeding due to the clear dimorphism of their sizes. We recommend using VHR satellite imagery to determine the number of breeding formations and spatial relation-ships between them, as well as for counting females and males during the breeding haul-out. The resolution of satellite imagery available at this time is still insufficient to be used to determine breeding success. With increasing access to satellite resources and an ever-expanding database of VHR images, this is a promising tool to fill the gaps in knowledge about the global population of SESs.</t>
  </si>
  <si>
    <t>[Fudala, Katarzyna; Bialik, Robert Jozef] Polish Acad Sci, Inst Biochem &amp; Biophys, Pawinskiego 5A, PL-02106 Warsaw, Poland</t>
  </si>
  <si>
    <t>Polish Academy of Sciences; Institute of Biochemistry &amp; Biophysics - Polish Academy of Sciences</t>
  </si>
  <si>
    <t>Bialik, RJ (corresponding author), Polish Acad Sci, Inst Biochem &amp; Biophys, Pawinskiego 5A, PL-02106 Warsaw, Poland.</t>
  </si>
  <si>
    <t>rbialik@ibb.waw.pl</t>
  </si>
  <si>
    <t>Fudala, Katarzyna/0000-0001-9698-2480</t>
  </si>
  <si>
    <t>Ministry of Science and Higher Education of Poland [6812/IA/SP/2018]</t>
  </si>
  <si>
    <t>Ministry of Science and Higher Education of Poland(Ministry of Science and Higher Education, Poland)</t>
  </si>
  <si>
    <t>Acknowledgements This research received funding from the Ministry of Science and Higher Education of Poland, grant no. 6812/IA/SP/2018. We ap-preciate the support provided by the Arctowski Polish Antarctic Station. We are particularly grateful to the members of the 43rd and 44th Polish Expeditions to King George Island. We would like to thank colleagues from the Department of Antarctic Biology for their involvement in counting SES on the satellite image.</t>
  </si>
  <si>
    <t>2352-9385</t>
  </si>
  <si>
    <t>REMOTE SENS APPL</t>
  </si>
  <si>
    <t>Remote Sens. Appl.-Soc. Environ.</t>
  </si>
  <si>
    <t>10.1016/j.rsase.2022.100836</t>
  </si>
  <si>
    <t>Environmental Sciences; Remote Sensing</t>
  </si>
  <si>
    <t>Environmental Sciences &amp; Ecology; Remote Sensing</t>
  </si>
  <si>
    <t>4R1KZ</t>
  </si>
  <si>
    <t>WOS:000856530500001</t>
  </si>
  <si>
    <t>Koca, FD; Muhy, HM; Halici, MG; Gozcelioglu, B; Konuklugil, B</t>
  </si>
  <si>
    <t>Koca, Fatih Dogan; Muhy, Haydar Matz; Halici, Mehmet Gokhan; Gozcelioglu, Bulent; Konuklugil, Belma</t>
  </si>
  <si>
    <t>Synthesis of hybrid nanoflowers using extract of Ascoseira mirabilis, a large brown parenchymatous macroalga endemic to the Antarctic Ocean, as the organic component and evaluation of their antimicrobial, catalytic, and antioxidant activities</t>
  </si>
  <si>
    <t>APPLIED NANOSCIENCE</t>
  </si>
  <si>
    <t>Copper nanoflower; Nanoparticle; Green synthesis; Catalytic; Antimicrobial; Antioxidant</t>
  </si>
  <si>
    <t>GREEN SYNTHESIS; ANTIBACTERIAL; STRATEGY</t>
  </si>
  <si>
    <t>Organic@inorganic hybrid nanoflowers (hNFs), which are widely used in enzyme purification and catalytic activity applications, include both organic and inorganic components. In this study, hNFs were synthesized with the combination of Ascoseira mirabilis extract and Cu in phosphate-buffered saline (PBS) while altering the concentration and medium pH instead of using expensive molecules that are difficult to obtain such as enzymes or DNA. According to the obtained FE-SEM images, the morphology of the hNFs was related to the pH of the PBS (synthesis did not occur at pH 5) and the volume of the extract. The presence of Cu and other components was detailed with EDX mapping. The presence of functional groups playing key roles in the synthesis process was evaluated based on FT-IR peaks. The Cu hNFs exhibited peroxidase-like catalytic activity against guaiacol and demonstrated antimicrobial and antioxidant activities. This study is original and innovative in terms of using an Ascoseira mirabilis extract for hNF synthesis and evaluating the antioxidant, catalytic, and antimicrobial activities of Ascoseira mirabilis-based hNFs. The research sheds light on hNF synthesis and the possibility of biological activity application studies performed with bioextracts instead of biomolecules obtained via expensive and complex processes.</t>
  </si>
  <si>
    <t>[Koca, Fatih Dogan] Erciyes Univ, Fac Vet Med, Kayseri, Turkey; [Muhy, Haydar Matz] Erciyes Univ, Inst Sci, Kayseri, Turkey; [Halici, Mehmet Gokhan] Erciyes Univ, Fac Sci, Dept Biol, Kayseri, Turkey; [Gozcelioglu, Bulent] Sci &amp; Technol Res Council Turkey, Sci &amp; Soc Div, Ankara, Turkey; [Konuklugil, Belma] Lokman Hekim Univ, Fac Pharm, Dept Pharmacognosy, Ankara, Turkey</t>
  </si>
  <si>
    <t>Erciyes University; Erciyes University; Erciyes University; Turkiye Bilimsel ve Teknolojik Arastirma Kurumu (TUBITAK); Lokman Hekim University</t>
  </si>
  <si>
    <t>Koca, FD (corresponding author), Erciyes Univ, Fac Vet Med, Kayseri, Turkey.</t>
  </si>
  <si>
    <t>fatihdkoca@gmail.com</t>
  </si>
  <si>
    <t>KOCA, Fatih Doğan/AAB-2646-2022; Konuklugil, Belma/HNP-0116-2023</t>
  </si>
  <si>
    <t>KOCA, Fatih Doğan/0000-0001-9774-3019; Konuklugil, Belma/0000-0002-4753-0450</t>
  </si>
  <si>
    <t>2190-5509</t>
  </si>
  <si>
    <t>2190-5517</t>
  </si>
  <si>
    <t>APPL NANOSCI</t>
  </si>
  <si>
    <t>Appl. Nanosci.</t>
  </si>
  <si>
    <t>2022 SEP 13</t>
  </si>
  <si>
    <t>10.1007/s13204-022-02618-z</t>
  </si>
  <si>
    <t>Nanoscience &amp; Nanotechnology</t>
  </si>
  <si>
    <t>4M7PH</t>
  </si>
  <si>
    <t>WOS:000853514000007</t>
  </si>
  <si>
    <t>Else, BGT; Cranch, A; Sims, RP; Jones, S; Dalman, LA; Mundy, CJ; Segal, RA; Scharien, RK; Guha, T</t>
  </si>
  <si>
    <t>Else, Brent G. T.; Cranch, Araleigh; Sims, Richard P.; Jones, Samantha; Dalman, Laura A.; Mundy, Christopher J.; Segal, Rebecca A.; Scharien, Randall K.; Guha, Tania</t>
  </si>
  <si>
    <t>Variability in sea ice carbonate chemistry: a case study comparing the importance of ikaite precipitation, bottom-ice algae, and currents across an invisible polynya</t>
  </si>
  <si>
    <t>ARCTIC-OCEAN; CO2 FLUX; DYNAMICS; SNOW; BIOMASS; GROWTH; WATER; FIELD; MELT</t>
  </si>
  <si>
    <t>The carbonate chemistry of sea ice is known to play a role in global carbon cycles, but its importance is uncertain in part due to disparities in reported results. Variability in physical and biological drivers is usually invoked to explain differences between studies. In the Canadian Arctic Archipelago, invisible polynyas - areas of strong currents, thin ice, and potentially high biological productivity - are examples of extreme spatial variability. We used an invisible polynya as a natural laboratory to study the effects of inferred initial ice formation conditions, ice growth rate, and algal biomass on the distribution of carbonate species by collecting enough cores to perform a statistical comparison between sites located within, and just outside of, a polynya near Icjaluktuttiaq (Cambridge Bay, Nunavut, Canada). At both sites, the uppermost 10 cm ice horizon showed evidence of CO2 off-gassing, while carbonate distributions in the middle and bottommost 10 cm horizons largely followed the salinity distribution. In the polynya, the upper ice horizon had significantly higher bulk total inorganic carbon (TIC), total alkalinity (TA), and salinity potentially due to freeze-up conditions that favoured frazil ice production. The middle ice horizons were statistically indistinguishable between sites, suggesting that ice growth rate is not an important factor for the carbonate distribution under mid-winter conditions. The thicker (non-polynya) site experienced higher algal biomass, TIC, and TA in the bottom horizon. Carbonate chemistry in the bottom horizon could largely be explained by the salinity distribution, with the strong currents at the polynya site potentially playing a role in desalinization; biology appeared to exert only a minor control, with some evidence that the ice algae community was net heterotrophic. We did see evidence of calcium carbonate precipitation but with little impact on the TIC: TA ratio and little difference between sites. Because differences were constrained to relatively thin layers at the top and bottom, vertically averaged values of TIC, TA, and especially the TIC : TA ratio were not meaningfully different between sites. This provides some justification for using a single bulk value for each parameter when modelling sea ice effects on ocean chemistry at coarse resolution. Exactly what value to use (particularly for the TIC: TA ratio) likely varies by region but could potentially be approximated from knowledge of the source seawater and sea ice salinity. Further insights await a rigorous intercomparison of existing data.</t>
  </si>
  <si>
    <t>[Else, Brent G. T.; Cranch, Araleigh; Sims, Richard P.; Jones, Samantha; Guha, Tania] Univ Calgary, Dept Geog, Calgary, AB, Canada; [Dalman, Laura A.; Mundy, Christopher J.] Univ Manitoba, Ctr Earth Observat Sci, Winnipeg, MB, Canada; [Segal, Rebecca A.] Arctic Eider Soc, Sanikiluaq, NU, Canada; [Segal, Rebecca A.] SmartIce Sea Ice Monitoring &amp; Informat Inc, St John, NF, Canada; [Scharien, Randall K.] Univ Victoria, Dept Geog, Victoria, BC, Canada; [Sims, Richard P.] Univ Exeter, Coll Life &amp; Environm Sci, Exeter, Devon, England; [Dalman, Laura A.] Univ Tasmania, Inst Marine &amp; Antarctic Studies, Hobart, Tas, Australia</t>
  </si>
  <si>
    <t>University of Calgary; University of Manitoba; University of Victoria; University of Exeter; University of Tasmania</t>
  </si>
  <si>
    <t>Else, BGT (corresponding author), Univ Calgary, Dept Geog, Calgary, AB, Canada.</t>
  </si>
  <si>
    <t>belse@ucalgary.ca</t>
  </si>
  <si>
    <t>Else, Brent G/D-5267-2012</t>
  </si>
  <si>
    <t>Dalman, Laura/0000-0002-3931-6753; Sims, Richard/0000-0002-6503-299X</t>
  </si>
  <si>
    <t>Marine Environmental Observation Prediction and Response (MEOPAR) Network of Centres of Excellence; ArcticNet Network of Centres of Excellence; Canada Foundation for Innovation (John R. Evans Leaders Fund); Natural Sciences and Engineering Research Council of Canada (NSERC); University of Calgary; Northern Science Training Program (NSTP)</t>
  </si>
  <si>
    <t>Marine Environmental Observation Prediction and Response (MEOPAR) Network of Centres of Excellence; ArcticNet Network of Centres of Excellence; Canada Foundation for Innovation (John R. Evans Leaders Fund); Natural Sciences and Engineering Research Council of Canada (NSERC)(Natural Sciences and Engineering Research Council of Canada (NSERC)); University of Calgary; Northern Science Training Program (NSTP)</t>
  </si>
  <si>
    <t>This research has been supported by the Marine Environmental Observation Prediction and Response (MEOPAR) Network of Centres of Excellence, the ArcticNet Network of Centres of Excellence, the Canada Foundation for Innovation (John R. Evans Leaders Fund), the Natural Sciences and Engineering Research Council of Canada (NSERC), and the University of Calgary. Araleigh Cranch was supported by a scholarship from the Northern Science Training Program (NSTP).</t>
  </si>
  <si>
    <t>10.5194/tc-16-3685-2022</t>
  </si>
  <si>
    <t>4M1UC</t>
  </si>
  <si>
    <t>WOS:000853112600001</t>
  </si>
  <si>
    <t>Rezsöhazy, J; Dalaiden, Q; Klein, F; Goosse, H; Guiot, J</t>
  </si>
  <si>
    <t>Rezsohazy, Jeanne; Dalaiden, Quentin; Klein, Francois; Goosse, Hugues; Guiot, Joel</t>
  </si>
  <si>
    <t>Using a process-based dendroclimatic proxy system model in a data assimilation framework: a test case in the Southern Hemisphere over the past centuries</t>
  </si>
  <si>
    <t>CLIMATE OF THE PAST</t>
  </si>
  <si>
    <t>SURFACE MASS-BALANCE; TEMPERATURE VARIABILITY; LAST MILLENNIUM; CLIMATE VARIABILITY; CARBON ALLOCATION; TREE; RECONSTRUCTIONS; PRECIPITATION; SNOWFALL; SCALE</t>
  </si>
  <si>
    <t>Currently available data-assimilation-based reconstructions of past climate variations have only used statistical proxy system models to make the link between climate model outputs and indirect observations from tree rings. However, the linearity and stationarity assumptions of the statistical approach may have limitations. In this study, we incorporate the process-based dendroclimatic model MAIDEN into a data assimilation procedure using the reconstruction of near-surface air temperature, precipitation and winds in the midlatitudes of the Southern Hemisphere over the past 400 years as a test case. We compare our results with a data assimilation approach including a linear regression as a proxy system model for tree-ring width proxies. Overall, when compared to instrumental data, the reconstructions using MAIDEN as a proxy system model offer a skill equivalent to the experiment using the regression model. However, knowing the advantages that a process-based model can bring and the improvements that can still be made with MAIDEN, those results are promising.</t>
  </si>
  <si>
    <t>[Rezsohazy, Jeanne; Dalaiden, Quentin; Klein, Francois; Goosse, Hugues] Univ Catholique Louvain UCLouvain, Earth &amp; Life Inst ELI, Louvain La Neuve, Belgium; [Rezsohazy, Jeanne; Guiot, Joel] Aix Marseille Univ, CNRS, IRD, INRA,CEREGE, Aix En Provence, France</t>
  </si>
  <si>
    <t>Centre National de la Recherche Scientifique (CNRS); Institut de Recherche pour le Developpement (IRD); INRAE; Aix-Marseille Universite</t>
  </si>
  <si>
    <t>Rezsöhazy, J (corresponding author), Univ Catholique Louvain UCLouvain, Earth &amp; Life Inst ELI, Louvain La Neuve, Belgium.;Rezsöhazy, J (corresponding author), Aix Marseille Univ, CNRS, IRD, INRA,CEREGE, Aix En Provence, France.</t>
  </si>
  <si>
    <t>jeanne.rersohazy@uclouvain.be</t>
  </si>
  <si>
    <t>Dalaiden, Quentin/0000-0002-3885-3848</t>
  </si>
  <si>
    <t>Fonds De La Recherche Scientifique -FNRS [1.A841.18]; Belgian Research Action through Interdisciplinary Networks (BRAIN.be) from the Belgian Science Policy Office in the framework of the East Antarctic surface mass balance in the Anthropocene: observations and multiscale modelling (Mass2Ant) project [BR/165/A2/Mass2Ant]</t>
  </si>
  <si>
    <t>Fonds De La Recherche Scientifique -FNRS(Fonds de la Recherche Scientifique - FNRS); Belgian Research Action through Interdisciplinary Networks (BRAIN.be) from the Belgian Science Policy Office in the framework of the East Antarctic surface mass balance in the Anthropocene: observations and multiscale modelling (Mass2Ant) project</t>
  </si>
  <si>
    <t>Y This research has been supported by the Fonds De La Recherche Scientifique -FNRS (grant no. 1.A841.18) and by the Belgian Research Action through Interdisciplinary Networks (BRAIN.be) from the Belgian Science Policy Office in the framework of the East Antarctic surface mass balance in the Anthropocene: observations and multiscale modelling (Mass2Ant) project (contract no. BR/165/A2/Mass2Ant).</t>
  </si>
  <si>
    <t>1814-9324</t>
  </si>
  <si>
    <t>1814-9332</t>
  </si>
  <si>
    <t>CLIM PAST</t>
  </si>
  <si>
    <t>Clim. Past.</t>
  </si>
  <si>
    <t>10.5194/cp-18-2093-2022</t>
  </si>
  <si>
    <t>4M0JN</t>
  </si>
  <si>
    <t>WOS:000853014500001</t>
  </si>
  <si>
    <t>Liu, CL; Zhang, XL; Wang, XL</t>
  </si>
  <si>
    <t>Liu, Chenlin; Zhang, Xuelei; Wang, Xiuliang</t>
  </si>
  <si>
    <t>DNA metabarcoding data reveals harmful algal-bloom species undescribed previously at the northern Antarctic Peninsula region</t>
  </si>
  <si>
    <t>Northern Antarctic Peninsula; Phytoplankton; Harmful dinoflagellates; DNA metabarcoding</t>
  </si>
  <si>
    <t>KING-GEORGE ISLAND; COMMUNITY COMPOSITION; EUKARYOTIC DIVERSITY; PHYTOPLANKTON ASSEMBLAGES; PHYLOGENETIC ANALYSIS; MICROBIAL EUKARYOTES; PROTIST COMMUNITIES; SOUTH SHETLAND; CLIMATE-CHANGE; ADMIRALTY BAY</t>
  </si>
  <si>
    <t>Introduction of non-indigenous microbial organisms is forecast to pose a significant threat to the northern Antarctic Peninsula (NAP) marine environments, but reliable data are still lacking. In order to explore the diversity of phytoplankton community, especially discover harmful bloom species that never reported in early studies due to the paucity of molecular investigation in the NAP, we collected plankton samples from the north of South Shetland Islands to east of the South Orkney Islands and sequenced their 18S rRNA gene V4 region metabarcoding. The dominate groups in the samples were dinoflagellates, diatoms, cryptophytes, and haptophytes. We discovered 1340 amplicon sequence variants (ASVs) associated with the Dinophyceae, and 742 ASVs of which were categorized to the genus or species level using the DINOREF database. Dinophyceae Gyrodinium, Warnowia, Ptychodiscus, Gymnodinium, Karenia, Brachidinium, Polarella, Islandinium, and Scrippsiella were the dominate taxa, accounting for 75 percent of the dinoflagellate reads. Karenia papilionacea and Scrippsiella acuminata were first-ever detected in the NAP, and they might be carried in from outside the Antarctic by shipping activities. Their relative abundance suggests that there is a risk of harmful blooms emerging in the northern Antarctic Peninsula as a result of climate change and human activities.</t>
  </si>
  <si>
    <t>[Liu, Chenlin; Zhang, Xuelei] Minist Nat Resources MNR, MNR Key Lab Marine Ecoenvironm Sci &amp; Technol, Inst Oceanog 1, Qingdao 266061, Peoples R China; [Liu, Chenlin; Wang, Xiuliang] Qingdao Natl Lab Marine Sci &amp; Technol, Lab Marine Biol &amp; Biotechnol, Qingdao 266000, Peoples R China; [Wang, Xiuliang] Chinese Acad Sci, Inst Oceanol, Qingdao 266071, Peoples R China</t>
  </si>
  <si>
    <t>Ministry of Natural Resources of the People's Republic of China; Laoshan Laboratory; Chinese Academy of Sciences; Institute of Oceanology, CAS</t>
  </si>
  <si>
    <t>Liu, CL (corresponding author), Minist Nat Resources MNR, MNR Key Lab Marine Ecoenvironm Sci &amp; Technol, Inst Oceanog 1, Qingdao 266061, Peoples R China.;Liu, CL (corresponding author), Qingdao Natl Lab Marine Sci &amp; Technol, Lab Marine Biol &amp; Biotechnol, Qingdao 266000, Peoples R China.</t>
  </si>
  <si>
    <t>ch.lliu@163.com</t>
  </si>
  <si>
    <t>34th Chinese National Antarctic Research Exploration with the Xiangyanghong 01 scientific expedition vessel [JDKC0518013]; National Key R&amp;D program of China [2018YFC1406705]</t>
  </si>
  <si>
    <t>34th Chinese National Antarctic Research Exploration with the Xiangyanghong 01 scientific expedition vessel; National Key R&amp;D program of China</t>
  </si>
  <si>
    <t>This work was supported by the 34th Chinese National Antarctic Research Exploration with the Xiangyanghong 01 scientific expedition vessel (JDKC0518013), and a grant from the National Key R&amp;D program of China (2018YFC1406705).</t>
  </si>
  <si>
    <t>10.1007/s00300-022-03084-7</t>
  </si>
  <si>
    <t>WOS:000853286700001</t>
  </si>
  <si>
    <t>Patterson, A; Gilchrist, HG; Benjaminsen, S; Bolton, M; Bonnet-Lebrun, AS; Davoren, GK; Descamps, S; Erikstad, KE; Frederiksen, M; Gaston, AJ; Gulka, J; Hentati-Sundberg, J; Huffeldt, NP; Johansen, KL; Labansen, AL; Linnebjerg, JF; Love, OP; Mallory, ML; Merkel, FR; Montevecchi, WA; Mosbech, A; Olsson, O; Owen, E; Ratcliffe, N; Regular, PM; Reiertsen, TK; Ropert-Coudert, Y; Strom, H; Thórarinsson, TL; Elliott, KH</t>
  </si>
  <si>
    <t>Patterson, Allison; Gilchrist, H. Grant; Benjaminsen, Sigurd; Bolton, Mark; Bonnet-Lebrun, Anne Sophie; Davoren, Gail K.; Descamps, Sebastien; Erikstad, Kjell Einar; Frederiksen, Morten; Gaston, Anthony J.; Gulka, Julia; Hentati-Sundberg, Jonas; Huffeldt, Nicholas Per; Johansen, Kasper Lambert; Labansen, Aili Lage; Linnebjerg, Jannie Fries; Love, Oliver P.; Mallory, Mark L.; Merkel, Flemming Ravn; Montevecchi, William A.; Mosbech, Anders; Olsson, Olof; Owen, Ellie; Ratcliffe, Norman; Regular, Paul M.; Reiertsen, Tone Kristin; Ropert-Coudert, Yan; Strom, Hallvard; Thorarinsson, Thorkell Lindberg; Elliott, Kyle H.</t>
  </si>
  <si>
    <t>Foraging range scales with colony size in high-latitude seabirds</t>
  </si>
  <si>
    <t>R PACKAGE; GEOGRAPHIC STRUCTURE; COMPETITION; SPACE; BIRD; POPULATION; DENSITY; REVEAL; MODEL; FOOD</t>
  </si>
  <si>
    <t>Density-dependent prey depletion around breeding colonies has long been considered an important factor controlling the population dynamics of colonial animals.(1-4) Ashmole proposed that as seabird colony size increases, intraspecific competition leads to declines in reproductive success, as breeding adults must spend more time and energy to find prey farther from the colony.(1) Seabird colony size often varies over several orders of magnitude within the same species and can include millions of individuals per colony.(5,6) As such, colony size likely plays an important role in determining the individual behavior of its members and how the colony interacts with the surrounding environment.(6) Using tracking data from murres (Uria spp.), the world's most densely breeding seabirds, we show that the distribution of foraging-trip distances scales to colony size(0.33) during the chick-rearing stage, consistent with Ashmole's halo theory.(1,2) This pattern occurred across colonies varying in size over three orders of magnitude and distributed throughout the North Atlantic region. The strong relationship between colony size and foraging range means that the foraging areas of some colonial species can be estimated from colony sizes, which is more practical to measure over a large geographic scale. Two-thirds of the North Atlantic murre population breed at the 16 largest colonies; by extrapolating the predicted foraging ranges to sites without tracking data, we show that only two of these large colonies have significant coverage as marine protected areas. Our results are an important example of how theoretical models, in this case, Ashmole's version of central-place-foraging theory, can be applied to inform conservation and management in colonial breeding species.</t>
  </si>
  <si>
    <t>[Patterson, Allison; Elliott, Kyle H.] McGill Univ, Dept Nat Resource Sci, 21111 Lakeshore Blvd, Ste Anne De Bellevue, PQ H9X 3V9, Canada; [Gilchrist, H. Grant] Environm &amp; Climate Change Canada, Natl Wildlife Res Ctr, Ottawa, ON, Canada; [Benjaminsen, Sigurd; Erikstad, Kjell Einar; Reiertsen, Tone Kristin] Norwegian Inst Nat Res, Fram Ctr, N-9296 Tromso, Norway; [Bolton, Mark; Owen, Ellie] Royal Soc Protect Birds, RSPB Ctr Conservat Sci, Sandy, Beds, England; [Bonnet-Lebrun, Anne Sophie; Ratcliffe, Norman] British Antarctic Survey, Madingley Rd, Cambridge, England; [Davoren, Gail K.; Gulka, Julia] Univ Manitoba, Dept Biol Sci, Winnipeg, MB R3T 2N2, Canada; [Descamps, Sebastien; Strom, Hallvard] Norwegian Polar Res Inst, Fram Ctr, POB 6606, N-9296 Tromso, Norway; [Erikstad, Kjell Einar; Mosbech, Anders] Norwegian Univ Sci &amp; Technol, Ctr Biodivers Dynam, Trondheim, Norway; [Frederiksen, Morten; Huffeldt, Nicholas Per; Johansen, Kasper Lambert; Linnebjerg, Jannie Fries; Merkel, Flemming Ravn] Aarhus Univ, Dept Biosci, Frederiksborgvej 399, DK-4000 Roskilde, Denmark; [Gaston, Anthony J.] Laskeek Bay Conservat Soc, POB 867, Queen Charlotte, BC V0T 1S0, Canada; [Hentati-Sundberg, Jonas; Merkel, Flemming Ravn] Swedish Univ Agr Sci, Inst Marine Res, Dept Aquat Resources, Lysekil, Sweden; [Huffeldt, Nicholas Per; Labansen, Aili Lage] Greenland Inst Nat Resources, Kivioq 2, Nuuk 3900, Greenland; [Love, Oliver P.] Univ Windsor, Dept Integrat Biol, 401 Sunset Ave, Windsor, ON N9B 3P4, Canada; [Mallory, Mark L.] Acadia Univ, Biol, 15 Univ Ave, Wolfville, NS B4P 2R6, Canada; [Montevecchi, William A.] Mem Univ Newfoundland, Psychol &amp; Biol Dept, St John, NL A1C 5S7, Canada; [Olsson, Olof] Stockholm Univ, Stockholm Resilience Ctr, Stockholm, Sweden; [Regular, Paul M.] Fisheries &amp; Oceans Canada, Northwest Atlantic Fisheries Ctr, St John, NL, Canada; [Ropert-Coudert, Yan] La Rochelle Univ, CNRS, Ctr Etud Biol Chize, Villiers En Bois, France; [Thorarinsson, Thorkell Lindberg] Northeast Iceland Nat Res Ctr, Hafnarstett 3, IS-640 Husavik, Iceland</t>
  </si>
  <si>
    <t>McGill University; Environment &amp; Climate Change Canada; Canadian Wildlife Service; National Wildlife Research Centre - Canada; Norwegian Institute Nature Research; Royal Society for Protection of Birds; UK Research &amp; Innovation (UKRI); Natural Environment Research Council (NERC); NERC British Antarctic Survey; University of Manitoba; Norwegian Polar Institute; Norwegian University of Science &amp; Technology (NTNU); Aarhus University; Swedish University of Agricultural Sciences; Greenland Institute of Natural Resources; University of Windsor; Acadia University; Memorial University Newfoundland; Stockholm University; Fisheries &amp; Oceans Canada; Centre National de la Recherche Scientifique (CNRS)</t>
  </si>
  <si>
    <t>Patterson, A (corresponding author), McGill Univ, Dept Nat Resource Sci, 21111 Lakeshore Blvd, Ste Anne De Bellevue, PQ H9X 3V9, Canada.</t>
  </si>
  <si>
    <t>allison.patterson@mail.mcgill.ca</t>
  </si>
  <si>
    <t>Mallory, Mark L/A-1952-2017; Bonnet-Lebrun, Anne-Sophie/GYU-2977-2022; Patterson, Allison Glider Livingstone/AAW-5259-2021; Frederiksen, Morten/A-7542-2008; Merkel, Flemming R/J-7409-2013; Huffeldt, Nicholas Per/AEX-3232-2022; Hentati-Sundberg, Jonas/N-6535-2017; Mosbech, Anders/J-6591-2013</t>
  </si>
  <si>
    <t>Bonnet-Lebrun, Anne-Sophie/0000-0002-7587-615X; Patterson, Allison Glider Livingstone/0000-0001-9931-2693; Frederiksen, Morten/0000-0001-5550-0537; Huffeldt, Nicholas Per/0000-0002-0154-2536; Hentati-Sundberg, Jonas/0000-0002-3201-9262; Merkel, Flemming Ravn/0000-0003-3779-8012; Johansen, Kasper Lambert/0000-0003-0111-9516; Mosbech, Anders/0000-0002-7581-7037; Thorarinsson, Thorkell Lindberg/0000-0002-1638-2555; Linnebjerg, Jannie Fries/0000-0003-4043-0606</t>
  </si>
  <si>
    <t>Environment and Climate Change Canada; Polar Continental Shelf Program; Newfoundland and Labrador Murre Conservation Fund; Natural Sciences and Engineering Research Council of Canada (NSERC); NSERC Ship Time Grants; University of Manitoba Faculty of Science; Canada Foundation for Innovation; Northern Contaminants Program; Greenland Government; UKRI/NERC; BMBF; RSPB Atlantic Area Programme; Marine Scotland; Scottish Natural Heritage; Natural England; Joint Nature Conservation Committee; Natural Resources Wales; Environment Wales; Argyll Bird Club; Norwegian Environmental Agency; SEAPOP; Weston Family Foundation; NSERC CREATE EI; Mitacs; NERC [NE/R012660/1] Funding Source: UKRI</t>
  </si>
  <si>
    <t>Environment and Climate Change Canada; Polar Continental Shelf Program; Newfoundland and Labrador Murre Conservation Fund; Natural Sciences and Engineering Research Council of Canada (NSERC)(Natural Sciences and Engineering Research Council of Canada (NSERC)); NSERC Ship Time Grants(Natural Sciences and Engineering Research Council of Canada (NSERC)); University of Manitoba Faculty of Science; Canada Foundation for Innovation(Canada Foundation for InnovationCGIARSpanish Government); Northern Contaminants Program; Greenland Government; UKRI/NERC(UK Research &amp; Innovation (UKRI)Natural Environment Research Council (NERC)); BMBF(Federal Ministry of Education &amp; Research (BMBF)); RSPB Atlantic Area Programme; Marine Scotland; Scottish Natural Heritage; Natural England; Joint Nature Conservation Committee; Natural Resources Wales; Environment Wales; Argyll Bird Club; Norwegian Environmental Agency; SEAPOP; Weston Family Foundation; NSERC CREATE EI(Natural Sciences and Engineering Research Council of Canada (NSERC)); Mitacs; NERC(UK Research &amp; Innovation (UKRI)Natural Environment Research Council (NERC))</t>
  </si>
  <si>
    <t>We greatly appreciate the work of many people in the field collecting GPS tracking data and colony count information used in this study. Data collection in Canada was supported by Environment and Climate Change Canada, Polar Continental Shelf Program, Newfoundland and Labrador Murre Conservation Fund, the Natural Sciences and Engineering Research Council of Canada (NSERC) , NSERC Ship Time Grants, University of Manitoba Faculty of Science Fieldwork Support program grants, Canada Foundation for Innovation, and the Northern Contaminants Program. Sabina Wilhelm and Jean -Francois Rail as- sisted with compiling colony count data for Canada. Data collection in Greenland was supported by the Greenland Government. Data collection in Iceland was supported by UKRI/NERC and BMBF, with contributions from the Max Planck Society. GPS data collection in the United Kingdom was con- ducted under the RSPB FAME/STAR tracking projects, with funding from the RSPB Atlantic Area Programme, Marine Scotland, Scottish Natural Heritage, Natural England, the Joint Nature Conservation Committee, Natural Resources Wales, Environment Wales, and the Argyll Bird Club. Colony count data for the United Kingdom were obtained from the Seabird Monitoring Program (SMP) ; count data have been provided to the SMP by the generous contributions of nature conservation and research organizations, and many volunteers throughout Britain and Ireland. Data collection in Norway was supported by the Norwegian Environmental Agency and SEAPOP. A.P. received funding from the Weston Family Foundation, NSERC CREATE EI, and Mitacs. Carl Schwarz provided statistical advice on earlier versions of the manuscript. Stephen Votier and two anonymous reviewers provided useful comments on earlier versions of the manuscript.</t>
  </si>
  <si>
    <t>SEP 12</t>
  </si>
  <si>
    <t>10.1016/j.cub.2022.06.084</t>
  </si>
  <si>
    <t>5B1IK</t>
  </si>
  <si>
    <t>WOS:000863328700005</t>
  </si>
  <si>
    <t>Baldovin, M; Cecconi, F; Provenzale, A; Vulpiani, A</t>
  </si>
  <si>
    <t>Baldovin, Marco; Cecconi, Fabio; Provenzale, Antonello; Vulpiani, Angelo</t>
  </si>
  <si>
    <t>Extracting causation from millennial-scale climate fluctuations in the last 800 kyr</t>
  </si>
  <si>
    <t>ANTARCTIC TEMPERATURE; ATMOSPHERIC CO2; ICE-CORE; CHAOTIC DYNAMICS; EL-NINO; CONSTRAINTS; CYCLES; RECORD</t>
  </si>
  <si>
    <t>The detection of cause-effect relationships from the analysis of pa leoclimatic records is a crucial step to disentangle the main mechanisms at work in the climate system. Here, we show that the approach based on the generalized Fluctuation-Dissipation Relation, complemented by the analysis of the Transfer Entropy, allows the causal links to be identified between temperature, CO2 concentration and astronomical forcing during the glacial cycles of the last 800 kyr based on Antarctic ice core records. When considering the whole spectrum of time scales, the results of the analysis suggest that temperature drives CO2 concentration, or that are both driven by the common astronomical forcing. However, considering only millennial-scale fluctuations, the results reveal the presence of more complex causal links, indicating that CO2 variations contribute to driving the changes of temperature on such time scales. The results also evidence a slow temporal variability in the strength of the millennial-scale causal links between temperature and CO2 concentration.</t>
  </si>
  <si>
    <t>[Baldovin, Marco] Univ Paris Saclay, LPTMS, CNRS, 530 Rue Andre Riviere, F-91405 Orsay, France; [Cecconi, Fabio] CNR Ist Sistemi Complessi, Unita Roma 1, I-00185 Rome, Italy; [Cecconi, Fabio] Ist Nazl Fis Nucl, Unita Roma 1, I-00185 Rome, Italy; [Provenzale, Antonello] Ist Geosci &amp; Georisorse, CNR, I-56124 Pisa, Italy; [Baldovin, Marco; Vulpiani, Angelo] Univ Sapienza, Dipartimento Fis, I-00185 Rome, Italy</t>
  </si>
  <si>
    <t>Universite Paris Cite; Universite Paris Saclay; Centre National de la Recherche Scientifique (CNRS); Istituto Nazionale di Fisica Nucleare (INFN); Consiglio Nazionale delle Ricerche (CNR); Istituto di Geoscienze e Georisorse (IGG-CNR); Sapienza University Rome</t>
  </si>
  <si>
    <t>Baldovin, M (corresponding author), Univ Paris Saclay, LPTMS, CNRS, 530 Rue Andre Riviere, F-91405 Orsay, France.</t>
  </si>
  <si>
    <t>marco.baldovin@universite-paris-saclay.fr</t>
  </si>
  <si>
    <t>Cecconi, Fabio/B-3777-2009</t>
  </si>
  <si>
    <t>MIUR PRIN 2017 Project [201798CZLJ]</t>
  </si>
  <si>
    <t>MIUR PRIN 2017 Project(Ministry of Education, Universities and Research (MIUR))</t>
  </si>
  <si>
    <t>We sincerely thank two anonymous reviewers whose insightful comments allowed us to greatly improve the presentation of the results. We are grateful to Carlo Barbante for relevant advice and for giving us important information on the data. The data used in this work have been provided by the EPICA Project team and are based on Refs.19,20. M.B. F.C. and A.V. acknowledge the support from the MIUR PRIN 2017 Project 201798CZLJ.</t>
  </si>
  <si>
    <t>10.1038/s41598-022-18406-2</t>
  </si>
  <si>
    <t>4V0OV</t>
  </si>
  <si>
    <t>WOS:000859184900001</t>
  </si>
  <si>
    <t>Diamond, MS; Gristey, JJ; Kay, JE; Feingold, G</t>
  </si>
  <si>
    <t>Diamond, Michael S.; Gristey, Jake J.; Kay, Jennifer E.; Feingold, Graham</t>
  </si>
  <si>
    <t>Anthropogenic aerosol and cryosphere changes drive Earth's strong but transient clear-sky hemispheric albedo asymmetry</t>
  </si>
  <si>
    <t>COMMUNICATIONS EARTH &amp; ENVIRONMENT</t>
  </si>
  <si>
    <t>RADIATION BUDGET; VARIABILITY; CIRCULATION; CLOUDS; TRENDS; ITCZ; TIME</t>
  </si>
  <si>
    <t>Climate model simulations indicate that the observed strong clear-sky hemispheric albedo asymmetry is likely a transient feature of Earth's climate that may diminish with future declines in anthropogenic aerosol emissions and Arctic sea ice. A striking feature of the Earth system is that the Northern and Southern Hemispheres reflect identical amounts of sunlight. This hemispheric albedo symmetry comprises two asymmetries: The Northern Hemisphere is more reflective in clear skies, whereas the Southern Hemisphere is cloudier. Here we show that the hemispheric reflection contrast from differences in continental coverage is offset by greater reflection from the Antarctic than the Arctic, allowing the net clear-sky asymmetry to be dominated by aerosol. Climate model simulations suggest that historical anthropogenic aerosol emissions drove a large increase in the clear-sky asymmetry that would reverse in future low-emission scenarios. High-emission scenarios also show decreasing asymmetry, instead driven by declines in Northern Hemisphere ice and snow cover. Strong clear-sky hemispheric albedo asymmetry is therefore a transient feature of Earth's climate. If all-sky symmetry is maintained, compensating cloud changes would have uncertain but important implications for Earth's energy balance and hydrological cycle.</t>
  </si>
  <si>
    <t>[Diamond, Michael S.; Gristey, Jake J.; Kay, Jennifer E.] Univ Colorado, Cooperat Inst Res Environm Sci, Boulder, CO 80309 USA; [Diamond, Michael S.; Gristey, Jake J.; Feingold, Graham] NOAA Chem Sci Lab, Boulder, CO 80305 USA; [Gristey, Jake J.] Univ Colorado, Lab Atmospher &amp; Space Phys, Boulder, CO 80303 USA</t>
  </si>
  <si>
    <t>University of Colorado System; University of Colorado Boulder; University of Colorado System; University of Colorado Boulder</t>
  </si>
  <si>
    <t>Diamond, MS (corresponding author), Univ Colorado, Cooperat Inst Res Environm Sci, Boulder, CO 80309 USA.;Diamond, MS (corresponding author), NOAA Chem Sci Lab, Boulder, CO 80305 USA.</t>
  </si>
  <si>
    <t>michael.diamond@noaa.gov</t>
  </si>
  <si>
    <t>Keyes, Dennis/AAZ-9285-2021; Diamond, Michael/GXG-7308-2022; feingold, graham/AAQ-2010-2020; feingold, graham/B-6152-2009; Gristey, Jake Joseph/Q-8301-2018; KAY, JENNIFER/C-6042-2012</t>
  </si>
  <si>
    <t>feingold, graham/0000-0002-0774-2926; Diamond, Michael/0000-0003-2147-5921; Gristey, Jake Joseph/0000-0003-1071-486X; KAY, JENNIFER/0000-0002-3625-5377</t>
  </si>
  <si>
    <t>CIRES Visiting Fellows Program through the NOAA Cooperative Agreement; CIRES [NA17OAR4320101]; NOAA; NASA [80LARC20D0006]; NOAA Atmospheric Science for Renewable Energy (ASRE) program; NOAA Climate Program Office Earth's Radiation Budget initiative [03-01-07-001]; NSF CAREER [1554659]; CMIP6; ESGF; CIRES; Directorate For Geosciences; Div Atmospheric &amp; Geospace Sciences [1554659] Funding Source: National Science Foundation</t>
  </si>
  <si>
    <t>CIRES Visiting Fellows Program through the NOAA Cooperative Agreement; CIRES; NOAA(National Oceanic Atmospheric Admin (NOAA) - USA); NASA(National Aeronautics &amp; Space Administration (NASA)); NOAA Atmospheric Science for Renewable Energy (ASRE) program; NOAA Climate Program Office Earth's Radiation Budget initiative; NSF CAREER(National Science Foundation (NSF)NSF - Office of the Director (OD)); CMIP6; ESGF; CIRES; Directorate For Geosciences; Div Atmospheric &amp; Geospace Sciences(National Science Foundation (NSF)NSF - Directorate for Geosciences (GEO))</t>
  </si>
  <si>
    <t>M.S.D. acknowledges funding from the CIRES Visiting Fellows Program through the NOAA Cooperative Agreement with CIRES (NA17OAR4320101). J.J.G. also acknowledges funding from the NOAA Cooperative Agreement with CIRES and additionally acknowledges the Libera project under NASA Contract 80LARC20D0006. Both J.J.G. and G.F. acknowledge funding from the NOAA Atmospheric Science for Renewable Energy (ASRE) program. G.F. additionally acknowledges funding from the NOAA Climate Program Office Earth's Radiation Budget initiative (#03-01-07-001). J.E.K. acknowledges funding from NSF CAREER (1554659). We acknowledge the World Climate Research Programme, which, through its Working Group on Coupled Modelling, coordinated and promoted CMIP6. We thank the climate modeling groups for producing and making available their model output, the ESGF for archiving the data and providing access, and the multiple funding agencies who support CMIP6 and ESGF. We additionally thank the CERES science team for their efforts in producing and making available their radiation data products. We thank Aiden Jonsson, Mike MacFerrin, Priyam Raghuraman, Tim Smith, and Fangfang Yao for helpful comments.</t>
  </si>
  <si>
    <t>2662-4435</t>
  </si>
  <si>
    <t>COMMUN EARTH ENVIRON</t>
  </si>
  <si>
    <t>Commun. Earth Environ.</t>
  </si>
  <si>
    <t>10.1038/s43247-022-00546-y</t>
  </si>
  <si>
    <t>4M0WB</t>
  </si>
  <si>
    <t>Green Published, gold, Green Submitted</t>
  </si>
  <si>
    <t>WOS:000853048400003</t>
  </si>
  <si>
    <t>Morioka, Y; Iovino, D; Cipollone, A; Masina, S; Behera, SK</t>
  </si>
  <si>
    <t>Morioka, Yushi; Iovino, Doroteaciro; Cipollone, Andrea; Masina, Simona; Behera, Swadhin K.</t>
  </si>
  <si>
    <t>Decadal Sea Ice Prediction in the West Antarctic Seas with Ocean and Sea Ice Initializations</t>
  </si>
  <si>
    <t>VERTICAL SCALE STRUCTURES; EQUATORIAL THERMOCLINE; TROPICAL PACIFIC; IMPACT; VARIABILITY; TRENDS; PREDICTABILITY; CIRCULATION; ATMOSPHERE; DRIVEN</t>
  </si>
  <si>
    <t>Decadal sea ice variability in the west Antarctic seas can be skillfully predicted, with highest skill in a decadal reforecast experiment where sea surface temperature, sea ice concentration and subsurface ocean temperature and salinity are initialized from observations. Antarctic sea ice plays an important role in the formation of Antarctic Bottom Water that travels over global oceans and affects global climate. Here we demonstrate that decadal sea ice variability in the west Antarctic seas can be predicted with significant skills using a coupled general circulation model. We present three decadal reforecast experiments where only sea surface temperature, sea surface temperature and sea ice concentration, or sea surface temperature, sea ice concentration and subsurface ocean temperature and salinity are initialized with observations. We find that initializing all three components leads to the highest prediction skills of the sea ice concentration in the Amundsen-Bellingshausen Sea. This experiment captures decadal sea ice increase after the late 2000s, which is linked to anomalous sea ice advection from the Ross Sea and anomalous subsurface ocean cooling by the strengthened Antarctic Circumpolar Current. Skillful prediction of decadal sea ice variability benefits from combined ocean and sea ice initializations.</t>
  </si>
  <si>
    <t>[Morioka, Yushi; Behera, Swadhin K.] JAMSTEC, VAiG, Applicat Lab, Yokohama, Kanagawa, Japan; [Iovino, Doroteaciro; Cipollone, Andrea; Masina, Simona] CMCC, Ocean Modelling &amp; Data Assimilat Div, Bologna, Italy</t>
  </si>
  <si>
    <t>Japan Agency for Marine-Earth Science &amp; Technology (JAMSTEC); Centro Euro-Mediterraneo sui Cambiamenti Climatici (CMCC)</t>
  </si>
  <si>
    <t>Morioka, Y (corresponding author), JAMSTEC, VAiG, Applicat Lab, Yokohama, Kanagawa, Japan.</t>
  </si>
  <si>
    <t>morioka@jamstec.go.jp</t>
  </si>
  <si>
    <t>Behera, Swadhin K./B-7839-2009; Iovino, Doroteaciro/E-9759-2015; Morioka, Yushi/G-3431-2014</t>
  </si>
  <si>
    <t>Behera, Swadhin K./0000-0001-8692-2388; Iovino, Doroteaciro/0000-0001-5132-7255; Morioka, Yushi/0000-0002-2709-4911</t>
  </si>
  <si>
    <t>JSPS KAKENHI [19K14800, 22K03727]</t>
  </si>
  <si>
    <t>JSPS KAKENHI(Ministry of Education, Culture, Sports, Science and Technology, Japan (MEXT)Japan Society for the Promotion of ScienceGrants-in-Aid for Scientific Research (KAKENHI))</t>
  </si>
  <si>
    <t>We performed decadal reforecast experiments on the Earth Simulator at the Japan Agency for Marine Earth Science and Technology (JAMSTEC). We thank Drs. Tom Delworth, Liping Zhang, and Mitch Bushuk for providing constructive comments on the earlier version of this manuscript. We are also grateful to the two anonymous reviewers whose valuable comments helped improve the manuscript. The present research is supported by JSPS KAKENHI Grant Number 19K14800 and 22K03727.</t>
  </si>
  <si>
    <t>10.1038/s43247-022-00529-z</t>
  </si>
  <si>
    <t>WOS:000853048400002</t>
  </si>
  <si>
    <t>Altenbernd-Lang, T; Jokat, W; Leitchenkov, GL</t>
  </si>
  <si>
    <t>Altenbernd-Lang, Tabea; Jokat, Wilfried; Leitchenkov, German L.</t>
  </si>
  <si>
    <t>Distribution of oceanic crust in the Enderby Basin offshore East Antarctica</t>
  </si>
  <si>
    <t>GEOPHYSICAL JOURNAL INTERNATIONAL</t>
  </si>
  <si>
    <t>Composition and structure of the oceanic crust; Antarctica; Crustal structure</t>
  </si>
  <si>
    <t>SOUTHERN INDIAN-OCEAN; SPREADING MAGNETIC-ANOMALIES; KERGUELEN PLATEAU; DEEP-STRUCTURE; CONTINENTAL-CRUST; BROKEN RIDGE; ODP LEG-183; ELAN BANK; BREAKUP; ORIGIN</t>
  </si>
  <si>
    <t>Seismic reflection and refraction data were collected in 2007 and 2012 to reveal the crustal fabric on a single long composite profile offshore Prydz Bay, East Antarctica. A P-wave velocity model provides insights on the crustal fabric, and a gravity-constrained density model is used to describe the crustal and mantle structure. The models show that a 230-km-wide continent-ocean transition separates stretched continental from oceanic crust along our profile. While the oceanic crust close to the continent-ocean boundary is just 3.5-5 km thick, its thickness increases northwards towards the Southern Kerguelen Plateau to 12 km. This change is accompanied by thickening of a lower crustal layer with high P-wave velocities of up to 7.5 km s(-1), marking intrusive rocks emplaced beneath the mid-ocean ridge under increasing influence of the Kerguelen plume. Joint interpretations of our crustal model, seismic reflection data and magnetic data sets constrain the age and extent of oceanic crust in the research area. Oceanic crust is shown to continue to around 160 km farther south than has been interpreted in previous data, with profound implications for plate kinematic models of the region. Finally, by combining our findings with a regional magnetic data compilation and regional seismic reflection data we propose a larger extent of oceanic crust in the Enderby Basin than previously known.</t>
  </si>
  <si>
    <t>[Altenbernd-Lang, Tabea; Jokat, Wilfried] Helmholtz Ctr Polar &amp; Marine Res, Alfred Wegener Inst, Geophys Dept, Alten Hafen 26, D-27568 Bremerhaven, Germany; [Jokat, Wilfried] Univ Bremen, Geosci Dept, Klagenfurter Str 4, D-28359 Bremen, Germany; [Leitchenkov, German L.] All Russia Sci Res Inst Geol &amp; Mineral Resources, Dept Antarctic Geosci, Angliiskii Pr 1, St Petersburg 190121, Russia; [Leitchenkov, German L.] St Petersburg State Univ, Inst Earth Sci, Geol Dept, Univ Skaya Nab 7-9, St Petersburg 199034, Russia</t>
  </si>
  <si>
    <t>Helmholtz Association; Alfred Wegener Institute, Helmholtz Centre for Polar &amp; Marine Research; University of Bremen; Saint Petersburg State University</t>
  </si>
  <si>
    <t>Altenbernd-Lang, T (corresponding author), Helmholtz Ctr Polar &amp; Marine Res, Alfred Wegener Inst, Geophys Dept, Alten Hafen 26, D-27568 Bremerhaven, Germany.</t>
  </si>
  <si>
    <t>tabea.altenbernd@awi.de</t>
  </si>
  <si>
    <t>Leitchenkov, German/0000-0001-6316-8511; Altenbernd-Lang, Tabea/0000-0002-2295-9250</t>
  </si>
  <si>
    <t>Open Access Publication Funds of Alfred-Wegener-Institut, Helmholtz-Zentrum fur Polar-und Meeresforschung</t>
  </si>
  <si>
    <t>We thank captain and crew of RV Polarstern and RV Akademik Alexandr Karpinskiy for theirwork during the expeditions. We thank Ricarda Nielsen for providing the basement picks for the seismic reflection data. Most figures in this publication were generated with GMT(Wessel et al. 2013). We thank Emerson E&amp;P Software, Emerson Automation Solutions, for providing licenses in the scope of the Emerson Academic Program. The OBS and OBH were provided by the German instrument pool for amphibian seismology (DEPAS-Deutscher Gerate-Pool fur amphibische Seismologie). We thank the OGS Trieste (http://sdls.ogs.trieste.it) for providing the Antarctic Seismic Data Library System (SDLS). We thank Graeme Eagles for proof reading. We acknowledge support by the Open Access Publication Funds of Alfred-Wegener-Institut, Helmholtz-Zentrum fur Polar-und Meeresforschung. We thankKimWelford and Millard Coffin for their thorough and constructive reviews, which helped to improve the manuscript.</t>
  </si>
  <si>
    <t>0956-540X</t>
  </si>
  <si>
    <t>1365-246X</t>
  </si>
  <si>
    <t>GEOPHYS J INT</t>
  </si>
  <si>
    <t>Geophys. J. Int.</t>
  </si>
  <si>
    <t>10.1093/gji/ggac299</t>
  </si>
  <si>
    <t>4M2YP</t>
  </si>
  <si>
    <t>WOS:000853192400005</t>
  </si>
  <si>
    <t>Droste, ES; Hoppema, M; González-Dávila, M; Santana-Casiano, JM; Queste, BY; Dall'Olmo, G; Venables, HJ; Rohardt, G; Ossebaar, S; Schuller, D; Trace-Kleeberg, S; Bakker, DCE</t>
  </si>
  <si>
    <t>Droste, Elise S.; Hoppema, Mario; Gonzalez-Davila, Melchor; Magdalena Santana-Casiano, Juana; Queste, Bastien Y.; Dall'Olmo, Giorgio; Venables, Hugh J.; Rohardt, Gerd; Ossebaar, Sharyn; Schuller, Daniel; Trace-Kleeberg, Sunke; Bakker, Dorothee C. E.</t>
  </si>
  <si>
    <t>The influence of tides on the marine carbonate chemistry of a coastal polynya in the south-eastern Weddell Sea</t>
  </si>
  <si>
    <t>OCEAN SCIENCE</t>
  </si>
  <si>
    <t>MELTING GLACIERS FUELS; PHYTOPLANKTON BLOOMS; OCEAN ACIDIFICATION; ATMOSPHERIC CO2; GAS-EXCHANGE; WATER MASSES; ICE SHELVES; WIND-SPEED; SYSTEM; TRANSPORT</t>
  </si>
  <si>
    <t>Tides significantly affect polar coastlines by modulating ice shelf melt and modifying shelf water properties through transport and mixing. However, the effect of tides on the marine carbonate chemistry in such regions, especially around Antarctica, remains largely unexplored. We address this topic with two case studies in a coastal polynya in the south-eastern Weddell Sea, neighbouring the Ekstrom Ice Shelf. The case studies were conducted in January 2015 (PS89) and January 2019 (PS117), capturing semi-diurnal oscillations in the water column. These are pronounced in both physical and biogeochemical variables for PS89. During rising tide, advection of sea ice meltwater from the north-east created a fresher, warmer, and more deeply mixed water column with lower dissolved inorganic carbon (DIC) and total alkalinity (TA) content. During ebbing tide, water from underneath the ice shelf decreased the polynya's temperature, increased the DIC and TA content, and created a more stratified water column. The variability during the PS117 case study was much smaller, as it had less sea ice meltwater input during rising tide and was better mixed with sub-ice shelf water. The contrasts in the variability between the two case studies could be wind and sea ice driven, and they underline the complexity and highly dynamic nature of the system. The variability in the polynya induced by the tides results in an air-sea CO2 flux that can range between a strong sink (-24 mmol m(-2) d(-1)) and a small source (3 mmol m(-2) d(-1)) on a semi-diurnal timescale. If the variability induced by tides is not taken into account, there is a potential risk of overestimating the polynya's CO2 uptake by 67 % or underestimating it by 73 %, compared to the average flux determined over several days. Depending on the timing of limited sampling, the polynya may appear to be a source or a sink of CO2. Given the disproportionate influence of polynyas on heat and carbon exchange in polar oceans, we recommend future studies around the Antarctic and Arctic coastlines to consider the timing of tidal currents in their sampling strategies and analyses. This will help constrain variability in oceanographic measurements and avoid potential biases in our understanding of these highly complex systems.</t>
  </si>
  <si>
    <t>[Droste, Elise S.; Queste, Bastien Y.; Bakker, Dorothee C. E.] Univ East Anglia, Sch Environm Sci, Norwich Res Pk, Norwich NR4 7TJ, Norfolk, England; [Hoppema, Mario; Rohardt, Gerd; Trace-Kleeberg, Sunke] Helmholtz Ctr Polar &amp; Marine Res, Alfred Wegener Inst, Postfach 120161, D-27515 Bremerhaven, Germany; [Gonzalez-Davila, Melchor; Magdalena Santana-Casiano, Juana] Univ Las Palmas Gran Canaria, ULPGC, IOCAG, Inst Oceanog &amp; Cambio Global, Las Palmas Gran Canaria 35017, Spain; [Queste, Bastien Y.] Univ Gothenburg, Dept Marine Sci, Carl Skottsbergs Gata 22B, S-41319 Gothenburg, Sweden; [Dall'Olmo, Giorgio] Plymouth Marine Lab, Prospect Pl, Plymouth PL1 3DH, Devon, England; [Venables, Hugh J.] British Antarctic Survey, Madingley Rd, Cambridge CB3 0ET, England; [Ossebaar, Sharyn] Royal Netherlands Inst Sea Res NIOZ, Dept Ocean Syst, POB 59, NL-1790 AB Den Burg, Texel, Netherlands; [Schuller, Daniel] Univ Calif San Diego, Scripps Inst Oceanog, 8622 Kennel Way, La Jolla, CA 92037 USA; [Trace-Kleeberg, Sunke] Univ Southampton, Natl Oceanog Ctr, Sch Ocean &amp; Earth Sci, Southampton SO14 3ZH, Hants, England; [Dall'Olmo, Giorgio] Ist Natl Oceanog &amp; Geofis Sperimentale, Borgo Grotta Gigante 42-c, I-34010 Trieste, Italy</t>
  </si>
  <si>
    <t>University of East Anglia; Helmholtz Association; Alfred Wegener Institute, Helmholtz Centre for Polar &amp; Marine Research; Universidad de Las Palmas de Gran Canaria; University of Gothenburg; Plymouth Marine Laboratory; UK Research &amp; Innovation (UKRI); Natural Environment Research Council (NERC); NERC British Antarctic Survey; Utrecht University; Royal Netherlands Institute for Sea Research (NIOZ); University of California System; University of California San Diego; Scripps Institution of Oceanography; NERC National Oceanography Centre; University of Southampton; Istituto Nazionale di Oceanografia e di Geofisica Sperimentale</t>
  </si>
  <si>
    <t>Droste, ES (corresponding author), Univ East Anglia, Sch Environm Sci, Norwich Res Pk, Norwich NR4 7TJ, Norfolk, England.</t>
  </si>
  <si>
    <t>e.droste@uea.ac.uk</t>
  </si>
  <si>
    <t>Trace-Kleeberg, Sunke/GQZ-2076-2022; Santana Casiano, Juana Magdalena/K-5058-2014; Bakker, Dorothee/E-4951-2015; Hoppema, Mario/I-6286-2013</t>
  </si>
  <si>
    <t>Trace-Kleeberg, Sunke Macarena/0000-0002-5980-2492; Droste, Elise/0000-0002-3467-0083; Santana Casiano, Juana Magdalena/0000-0002-7930-7683; Queste, Bastien/0000-0002-3786-2275; Bakker, Dorothee/0000-0001-9234-5337; Hoppema, Mario/0000-0002-2326-619X</t>
  </si>
  <si>
    <t>Natural Environment Research Council (NERC) through the EnvEast Doctoral Training Partnership [NE/L002582/1]; NERC [NE/P021395/1]; EU FP7 project CARBOCHANGE [264879]; European Union's Horizon 2020 Research and Innovation Program (SO-CHIC) [821001]; NERC [NE/P021395/1] Funding Source: UKRI; H2020 Societal Challenges Programme [821001] Funding Source: H2020 Societal Challenges Programme</t>
  </si>
  <si>
    <t>Natural Environment Research Council (NERC) through the EnvEast Doctoral Training Partnership(UK Research &amp; Innovation (UKRI)Natural Environment Research Council (NERC)); NERC(UK Research &amp; Innovation (UKRI)Natural Environment Research Council (NERC)); EU FP7 project CARBOCHANGE(European Union (EU)); European Union's Horizon 2020 Research and Innovation Program (SO-CHIC); NERC(UK Research &amp; Innovation (UKRI)Natural Environment Research Council (NERC)); H2020 Societal Challenges Programme(Horizon 2020European Union (EU)H2020 Societal Challenges Programme)</t>
  </si>
  <si>
    <t>Elise S. Droste's work is supported by the Natural Environment Research Council (NERC) through the EnvEast Doctoral Training Partnership (grant no. NE/L002582/1). Work done by Elise S. Droste and Dorothee C. E. Bakker for the PS117 expedition was supported by funding from the NERC for the PICCOLO project (grant no. NE/P021395/1). Partial support to Juana Magdalena Santana-Casiano and Melchor GonzalezDavila was received from EU FP7 project CARBOCHANGE (grant no. 264879) for the participation in the PS89 ANT-XXX/2 cruise. Mario Hoppema was partly funded by the European Union's Horizon 2020 Research and Innovation Program (SO-CHIC (grant no. 821001)).</t>
  </si>
  <si>
    <t>1812-0784</t>
  </si>
  <si>
    <t>1812-0792</t>
  </si>
  <si>
    <t>OCEAN SCI</t>
  </si>
  <si>
    <t>Ocean Sci.</t>
  </si>
  <si>
    <t>10.5194/os-18-1293-2022</t>
  </si>
  <si>
    <t>4M2BB</t>
  </si>
  <si>
    <t>Green Published, Green Submitted, gold, Green Accepted</t>
  </si>
  <si>
    <t>WOS:000853130700001</t>
  </si>
  <si>
    <t>Prado, T; Brandao, ML; Fumian, TM; Freitas, L; Chame, M; Leomil, L; Magalhaes, MGP; Degrave, WMS; Leite, JPG; Miagostovich, MP</t>
  </si>
  <si>
    <t>Prado, Tatiana; Brandao, Martha Lima; Fumian, Tulio Machado; Freitas, Lucas; Chame, Marcia; Leomil, Luciana; Magalhaes, Maithe Gaspar Pontes; Degrave, Wim Maurits Sylvain; Leite, Jose Paulo Gagliardi; Miagostovich, Marize Pereira</t>
  </si>
  <si>
    <t>Virome analysis in lakes of the South Shetland Islands, Antarctica-2020</t>
  </si>
  <si>
    <t>Antarctica; Freshwater virome; Viral diversity</t>
  </si>
  <si>
    <t>VIRUSES; SEQUENCE; COMMUNITY; ECOLOGY; 34H</t>
  </si>
  <si>
    <t>Polar freshwater ecosystems are characterized by a distinct microbiota. However, little is known about viral diversity and abundance, especially regarding the ecology of RNA viruses. We used shotgun metagenomic analysis on samples from Antarctic ecosystems, and report here the characterization of the virome fraction, from different lakes located in the South Shetland Islands (Penguin, Ardley, Deception and King George Island) in the Peninsula Antarctica, in the summer season 2020. DNA viruses (99.4 %) prevailed over RNA viruses (0.6 %) in the lake samples. Six viral orders were identified in the metagenomic libraries: Caudovirales (dsDNA), which was prevalent in most lakes; Picornavirales (ssRNA+); Sobelivirales (ssRNA+); Tolivirales (ssRNA+); Petitvirales (ssDNA) and Baphyvirales (ssDNA), including eight viral families (Herelleviridae, Siphoviridae, Myoviridae, Microviridae, Marnaviridae, Bacilladnaviridae, Barnaviridae and Tombusviridae) and several other, mainly non-classified ssRNA(+) viruses in the lakes of Ardley Island. Bacterio-phages (dsDNA) (Herelleviridae family) infecting the phylum Firmicutes and Siphoviridae were predominant in most lakes evaluated. Functional analysis demonstrated a prevalence of unknown proteins (68 %) in the virome. Our pro-spective study provides virome analysis data from different lakes in the South Shetland Islands, Antarctica, opening exploratory lines for future research related to the biodiversity and viral ecology in this extreme ecosystem.</t>
  </si>
  <si>
    <t>[Prado, Tatiana; Fumian, Tulio Machado; Leite, Jose Paulo Gagliardi; Miagostovich, Marize Pereira] Fundacao Oswaldo Cruz, Oswaldo Cruz Inst, Lab Comparat &amp; Environm Virol, CEP, Av Brasil 4365, BR-21040360 Manguinho, RJ, Brazil; [Brandao, Martha Lima] FioAntar Project VPPIS Fiocruz, Av Brasil 4365, BR-21040360 Rio De Janeiro, RJ, Brazil; [Freitas, Lucas] Fundacao Oswaldo Cruz, Oswaldo Cruz Inst, Lab Resp Virus &amp; Measles, Ave Brasil 4365, BR-21040360 Manguinho, RJ, Brazil; [Chame, Marcia] Inst Platform Biodivers &amp; Wildlife Hlth, Av Brasil 4365, BR-21040360 Rio De Janeiro, RJ, Brazil; [Leomil, Luciana] SENAI Innovat Inst Biosynthet &amp; Fibers, Technol Ctr Chem &amp; Text Ind, 4 Andar Biotecnol,Rua Fernando Souza Barros,120 P, BR-21941857 Rio De Janeiro, Brazil; [Magalhaes, Maithe Gaspar Pontes; Degrave, Wim Maurits Sylvain] Fundacao Oswaldo Cruz, Oswaldo Cruz Inst, Lab Funct Genom &amp; Bioinformat, Av Brasil 4365, BR-21040360 Rio De Janeiro, RJ, Brazil</t>
  </si>
  <si>
    <t>Prado, T (corresponding author), Fundacao Oswaldo Cruz, Oswaldo Cruz Inst, Lab Comparat &amp; Environm Virol, CEP, Av Brasil 4365, BR-21040360 Manguinho, RJ, Brazil.</t>
  </si>
  <si>
    <t>tprado@ioc.fiocruz.br</t>
  </si>
  <si>
    <t>Prado, Tatiana/JPA-5097-2023; Freitas, Lucas/M-2950-2019</t>
  </si>
  <si>
    <t>Freitas, Lucas/0000-0002-8766-0890; Magalhaes, Maithe/0000-0003-3340-2236</t>
  </si>
  <si>
    <t>INOVA - EDITAL 2/2018-GERACAO DE CONHECIMENTO [4720463444]; National Council of Technological and Scientific Development (CNPq) /MCTIC/CAPES/FNDCT) [21/2018 - PROANTAR, CNPQ 442646/2018-6]; CNPq; SVS-Ministry of Health [015/2015]; PAEF 2 - Instituto Oswaldo Cruz</t>
  </si>
  <si>
    <t>INOVA - EDITAL 2/2018-GERACAO DE CONHECIMENTO; National Council of Technological and Scientific Development (CNPq) /MCTIC/CAPES/FNDCT)(Conselho Nacional de Desenvolvimento Cientifico e Tecnologico (CNPQ)Fundacao de Apoio a Pesquisa do Distrito Federal (FAPDF)); CNPq(Conselho Nacional de Desenvolvimento Cientifico e Tecnologico (CNPQ)); SVS-Ministry of Health; PAEF 2 - Instituto Oswaldo Cruz</t>
  </si>
  <si>
    <t>This study was partly supported by INOVA - EDITAL 2/2018-GERACAO DE CONHECIMENTO [grant number: 4720463444], National Council of Technological and Scientific Development (CNPq) /MCTIC/CAPES/FNDCT No 21/2018 - PROANTAR [grant number: CNPQ 442646/2018-6]. MPM, TMF and JPGL are CNPq fellows and got funding from CNPq; SVS-Ministry of Health [grant number: 015/2015]; and PAEF 2 - Instituto Oswaldo Cruz.</t>
  </si>
  <si>
    <t>DEC 15</t>
  </si>
  <si>
    <t>10.1016/j.scitotenv.2022.158537</t>
  </si>
  <si>
    <t>5T1ZW</t>
  </si>
  <si>
    <t>WOS:000875674700004</t>
  </si>
  <si>
    <t>Crotti, I; Quiquet, A; Landais, A; Stenni, B; Wilson, DJ; Severi, M; Mulvaney, R; Wilhelms, F; Barbante, C; Frezzotti, M</t>
  </si>
  <si>
    <t>Crotti, Ilaria; Quiquet, Aurelien; Landais, Amaelle; Stenni, Barbara; Wilson, David J.; Severi, Mirko; Mulvaney, Robert; Wilhelms, Frank; Barbante, Carlo; Frezzotti, Massimo</t>
  </si>
  <si>
    <t>Wilkes subglacial basin ice sheet response to Southern Ocean warming during late Pleistocene interglacials</t>
  </si>
  <si>
    <t>ANTARCTIC ICE; SEA-LEVEL; EAST ANTARCTICA; CLIMATE VARIABILITY; TEMPERATURE-CHANGES; TALOS DOME; RECORDS; GLACIER; SURFACE; DYNAMICS</t>
  </si>
  <si>
    <t>The response of the East Antarctic Ice Sheet to past intervals of oceanic and atmospheric warming is still not well constrained but is critical for understanding both past and future sea-level change. Furthermore, the ice sheet in the Wilkes Subglacial Basin appears to have undergone thinning and ice discharge events during recent decades. Here we combine glaciological evidence on ice sheet elevation from the TALDICE ice core with offshore sedimentological records and ice sheet modelling experiments to reconstruct the ice dynamics in the Wilkes Subglacial Basin over the past 350,000 years. Our results indicate that the Wilkes Subglacial Basin experienced an extensive retreat 330,000 years ago and a more limited retreat 125,000 years ago. These changes coincide with warmer Southern Ocean temperatures and elevated global mean sea level during those interglacial periods, confirming the sensitivity of the Wilkes Subglacial Basin ice sheet to ocean warming and its potential role in sea-level change. Crotti et al. reconstructed the dynamics of the Wilkes Subglacial Basin (Antarctica) during the past 350,000 years. Their study reveals that a portion of the East Antarctic ice sheet experienced an extensive retreat 330,000 years ago.</t>
  </si>
  <si>
    <t>[Crotti, Ilaria; Stenni, Barbara; Barbante, Carlo] Ca Foscari Univ, Dept Environm Sci Informat &amp; Stat, Venice, Italy; [Crotti, Ilaria; Landais, Amaelle] Univ Paris Saclay, Lab Sci Climat &amp; Environm LSCE IPSL, CEA CNRS UVSQ, Gif Sur Yvette, France; [Quiquet, Aurelien] NumClim Solut, Palaiseau, France; [Quiquet, Aurelien] Univ Grenoble Alpes, CNRS, IRD, Grenoble INP,IGE, Grenoble, France; [Stenni, Barbara; Severi, Mirko; Barbante, Carlo] CNR, Inst Polar Sci ISP, Venice, Italy; [Wilson, David J.] UCL, Inst Earth &amp; Planetary Sci, London, England; [Wilson, David J.] Birkbeck Univ London, London, England; [Severi, Mirko] Univ Florence, Dept Chem Ugo Schiff, Florence, Italy; [Mulvaney, Robert] British Antarctic Survey, Cambridge, England; [Wilhelms, Frank] Helmholtz Zentrum Polar &amp; Meeresforsch, Alfred Wegener Inst, Bremerhaven, Germany; [Wilhelms, Frank] Univ Gottingen, Geosci Ctr, Gottingen, Germany; [Frezzotti, Massimo] Roma Tre Univ, Dept Sci, Rome, Italy</t>
  </si>
  <si>
    <t>Universita Ca Foscari Venezia; CEA; Centre National de la Recherche Scientifique (CNRS); Universite Paris Saclay; Universite Paris Cite; Communaute Universite Grenoble Alpes; Universite Grenoble Alpes (UGA); Institut de Recherche pour le Developpement (IRD); Centre National de la Recherche Scientifique (CNRS); Institut National Polytechnique de Grenoble; Consiglio Nazionale delle Ricerche (CNR); Istituto di Scienze Polari (ISP-CNR); University of London; University College London; University of London; Birkbeck University London; University of Florence; UK Research &amp; Innovation (UKRI); Natural Environment Research Council (NERC); NERC British Antarctic Survey; Helmholtz Association; Alfred Wegener Institute, Helmholtz Centre for Polar &amp; Marine Research; University of Gottingen; Italfarmaco; Roma Tre University</t>
  </si>
  <si>
    <t>Crotti, I (corresponding author), Ca Foscari Univ, Dept Environm Sci Informat &amp; Stat, Venice, Italy.;Crotti, I (corresponding author), Univ Paris Saclay, Lab Sci Climat &amp; Environm LSCE IPSL, CEA CNRS UVSQ, Gif Sur Yvette, France.</t>
  </si>
  <si>
    <t>ila.crotti@unive.it</t>
  </si>
  <si>
    <t>Wilson, David/AAA-9939-2019; Barbante, Carlo/B-3195-2011; Quiquet, Aurélien/P-6180-2014; Mulvaney, Robert/K-3929-2012; Severi, Mirko/J-2508-2012</t>
  </si>
  <si>
    <t>Wilson, David/0000-0003-2786-4688; Quiquet, Aurélien/0000-0001-6207-3043; Crotti, Ilaria/0000-0002-7270-6446; Stenni, Barbara/0000-0003-4950-3664; FREZZOTTI, Massimo/0000-0002-2461-2883; Mulvaney, Robert/0000-0002-5372-8148; Barbante, Carlo/0000-0003-4177-2288; LANDAIS, Amaelle/0000-0002-5620-5465; Severi, Mirko/0000-0003-1511-6762</t>
  </si>
  <si>
    <t>MIUR [PNRA18_00098]; joint European program Talos Dome Ice core Project (TALDICE); Vinci Scholarship [C2-1017]; Universita Italo-Francese/Universite Franco-Italienne; Dept. Science, Roma Tre University (MIUR-Italy Dipartimenti di 588 Eccellenza 2018-2022); European Research Council [817493]; SCOR foundation project COASTRISK; NERC independent research fellowship [NE/T011440/1]; European Research Council (ERC) [817493] Funding Source: European Research Council (ERC)</t>
  </si>
  <si>
    <t>MIUR(Ministry of Education, Universities and Research (MIUR)); joint European program Talos Dome Ice core Project (TALDICE); Vinci Scholarship; Universita Italo-Francese/Universite Franco-Italienne; Dept. Science, Roma Tre University (MIUR-Italy Dipartimenti di 588 Eccellenza 2018-2022); European Research Council(European Research Council (ERC)); SCOR foundation project COASTRISK; NERC independent research fellowship(UK Research &amp; Innovation (UKRI)Natural Environment Research Council (NERC)); European Research Council (ERC)(European Research Council (ERC)Spanish Government)</t>
  </si>
  <si>
    <t>I.C., B.S. andM.F. disclose support for the research of this work from the TALDEEP project funded by MIUR (PNRA18_00098) and from the joint European program Talos Dome Ice core Project (TALDICE). This is TALDICE publication no 61. I.C. also acknowledges funding from the Vinci Scholarship (grant number C2-1017) by the Universita Italo-Francese/Universite Franco-Italienne. M.F. also discloses support for the research of this work from the Dept. Science, Roma Tre University (MIUR-Italy Dipartimenti di 588 Eccellenza 2018-2022). A.L. disclose support for the research of this work from the European Research Council under the European Union H2020 Programme (H2020/20192024)/ERC (grant agreement no. 817493 ERC ICORDA). A.Q. acknowledges funding from the SCOR foundation project COASTRISK. D.J.W. discloses support for the research of this work from the NERC independent research fellowship (grant number NE/T011440/1).</t>
  </si>
  <si>
    <t>SEP 10</t>
  </si>
  <si>
    <t>10.1038/s41467-022-32847-3</t>
  </si>
  <si>
    <t>4L1LR</t>
  </si>
  <si>
    <t>Green Published, Green Accepted, gold, Green Submitted</t>
  </si>
  <si>
    <t>WOS:000852397300013</t>
  </si>
  <si>
    <t>Baqué, M; Backhaus, T; Meessen, J; Hanke, F; Böttger, U; Ramkissoon, N; Olsson-Francis, K; Baumgärtner, M; Billi, D; Cassaro, A; Noetzel, RD; Demets, R; Edwards, H; Ehrenfreund, P; Elsaesser, A; Foing, B; Foucher, F; Huwe, B; Joshi, J; Kozyrovska, N; Lasch, P; Lee, N; Leuko, S; Onofri, S; Ott, S; Pacelli, C; Rabbow, E; Rothschild, L; Schulze-Makuch, D; Selbmann, L; Serrano, P; Szewzyk, U; Verseux, C; Wagner, D; Westall, F; Zucconi, L; de Vera, JPP</t>
  </si>
  <si>
    <t>Baque, Mickael; Backhaus, Theresa; Meessen, Joachim; Hanke, Franziska; Boettger, Ute; Ramkissoon, Nisha; Olsson-Francis, Karen; Baumgartner, Michael; Billi, Daniela; Cassaro, Alessia; Noetzel, Rosa de la Torre; Demets, Rene; Edwards, Howell; Ehrenfreund, Pascale; Elsaesser, Andreas; Foing, Bernard; Foucher, Frederic; Huwe, Bjorn; Joshi, Jasmin; Kozyrovska, Natalia; Lasch, Peter; Lee, Natuschka; Leuko, Stefan; Onofri, Silvano; Ott, Sieglinde; Pacelli, Claudia; Rabbow, Elke; Rothschild, Lynn; Schulze-Makuch, Dirk; Selbmann, Laura; Serrano, Paloma; Szewzyk, Ulrich; Verseux, Cyprien; Wagner, Dirk; Westall, Frances; Zucconi, Laura; de Vera, Jean-Pierre P.</t>
  </si>
  <si>
    <t>Biosignature stability in space enables their use for life detection on Mars</t>
  </si>
  <si>
    <t>EXTRATERRESTRIAL AMINO-ACIDS; RAMAN-SPECTROSCOPY; ORGANIC-MATTER; CELLULOSE; SEARCH; ORIGIN; HABITABILITY; BIOMEX; IDENTIFICATION; CYANOBACTERIA</t>
  </si>
  <si>
    <t>Two rover missions to Mars aim to detect biomolecules as a sign of extinct or extant life with, among other instruments, Raman spectrometers. However, there are many unknowns about the stability of Raman-detectable biomolecules in the martian environment, clouding the interpretation of the results. To quantify Raman-detectable biomolecule stability, we exposed seven biomolecules for 469 days to a simulated martian environment outside the International Space Station. Ultraviolet radiation (UVR) strongly changed the Raman spectra signals, but only minor change was observed when samples were shielded from UVR. These findings provide support for Mars mission operations searching for biosignatures in the subsurface. This experiment demonstrates the detectability of biomolecules by Raman spectroscopy in Mars regolith analogs after space exposure and lays the groundwork for a consolidated space-proven database of spectroscopy biosignatures in targeted environments.</t>
  </si>
  <si>
    <t>[Baque, Mickael] German Aerosp Ctr DLR, Inst Planetary Res, Planetary Labs Dept, Rutherfordstr 2, D-12489 Berlin, Germany; [Backhaus, Theresa; Meessen, Joachim; Ott, Sieglinde] Heinrich Heine Univ HHU, Inst Bot, Univ Str 1, D-40225 Dusseldorf, Germany; [Hanke, Franziska; Boettger, Ute] German Aerosp Ctr DLR, Inst Optic Sensor Syst, Rutherfordstr 2, D-12489 Berlin, Germany; [Ramkissoon, Nisha; Olsson-Francis, Karen] Open Univ, Fac Sci Technol Engn &amp; Math, AstrobiologyOU, Milton Keynes MK7 6AA, Bucks, England; [Baumgartner, Michael; Lee, Natuschka] Umea Univ, Dept Ecol &amp; Environm Sci, Microbial Geoecol &amp; Astrobiol, Linnaeus Vag 6, S-90187 Umea, Sweden; [Billi, Daniela] Univ Roma Tor Vergata, Dept Biol, Via Ric Sci, I-00133 Rome, Italy; [Cassaro, Alessia; Onofri, Silvano; Pacelli, Claudia; Selbmann, Laura; Zucconi, Laura] Univ Tuscia, Dept Ecol &amp; Biol Sci DEB, Largo Univ Snc, I-01100 Viterbo, Italy; [Noetzel, Rosa de la Torre] INTA, Dept Observac Tierra, Madrid 28850, Spain; [Demets, Rene] ESA, European Space Res &amp; Technol Ctr ESTEC, Noordwijk, Netherlands; [Edwards, Howell] Univ Bradford, Univ Analyt Ctr, Div Chem &amp; Forens Sci, Raman Spect Grp, Bradford, W Yorkshire, England; [Ehrenfreund, Pascale; Foing, Bernard] Leiden Univ, Astrophys Lab, Leiden Observ, Leiden, Netherlands; [Ehrenfreund, Pascale] George Washington Univ, Inst Space Policy, Washington, DC 20052 USA; [Elsaesser, Andreas] Free Univ Berlin, Expt Biophys &amp; Space Sci, Inst Expt Phys, Arnimallee 14, D-14195 Berlin, Germany; [Foing, Bernard; Westall, Frances] Vrije Univ Amsterdam, Fac Earth &amp; Life Sci, De Boelelaan 1081-1087, NL-1081 HV Amsterdam, Netherlands; [Foucher, Frederic] CNRS, UPR 4301, Ctr Biophys Mol, Rue Charles Sadron,CS80054, F-45071 Orleans 2, France; [Huwe, Bjorn] Univ Potsdam, Biodivers Res Systemat Bot, Maulbeerallee 1, D-14469 Potsdam, Germany; [Huwe, Bjorn] Leibniz Inst Agr Engn &amp; Bioecon, Dept Technol Assessment &amp; Subst Cycle, Max Eyth Allee 100, D-14469 Potsdam, Germany; [Joshi, Jasmin] Eastern Switzerland Univ Appl Sci, Inst Landscape &amp; Open Space, Seestr 10, CH-8640 Rapperswil, Switzerland; [Kozyrovska, Natalia] NASU, Inst Mol Biol &amp; Genet, Acad Zabolotnoho Str 150, UA-03680 Kiev, Ukraine; [Lasch, Peter] Robert Koch Inst, Ctr Biol Threats &amp; Special Pathogens ZBS 6, Nordufer 20, D-13353 Berlin, Germany; [Leuko, Stefan; Rabbow, Elke] German Aerosp Ctr DLR, Inst Aerosp Med, Radiat Biol Dept, D-51147 Cologne, Germany; [Pacelli, Claudia] Italian Space Agcy ASI, Res &amp; Sci Dept, Via Politecn Snc, I-00133 Rome, Italy; [Rothschild, Lynn] NASA, Ames Res Ctr, Mail Stop 239-20,POB 1, Moffett Field, CA 94035 USA; [Rothschild, Lynn] Brown Univ, Dept Mol Biol Cell Biol &amp; Biochem, 185 Meeting St, Providence, RI 02912 USA; [Schulze-Makuch, Dirk] Tech Univ Berlin, ZAA, Hardenbergstr 36, D-10623 Berlin, Germany; [Schulze-Makuch, Dirk; Serrano, Paloma; Wagner, Dirk] German Res Ctr Geosci GFZ, Sect Geomicrobiol, D-14473 Potsdam, Germany; [Schulze-Makuch, Dirk] Leibniz Inst Freshwater Ecol &amp; Inland Fisheries I, Dept Expt Limnol, D-12587 Stechlin, Germany; [Selbmann, Laura] Italian Antarctic Natl Museum MNA, Mycol Sect, I-16121 Genoa, Italy; [Serrano, Paloma] Alfred Wegener Inst AWI, Helmholtz Ctr Polar &amp; Marine Res, D-14473 Potsdam, Germany; [Szewzyk, Ulrich] Tech Univ Berlin, Environm Microbiol, Inst Environm Technol, Ernst Reuter Pl 1, D-10587 Berlin, Germany; [Verseux, Cyprien] Univ Bremen, Ctr Appl Space Technol &amp; Micrograv ZARM, Fallturm 2, D-28359 Bremen, Germany; [Wagner, Dirk] Univ Potsdam, Inst Geosci, Karl Liebknecht Str 24, D-14476 Potsdam, Germany; [de Vera, Jean-Pierre P.] German Aerosp Ctr DLR, MUSC, D-51147 Cologne, Germany</t>
  </si>
  <si>
    <t>Helmholtz Association; German Aerospace Centre (DLR); Helmholtz Association; German Aerospace Centre (DLR); Open University - UK; Umea University; University of Rome Tor Vergata; Tuscia University; Consejo Superior de Investigaciones Cientificas (CSIC); CSIC - Centro de Astrobiologia (INTA); European Space Agency; University of Bradford; Leiden University - Excl LUMC; Leiden University; George Washington University; Free University of Berlin; Vrije Universiteit Amsterdam; Centre National de la Recherche Scientifique (CNRS); University of Potsdam; Leibniz Institut fur Agrartechnik und Biookonomie (ATB); National Academy of Sciences Ukraine; Institute of Molecular Biology &amp; Genetics of NASU; Robert Koch Institute; Helmholtz Association; German Aerospace Centre (DLR); Agenzia Spaziale Italiana (ASI); National Aeronautics &amp; Space Administration (NASA); NASA Ames Research Center; Brown University; Technical University of Berlin; Helmholtz Association; Helmholtz-Center Potsdam GFZ German Research Center for Geosciences; Leibniz Institut fur Gewasserokologie und Binnenfischerei (IGB); Helmholtz Association; Alfred Wegener Institute, Helmholtz Centre for Polar &amp; Marine Research; Technical University of Berlin; University of Bremen; University of Potsdam; Helmholtz Association; German Aerospace Centre (DLR)</t>
  </si>
  <si>
    <t>Baqué, M (corresponding author), German Aerosp Ctr DLR, Inst Planetary Res, Planetary Labs Dept, Rutherfordstr 2, D-12489 Berlin, Germany.;de Vera, JPP (corresponding author), German Aerosp Ctr DLR, MUSC, D-51147 Cologne, Germany.</t>
  </si>
  <si>
    <t>mickael.baque@dlr.de; jean-pierre.devera@dlr.de</t>
  </si>
  <si>
    <t>Zucconi, L./U-9781-2018; Kozyrovska, Natalia O./P-1635-2017; Wagner, Dirk/C-3932-2012; Lee, Natuschka/AAF-9424-2020; Elsaesser, Andreas/K-2264-2014; Verseux, Cyprien/HPM-2496-2023; Selbmann, Laura/L-3056-2013</t>
  </si>
  <si>
    <t>Zucconi, L./0000-0001-9793-2303; Wagner, Dirk/0000-0001-5064-497X; Lee, Natuschka/0000-0003-3611-9882; Verseux, Cyprien/0000-0001-7288-8289; Selbmann, Laura/0000-0002-8967-3329; Baque, Mickael/0000-0002-6696-6030; Lasch, Peter/0000-0001-6193-3144; Ramkissoon, Nisha K/0000-0001-7179-6251; Elsaesser, Andreas/0000-0002-3781-8290; Baumgartner, Michael/0000-0002-7602-8486; Cassaro, Alessia/0000-0003-2228-9004; Joshi, Jasmin/0000-0002-4210-2465</t>
  </si>
  <si>
    <t>Deutsche Forschungsgemeinschaft (DFG-German Research Foundation) [426601242]; Federal Ministry of Economics and Technology (BMWi) [50WB1152]; Federal Ministry of Economics and Technology (BMWi); Deutsches Zentrum fur Luft-und Raumfahrt (DLR) [50WB1623, 50WB2023]; Volkswagen Foundation; Italian Space Agency [051-R.0]; BIOMEX-MCF [063-R.0]; Leverhulme Trust grant [RPG-2016-200]</t>
  </si>
  <si>
    <t>Deutsche Forschungsgemeinschaft (DFG-German Research Foundation)(German Research Foundation (DFG)); Federal Ministry of Economics and Technology (BMWi)(Federal Ministry for Economic Affairs and Energy (BMWi)); Federal Ministry of Economics and Technology (BMWi)(Federal Ministry for Economic Affairs and Energy (BMWi)); Deutsches Zentrum fur Luft-und Raumfahrt (DLR)(Helmholtz AssociationGerman Aerospace Centre (DLR)); Volkswagen Foundation(Volkswagen); Italian Space Agency(Agenzia Spaziale Italiana (ASI)); BIOMEX-MCF; Leverhulme Trust grant(Leverhulme Trust)</t>
  </si>
  <si>
    <t>This work was supported by Deutsche Forschungsgemeinschaft (DFG-German Research Foundation) grant 426601242 project RaBioFAM (M.Baq.), Federal Ministry of Economics and Technology (BMWi) grant 50WB1152 (D.W.), Federal Ministry of Economics and Technology (BMWi), Deutsches Zentrum fur Luft-und Raumfahrt (DLR) grants 50WB1623 and 50WB2023 (A.E.), Volkswagen Foundation and its Freigeist Program (A.E.), Italian Space Agency grants 051-R.0 (D.B.), BIOMEX-MCF 063-R.0 (S.On.), and The Leverhulme Trust grant RPG-2016-200 (N.R.).</t>
  </si>
  <si>
    <t>SEP 9</t>
  </si>
  <si>
    <t>10.1126/sciadv.abn7412</t>
  </si>
  <si>
    <t>7U2MI</t>
  </si>
  <si>
    <t>WOS:000911968500010</t>
  </si>
  <si>
    <t>Ten Hoopen, P; Peat, HJ; Ward, P; Tarling, GA</t>
  </si>
  <si>
    <t>Ten Hoopen, Petra; Peat, Helen J.; Ward, Peter; Tarling, Geraint A.</t>
  </si>
  <si>
    <t>Polar biodiversity data: From a national marine platform to a global data portal</t>
  </si>
  <si>
    <t>PATTERNS</t>
  </si>
  <si>
    <t>Global access to accurate biodiversity data is a prerequisite to our progress in understanding biodiversity dynamics in ecosystems and any changes that are occurring. Despite recent major advancements in sharing data on the world's species, one of the remaining challenges relates to the mechanics of guiding data systematically from its provenance to end users. It can take considerable effort to orchestrate a successful sampling campaign, manage samples obtained in often extreme, remote conditions and to secure preservation of, and access to, the acquired data. Here, we briefly describe biodiversity data flow from a polar ship to a national data repository and onward to a global data portal. This paper highlights a few crucial points in this process, which aims to provide information systematically into the mosaic of our polar species biodiversity knowledge. This flexible workflow can be modified for other data types and adopted by other data repositories.</t>
  </si>
  <si>
    <t>[Ten Hoopen, Petra; Peat, Helen J.; Ward, Peter; Tarling, Geraint A.] British Antarctic Survey, Madingley Rd, Cambridge CB3 OET, England</t>
  </si>
  <si>
    <t>Ten Hoopen, P (corresponding author), British Antarctic Survey, Madingley Rd, Cambridge CB3 OET, England.</t>
  </si>
  <si>
    <t>peopen@bas.ac.uk</t>
  </si>
  <si>
    <t>Peat, Helen J/E-9666-2015</t>
  </si>
  <si>
    <t>ten Hoopen, Petra/0000-0003-4242-4015</t>
  </si>
  <si>
    <t>Natural Environment Research Council (NERC)-UKRI</t>
  </si>
  <si>
    <t>Natural Environment Research Council (NERC)-UKRI(UK Research &amp; Innovation (UKRI)Natural Environment Research Council (NERC))</t>
  </si>
  <si>
    <t>We are grateful to the officers and crew of the RRS James Clark Ross as well as scientists onboard for their assistance in data collection. We would like to thank technical specialists from the BAS Information Technology and BAS Antarctic Marine Engineering who have, over many years, improved operational practice, upon which successful data generation and rescue relies. We also wish to thank colleagues from the UK Polar Data Centre, whose joint effort in developing an accredited data publishing procedures helped to streamline the workflow described here. The funding to establish the datasharing pipeline and to create the Bongo dataset resources was provided by the Natural Environment Research Council (NERC)-UKRI.</t>
  </si>
  <si>
    <t>2666-3899</t>
  </si>
  <si>
    <t>Patterns</t>
  </si>
  <si>
    <t>10.1016/j.patter.2022.100566</t>
  </si>
  <si>
    <t>Computer Science, Artificial Intelligence; Computer Science, Information Systems; Computer Science, Interdisciplinary Applications</t>
  </si>
  <si>
    <t>Computer Science</t>
  </si>
  <si>
    <t>7A6KC</t>
  </si>
  <si>
    <t>WOS:000898561500006</t>
  </si>
  <si>
    <t>Ward, P; Tarling, GA; Ten Hoopen, P</t>
  </si>
  <si>
    <t>Ward, Peter; Tarling, Geraint A.; Ten Hoopen, Petra</t>
  </si>
  <si>
    <t>A database of zooplankton abundance in the Atlantic sectors of the Southern and sub-Arctic Oceans</t>
  </si>
  <si>
    <t>MESOZOOPLANKTON COMMUNITY STRUCTURE; SCOTIA SEA; GEORGIA; WATER; VARIABILITY; NORTH; NET</t>
  </si>
  <si>
    <t>Scientific sampling of zooplankton in the Atlantic sector of the Southern Ocean has been undertaken since the 1920s, but few analyzed datasets are available to the research community. We provide a database of standardized data derived from samples collected by Bongo nets in this sector between 1996 and 2013, amounting to almost 94,000 individual records. The study region contains some of the highest levels of pelagic biomass in the Southern Ocean and is also undergoing rapid ocean warming and changing seasonality in sea-ice distribution. Data from a single expedition to the sub-Arctic where the same sampling methodology was used are also included. Atlantic water is an increasing influence in that region, as is the prevalence of boreal plankton taxa within Arctic plankton communities. These data will be of value in supporting studies assessing the impacts of climate change on the structure and function of polar pelagic systems.</t>
  </si>
  <si>
    <t>[Ward, Peter; Tarling, Geraint A.; Ten Hoopen, Petra] British Antarctic Survey, Cambridge CB3 0ET, England</t>
  </si>
  <si>
    <t>Ten Hoopen, P (corresponding author), British Antarctic Survey, Cambridge CB3 0ET, England.</t>
  </si>
  <si>
    <t>NC-ALI Science</t>
  </si>
  <si>
    <t>We thank the officers and crew of RRS James Clarke Ross and our various sea-going scientific colleagues who over the years facilitated and assisted in the collection, preservation, and analysis of plankton samples. In particular, we thank Doug Bone for the design and construction of the motion-compensated Bongo net. We are also indebted to Discovery Investigations for collecting samples during the early part of the 20th century, and Miranda Lowe, curator at the Natural History Museum London, for making them available to us. This work was supported by NC-ALI Science funding to the Ecosystems team at BAS. We are grateful to Sally Thorpe and Laura Gerrish for help with redrafting figures.</t>
  </si>
  <si>
    <t>10.1016/j.patter.2022.100554</t>
  </si>
  <si>
    <t>WOS:000898561500007</t>
  </si>
  <si>
    <t>Wang, XG; Yan, FQ; Lyne, V; Su, FZ</t>
  </si>
  <si>
    <t>Wang, Xuege; Yan, Fengqin; Lyne, Vincent; Su, Fenzhen</t>
  </si>
  <si>
    <t>Restore China's coastline from the ground up</t>
  </si>
  <si>
    <t>[Wang, Xuege; Su, Fenzhen] Nanjing Univ, Sch Geog &amp; Ocean Sci, Nanjing 210023, Peoples R China; [Wang, Xuege; Yan, Fengqin; Su, Fenzhen] Chinese Acad Sci, Inst Geog Sci &amp; Nat Resources Res, State Key Lab Resources &amp; Environm Informat Syst, Beijing 100101, Peoples R China; [Wang, Xuege; Su, Fenzhen] Nanjing Univ, Collaborat Innovat Ctr South China Sea Studies, Nanjing 210093, Peoples R China; [Yan, Fengqin; Su, Fenzhen] Univ Chinese Acad Sci, Coll Resources &amp; Environm, Beijing 100049, Peoples R China; [Lyne, Vincent] Univ Tasmania, Inst Marine &amp; Antarctic Studies Hobart, Hobart, Tas 7004, Australia</t>
  </si>
  <si>
    <t>Nanjing University; Chinese Academy of Sciences; Institute of Geographic Sciences &amp; Natural Resources Research, CAS; Nanjing University; Chinese Academy of Sciences; University of Chinese Academy of Sciences, CAS; University of Tasmania</t>
  </si>
  <si>
    <t>Su, FZ (corresponding author), Nanjing Univ, Sch Geog &amp; Ocean Sci, Nanjing 210023, Peoples R China.;Su, FZ (corresponding author), Chinese Acad Sci, Inst Geog Sci &amp; Nat Resources Res, State Key Lab Resources &amp; Environm Informat Syst, Beijing 100101, Peoples R China.;Su, FZ (corresponding author), Nanjing Univ, Collaborat Innovat Ctr South China Sea Studies, Nanjing 210093, Peoples R China.;Su, FZ (corresponding author), Univ Chinese Acad Sci, Coll Resources &amp; Environm, Beijing 100049, Peoples R China.</t>
  </si>
  <si>
    <t>sufz@lreis.ac.cn</t>
  </si>
  <si>
    <t>Wang, Xuege/KDP-1087-2024</t>
  </si>
  <si>
    <t>10.1126/science.ade3911</t>
  </si>
  <si>
    <t>6L1ER</t>
  </si>
  <si>
    <t>WOS:000887933400038</t>
  </si>
  <si>
    <t>Mckay, DIA; Staal, A; Abrams, JF; Winkelmann, R; Sakschewski, B; Loriani, S; Fetzer, I; Cornell, SE; Rockstrom, J; Lenton, TM</t>
  </si>
  <si>
    <t>Mckay, David I. Armstrong; Staal, Arie; Abrams, Jesse F.; Winkelmann, Ricarda; Sakschewski, Boris; Loriani, Sina; Fetzer, Ingo; Cornell, Sarah E.; Rockstrom, Johan; Lenton, Timothy M.</t>
  </si>
  <si>
    <t>Exceeding 1.5°C global warming could trigger multiple climate tipping points</t>
  </si>
  <si>
    <t>ANTARCTIC ICE-SHEET; EARLY-WARNING SIGNALS; SEA-LEVEL; MASS-LOSS; CARBON; COLLAPSE; THWAITES; ELEMENTS; CO2; THRESHOLDS</t>
  </si>
  <si>
    <t>Climate tipping points occur when change in a part of the climate system becomes self-perpetuating beyond a warming threshold, leading to substantial Earth system impacts. Synthesizing paleoclimate, observational, and model-based studies, we provide a revised shortlist of global core tipping elements and regional impact tipping elements and their temperature thresholds. Current global warming of similar to 1.1 degrees C above preindustrial temperatures already lies within the lower end of some tipping point uncertainty ranges. Several tipping points may be triggered in the Paris Agreement range of 1.5 to &lt;2 degrees C global warming, with many more likely at the 2 to 3 degrees C of warming expected on current policy trajectories. This strengthens the evidence base for urgent action to mitigate climate change and to develop improved tipping point risk assessment, early warning capability, and adaptation strategies.</t>
  </si>
  <si>
    <t>[Mckay, David I. Armstrong; Staal, Arie; Fetzer, Ingo; Cornell, Sarah E.; Rockstrom, Johan] Stockholm Univ, Stockholm Resilience Ctr, Stockholm, Sweden; [Mckay, David I. Armstrong; Staal, Arie; Fetzer, Ingo; Cornell, Sarah E.] Stockholm Univ, Bolin Ctr Climate Res, Stockholm, Sweden; [Mckay, David I. Armstrong; Abrams, Jesse F.; Lenton, Timothy M.] Univ Exeter, Global Syst Inst, Exeter, England; [Mckay, David I. Armstrong] Georesilience Analyt, Leatherhead, England; [Staal, Arie] Univ Utrecht, Copernicus Inst Sustainable Dev, Utrecht, Netherlands; [Winkelmann, Ricarda; Sakschewski, Boris; Loriani, Sina; Rockstrom, Johan] Potsdam Inst Climate Impact Res, Potsdam, Germany; [Winkelmann, Ricarda] Univ Potsdam, Inst Phys &amp; Astron, Potsdam, Germany</t>
  </si>
  <si>
    <t>Stockholm University; University of Exeter; Utrecht University; Potsdam Institut fur Klimafolgenforschung; University of Potsdam</t>
  </si>
  <si>
    <t>Mckay, DIA (corresponding author), Stockholm Univ, Stockholm Resilience Ctr, Stockholm, Sweden.;Mckay, DIA (corresponding author), Stockholm Univ, Bolin Ctr Climate Res, Stockholm, Sweden.;Mckay, DIA; Lenton, TM (corresponding author), Univ Exeter, Global Syst Inst, Exeter, England.;Mckay, DIA (corresponding author), Georesilience Analyt, Leatherhead, England.</t>
  </si>
  <si>
    <t>d.mckay@exeter.ac.uk; m.lenton@exeter.ac.uk</t>
  </si>
  <si>
    <t>European Research Council Advanced Investigator project Earth Resilience in the Anthropocene [ERC-2016-ADG-743080]; Oak Foundation, MAVA; Gordon and Betty Moore Foundation; Global Environment Facility; Leverhulme Trust [RPG-2018-046]; Herlin Foundation; Turing Fellowship</t>
  </si>
  <si>
    <t>European Research Council Advanced Investigator project Earth Resilience in the Anthropocene(European Research Council (ERC)); Oak Foundation, MAVA; Gordon and Betty Moore Foundation(Gordon and Betty Moore Foundation); Global Environment Facility; Leverhulme Trust(Leverhulme Trust); Herlin Foundation; Turing Fellowship</t>
  </si>
  <si>
    <t>This work was initiated and supported by the European Research Council Advanced Investigator project Earth Resilience in the Anthropocene ERC-2016-ADG-743080 (to D.I.A.M., A.S., S.C., I.F., and J.R.). This work is part of the Earth Commission which is hosted by Future Earth and is the science component of the Global Commons Alliance. The Global Commons Alliance is a sponsored project of Rockefeller Philanthropy Advisors, with support from Oak Foundation, MAVA, Porticus, Gordon and Betty Moore Foundation, Herlin Foundation, and the Global Environment Facility. (to D.I.A.M., J.F.A., R.W., B.S., S.L., and J.R.). This work was also supported by the Leverhulme Trust RPG-2018-046 (to T.M.L. and D.I.A.M.) and the Turing Fellowship (to T.M.L.).</t>
  </si>
  <si>
    <t>eabn7950</t>
  </si>
  <si>
    <t>10.1126/science.abn7950</t>
  </si>
  <si>
    <t>Y</t>
  </si>
  <si>
    <t>WOS:000887933400003</t>
  </si>
  <si>
    <t>Liu, H; Mei, DK; Xu, GZ; Yang, PX; Ren, XD; Zhang, XH</t>
  </si>
  <si>
    <t>Liu, Hang; Mei, Dengkui; Xu, Guozhen; Yang, Pengxin; Ren, Xiaodong; Zhang, Xiaohong</t>
  </si>
  <si>
    <t>Evaluation and validation of various rapid GNSS global ionospheric maps over one solar cycle</t>
  </si>
  <si>
    <t>Global navigation satellite system (GNSS); Total electron content (TEC); Rapid global ionospheric maps (GIMs); Difference of slant total electron content (dSTEC); JASON altimeter</t>
  </si>
  <si>
    <t>VTEC MAPS; METHODOLOGY; SYSTEM</t>
  </si>
  <si>
    <t>Compared with the final global ionospheric maps (GIMs) product on a weekly basis, rapid GIMs products on a daily basis have sig-nificant improvement in the availability, and are an important ionospheric information source for timely studies of global, regional, or local space weather events and corresponding other applications. Therefore, it is essential to analyze and validate the performance of different rapid products. In this contribution, we evaluate the accuracy and consistency of nine rapid GIMs released by different inter-national GNSS service (IGS) ionosphere associate analysis centers (IAACs) from various aspects in detail, including IGS final GIMs, JASON-2/-3 ionospheric data, the difference of slant total electron content (dSTEC) data over one solar cycle from January 2009 to December 2020. In comparison with the IGS final GIMs, the variation trend of the standard deviation (STD) is consistent with the solar activities, and accompanied by seasonal and annual periodic variations. The mean bias (MEAN) between IGS and individual IAAC is approximately-2 to 2 TECU, and the STD is approximately 0.7 to 4.0 TECU. Over oceanic regions, the MEAN values of the different rapid GIMs with regard to JASON-2 are about 2 to 3 TECU and that of JASON-3 are about 4 to 5 TECU, except for JPRG. The STD performance of the various GIMs relative to the JASON-2 and JASON-3 vertical total electron content (VTEC) is both within 3 TECU. Over continental regions, the validation with the dSTEC data shows that the STD values of the external and internal verification range from 0 to 4.5 TECU and from 0 to 3 TECU, respectively, and the STD performance of the UQRG is the best. (c) 2022 Published by Elsevier B.V. on behalf of COSPAR.</t>
  </si>
  <si>
    <t>[Liu, Hang; Mei, Dengkui; Xu, Guozhen; Yang, Pengxin; Ren, Xiaodong; Zhang, Xiaohong] Wuhan Univ, Sch Geodesy &amp; Geomat, Wuhan 430079, Peoples R China; [Zhang, Xiaohong] Wuhan Univ, Chinese Antarctic Ctr Surveying &amp; Mapping, Wuhan 430079, Peoples R China; [Ren, Xiaodong; Zhang, Xiaohong] Hubei Luojia Lab, Wuhan 430079, Peoples R China</t>
  </si>
  <si>
    <t>Wuhan University; Wuhan University</t>
  </si>
  <si>
    <t>Zhang, XH (corresponding author), Wuhan Univ, Sch Geodesy &amp; Geomat, Wuhan 430079, Peoples R China.;Zhang, XH (corresponding author), Wuhan Univ, Chinese Antarctic Ctr Surveying &amp; Mapping, Wuhan 430079, Peoples R China.;Zhang, XH (corresponding author), Hubei Luojia Lab, Wuhan 430079, Peoples R China.</t>
  </si>
  <si>
    <t>xhzhang@sgg.whu.edu.cn</t>
  </si>
  <si>
    <t>REN, XIAODONG/HJP-2991-2023</t>
  </si>
  <si>
    <t>REN, XIAODONG/0000-0002-3213-0067; liu, hang/0000-0002-3408-3807; yang, pengxin/0000-0002-6772-9758</t>
  </si>
  <si>
    <t>National Natural Science Foundation of China [41904026, 42174031]; Creative Research Groups of China [41721003]; Fundamental Research Funds for the Central Universities [2042021kf0002]</t>
  </si>
  <si>
    <t>National Natural Science Foundation of China(National Natural Science Foundation of China (NSFC)); Creative Research Groups of China; Fundamental Research Funds for the Central Universities(Fundamental Research Funds for the Central Universities)</t>
  </si>
  <si>
    <t>This work was funded by the National Natural Science Foundation of China (NO.41904026, NO.42174031), Creative Research Groups of China (No.41721003), Fundamental Research Funds for the Central Universities (NO.2042021kf0002). The numerical calculations have been done on the supercomputing system in the Supercomputing Center of Wuhan University, Wuhan, China. We also gratefully acknowledged the use of Generic Mapping Tool (GMT) and MATrix LABoratory (MATLAB) software.</t>
  </si>
  <si>
    <t>10.1016/j.asr.2022.07.008</t>
  </si>
  <si>
    <t>5F8AQ</t>
  </si>
  <si>
    <t>WOS:000866534100008</t>
  </si>
  <si>
    <t>Graly, JA; Licht, KJ; Bader, NA; Kassab, CM; Bish, DL; Kaplan, MR</t>
  </si>
  <si>
    <t>Graly, Joseph A.; Licht, Kathy J.; Bader, Nicole A.; Kassab, Christine M.; Bish, David L.; Kaplan, Michael R.</t>
  </si>
  <si>
    <t>Chemical weathering signatures at Mt. Achernar, Central Transantarctic Mountains II: Surface exposed sediments</t>
  </si>
  <si>
    <t>GEOCHIMICA ET COSMOCHIMICA ACTA</t>
  </si>
  <si>
    <t>Antarctica; Chemical weathering; Clay minerals; Carbonate minerals; Salts; Geochemical cycles</t>
  </si>
  <si>
    <t>ANTARCTIC ICE-SHEET; KING GEORGE ISLAND; PEDOGENIC CARBONATE; MASS-BALANCE; BLUE ICE; SOILS; MINERALS; ORIGIN; DESERT; ACCUMULATION</t>
  </si>
  <si>
    <t>Mt Achernar Moraine is a high altitude, high latitude blue ice moraine where typical conditions preclude the presence of liquid water. Cosmogenic and salt accumulation dating indicate that the moraine's surface is progressively older away from the active ice margin, with surface exposure ages up to 1 Ma. We analyze the chemical and mineralogical transformations in the &lt;63 mu m fraction along transects across the moraine. Data include bulk chemical composition, crystalline mineralogy by X-ray diffraction (XRD), and the composition of amorphous or low abundance products of chemical weathering by sequential extraction. These data are analyzed by multiple regression as a function of exposure age and as a function of composition of the moraine's cobble and pebble-sized clasts. Change with exposure age is defined by the development of salts and carbonate minerals along with the input of detrital material, principally from sedimentary rocks. Clay minerals and amorphous cements breakdown as detrital material in proportions far above their abundance in the rock clasts, whereas framework silicates (i.e. feldspars and quartz) break down in relatively small proportions. Both the carbonate minerals and some of the salts form from atmospheric acids (i.e. H2CO3) that in turn react with other minerals. Mass balance shows that the input of these atmospheric acids balances with gains in authigenic smectites, zeolites, and amorphous material. Many of these minerals also form in the subglacial environment, but are poorly represented in the underlying rock, suggesting a similar chemical weathering regime in both the subglacial and surface environments of this hyper cold and arid setting. The rate of CO2 drawdown into carbonate minerals increases as the moraine progressively thickens, from 3 mg.m(2).a(-1 )in freshly emerging sediments to similar to 50 mg.m(2).a(-1) after 500 ka of exposure. Weathering from acidic aerosols is proportional to atmospheric flux documented in ice cores and does not vary with moraine thickness. The carbonate mineral formation rates are more than an order of magnitude below those of the subglacial environment and as much as two orders of magnitude below those found in warm desert soils. Nevertheless, the drawdown of atmospheric CO2 into carbonate minerals occurs in a terrestrial setting where water exists only in vapor form. Crown Copyright (C) 2022 Published by Elsevier Ltd.</t>
  </si>
  <si>
    <t>[Graly, Joseph A.] Northumbria Univ, Geog &amp; Environm Sci, Newcastle Upon Tyne, England; [Graly, Joseph A.; Licht, Kathy J.; Bader, Nicole A.; Kassab, Christine M.] Indiana Univ Purdue Univ Indianapolis, Earth Sci, Indianapolis, IN 46202 USA; [Bish, David L.] Indiana Univ, Earth &amp; Atmospher Sci, Bloomington, IN USA; [Kaplan, Michael R.] Lamont Doherty Earth Observ, Palisades, NY USA</t>
  </si>
  <si>
    <t>Northumbria University; Indiana University System; Indiana University-Purdue University Indianapolis; Indiana University System; Indiana University Bloomington; Columbia University</t>
  </si>
  <si>
    <t>Graly, JA (corresponding author), Northumbria Univ, Geog &amp; Environm Sci, Newcastle Upon Tyne, England.;Graly, JA (corresponding author), Indiana Univ Purdue Univ Indianapolis, Earth Sci, Indianapolis, IN 46202 USA.</t>
  </si>
  <si>
    <t>Joseph.graly@northumbria.ac.uk</t>
  </si>
  <si>
    <t>Graly, Joseph/0000-0002-7939-6022; Licht, Kathy/0000-0002-2233-2853</t>
  </si>
  <si>
    <t>National Science Foundation [PLR-1744879, PLR-1443433, PLR-1443213, ANT-0944578, ANT-0944475]; Indiana University Collaborative Research Grant; IUPUI Office of the Vice Chancellor for Research; US Antarctic Program, Kenn Borek Air, Ltd.; NSF [MRI-1429241]</t>
  </si>
  <si>
    <t>National Science Foundation(National Science Foundation (NSF)); Indiana University Collaborative Research Grant; IUPUI Office of the Vice Chancellor for Research; US Antarctic Program, Kenn Borek Air, Ltd.; NSF(National Science Foundation (NSF))</t>
  </si>
  <si>
    <t>This work was supported by National Science Foundation Antarctic grants PLR-1744879, PLR-1443433, PLR-1443213, ANT-0944578 and ANT-0944475, by an Indiana University Col-laborative Research Grant, and by funding from the IUPUI Office of the Vice Chancellor for Research. The US Antarctic Program, Kenn Borek Air, Ltd., and field team members from the 2010 and 2015 seasons are gratefully acknowledged for field support. T. Kennedy assisted with magnetic susceptibility analyses. H. John-ston assisted with particle size analyses. S. Cox and S. Olund assisted with the sequential extraction analyses. Reviews by J. Compton and by an anonymous reviewer, along with editing by L. Jin and J. Catalano, were helpful in improving the manuscript.We would like to acknowledge the Integrated Nanosystems Devel-opment Institute (INDI) for use of their Bruker D8 Discover X-Ray Diffraction Instrument, which was awarded through NSF grant MRI-1429241.</t>
  </si>
  <si>
    <t>0016-7037</t>
  </si>
  <si>
    <t>1872-9533</t>
  </si>
  <si>
    <t>GEOCHIM COSMOCHIM AC</t>
  </si>
  <si>
    <t>Geochim. Cosmochim. Acta</t>
  </si>
  <si>
    <t>10.1016/j.gca.2022.06.024</t>
  </si>
  <si>
    <t>5S0SS</t>
  </si>
  <si>
    <t>WOS:000874911700004</t>
  </si>
  <si>
    <t>Yang, J; Liu, T; Dou, TF; Xiao, CD</t>
  </si>
  <si>
    <t>Yang, Jiao; Liu, Ting; Dou, Tingfeng; Xiao, Cunde</t>
  </si>
  <si>
    <t>Interannual variability of winter precipitation over the Lambert Glacier basin linked to the dipole pattern of sea surface temperature in the southern Indian Ocean</t>
  </si>
  <si>
    <t>southern Indian Ocean; East Antarctica; sea surface temperature; precipitation; dipole pattern</t>
  </si>
  <si>
    <t>ANTARCTIC ICE-SHEET; NORTHERN-HEMISPHERE; MASS-BALANCE; SNOW ACCUMULATION; ANNULAR MODE; CLIMATE; EXTENT; UPGRADES; HEIGHT; RECORD</t>
  </si>
  <si>
    <t>Variations in annual accumulated snowfall over the Antarctic ice sheet have a significant and direct impact on mean sea-level change. The interannual variability of the precipitation over coastal Antarctica adjacent to the southern Indian Ocean (SIO) cannot be totally explained by the dominant mode of atmospheric variability in the Southern Hemisphere. This study explores the possible contributions from sea surface temperature (SST) anomalies in SIO on the precipitation over East Antarctica. The results suggest that the winter precipitation in the Lambert Glacier basin (LGB) is closely related to the autumn SST variability in SIO without the influence of El Nino-Southern Oscillation. It is shown that the positive autumn SIO dipole (SIOD) of SST anomalies is usually followed by reduced precipitation in the following winter over the LGB region and vice versa. The positive (negative) autumn SIOD can persist into the winter and excite cyclonic (anticyclonic) circulation and deepen (weaken) SIO low in high latitude, corresponding to an enhanced northward (southward) wind anomaly in LGB and central SIO. This mechanism prevents (promotes) the transportation of warm and moist marine air to the LGB region and hence decreases (increases) the precipitation during the following winter.</t>
  </si>
  <si>
    <t>[Yang, Jiao] Chinese Acad Sci, Northwest Inst Ecoenvironm &amp; Resources, State Key Lab Cryospher Sci, Lanzhou, Peoples R China; [Liu, Ting] Southern Marine Sci &amp; Engn Guangdong Lab Zhuhai, Minist Nat Resources, Inst Oceanog 2, State Key Lab Satellite Ocean Environm Dynam, Hangzhou, Peoples R China; [Dou, Tingfeng] Univ Chinese Acad Sci, Coll Resources &amp; Environm, Beijing, Peoples R China; [Xiao, Cunde] Beijing Normal Univ, State Key Lab Earth Surface Proc &amp; Resource Ecol, Beijing, Peoples R China</t>
  </si>
  <si>
    <t>Chinese Academy of Sciences; Southern Marine Science &amp; Engineering Guangdong Laboratory; Ministry of Natural Resources of the People's Republic of China; Chinese Academy of Sciences; University of Chinese Academy of Sciences, CAS; Beijing Normal University</t>
  </si>
  <si>
    <t>Liu, T (corresponding author), Southern Marine Sci &amp; Engn Guangdong Lab Zhuhai, Minist Nat Resources, Inst Oceanog 2, State Key Lab Satellite Ocean Environm Dynam, Hangzhou, Peoples R China.</t>
  </si>
  <si>
    <t>liut@sio.org.cn</t>
  </si>
  <si>
    <t>Han, Yang/JVN-5921-2024; Yang, Jiao/JTV-6688-2023</t>
  </si>
  <si>
    <t>Strategic Priority Research Program of the Chinese Academy of Sciences [XDA19070103]; National Natural Science Foundation of China [42101142]; Scientific Research Fund of the Second Institute of Oceanography, MNR Resources [QNYC2101]; International Partnership Program of Chinese Academy of Sciences [121362KYSB20210024]; State Key Laboratory of Satellite Ocean Environment Dynamics, Second Institute of Oceanography, MNR [QNHX2237]; Innovation Group Project of Southern Marine Science and Engineering Guangdong Laboratory (Zhuhai) [311021001]</t>
  </si>
  <si>
    <t>Strategic Priority Research Program of the Chinese Academy of Sciences(Chinese Academy of Sciences); National Natural Science Foundation of China(National Natural Science Foundation of China (NSFC)); Scientific Research Fund of the Second Institute of Oceanography, MNR Resources; International Partnership Program of Chinese Academy of Sciences; State Key Laboratory of Satellite Ocean Environment Dynamics, Second Institute of Oceanography, MNR; Innovation Group Project of Southern Marine Science and Engineering Guangdong Laboratory (Zhuhai)</t>
  </si>
  <si>
    <t>This study was funded by the Strategic Priority Research Program of the Chinese Academy of Sciences (Grant No. XDA19070103), the National Natural Science Foundation of China (42101142), the Scientific Research Fund of the Second Institute of Oceanography, MNR Resources (Grant No. QNYC2101), International Partnership Program of Chinese Academy of Sciences (Grant No. 121362KYSB20210024), the open fund of State Key Laboratory of Satellite Ocean Environment Dynamics, Second Institute of Oceanography, MNR (Grant No. QNHX2237), and the Innovation Group Project of Southern Marine Science and Engineering Guangdong Laboratory (Zhuhai) (Grant No. 311021001).</t>
  </si>
  <si>
    <t>10.3389/feart.2022.920245</t>
  </si>
  <si>
    <t>5S6NX</t>
  </si>
  <si>
    <t>WOS:000875305200001</t>
  </si>
  <si>
    <t>Krasheninnikov, AB; Gavrilo, MV; Elkin, AA; Moseev, DS; Kaigorodov, RV; Toropov, LI</t>
  </si>
  <si>
    <t>Krasheninnikov, Andrey B.; Gavrilo, Maria V.; Elkin, Andrey A.; Moseev, Dmitry S.; Kaigorodov, Roman V.; Toropov, Leonid I.</t>
  </si>
  <si>
    <t>Features of freshwater ecosystems of the Franz Josef Land archipelago</t>
  </si>
  <si>
    <t>POLAR SCIENCE</t>
  </si>
  <si>
    <t>Arctic; Franz Josef Land; Biodiversity; Freshwater systems</t>
  </si>
  <si>
    <t>COMMUNITIES; SVALBARD; SEA</t>
  </si>
  <si>
    <t>Russian High Arctic archipelagos still lack knowledge on the freshwater ecosystems and biodiversity. Here, we present results of the freshwater bodies' survey of the nine islands in the Franz Josef Land archipelago, northeastern Barents Sea, carried out in August 2016. Freshwater lakes and streams along with associated coastal habitats were examined for hydrochemistry, elemental composition of sediments, microbiota, macrozoobenthos, flora and vegetation as well as ornithofauna. Despite the harsh climate conditions and ephemeral character of the freshwater bodies, there were a diverse microflora and macrozoobenthos. Macrozoobenthos consisted primarily of chironomid larvae (with highest abundances at 6644.4 specimens/m2 and wet biomass hereinafter referred biomass 3.1 g/m2) and enchytraeids (abundances up to 922.2 specimens/m2, biomass up to 0.2 g/m2); additionally, numerous mermitides were found in two sites; and tardigrades were found in a single water body. Grassmoss and moss communities in coastal habitats were described. We propose to include freshwater bodies of Franz Josef Land in the CBMP network, which at the moment lacks any monitoring sites in the Russian High Arctic, and has the only site at comparable latitudes in the Arctic Canada. Our results can be used as the background data on the freshwater environment and biodiversity for - further monitoring.</t>
  </si>
  <si>
    <t>[Krasheninnikov, Andrey B.; Elkin, Andrey A.; Kaigorodov, Roman V.; Toropov, Leonid I.] Perm State Univ, 15 Bukirev Str, Perm 614990, Russia; [Krasheninnikov, Andrey B.] RAS, Inst Biol Problems North FEB, 18 Portovaya Str, Magadan 685000, Russia; [Krasheninnikov, Andrey B.; Gavrilo, Maria V.; Moseev, Dmitry S.] Assoc Maritime Heritage Explore &amp; Sustain, Icebreaker Krassin, Lieutenant Schmidt Emb, 23 Line, St Petersburg 199106, Russia; [Elkin, Andrey A.] Russian Acad Sci, Inst Ecol &amp; Genet Microorganisms, Perm Fed Res Ctr, Ural Branch, 13 Golev Str, Perm 614081, Russia; [Moseev, Dmitry S.] Russian Acad Sci, Shirshov Inst Oceanol, 36 Nakhimovsky Prospekt, Moscow 117997, Russia; [Gavrilo, Maria V.] Arctic &amp; Antarctic Res Inst, 38 Bering Str, St Petersburg 198397, Russia</t>
  </si>
  <si>
    <t>Perm State University; Institute of Biological Problems of the North; Russian Academy of Sciences; Russian Academy of Sciences; Perm Federal Research Center, Ural Branch, RAS; Institute of Ecology &amp; Genetics of Microorganisms, Ural Branch, RAS; Russian Academy of Sciences; Shirshov Institute of Oceanology; Arctic &amp; Antarctic Research Institute</t>
  </si>
  <si>
    <t>Krasheninnikov, AB (corresponding author), Perm State Univ, 15 Bukirev Str, Perm 614990, Russia.</t>
  </si>
  <si>
    <t>krasheninnikov2005@yandex.ru</t>
  </si>
  <si>
    <t>Toropov, Leonid/J-7669-2017; Krasheninnikov, Andrey Borisovich/O-8985-2017; Gavrilo, Maria V/R-7091-2016; Elkin, Andrey/B-2129-2014; Kaigorodov, Roman/ADK-2252-2022</t>
  </si>
  <si>
    <t>Krasheninnikov, Andrey Borisovich/0000-0001-9876-1008; Gavrilo, Maria V/0000-0002-3500-9617; Elkin, Andrey/0000-0003-2517-013X; Kaigorodov, Roman/0000-0002-3615-8382</t>
  </si>
  <si>
    <t>Marine Heritage: Explore; Ministry of Science and Higher Education of the Russian Federation [AAAA-A20-120081990069-3, AAAA-A19-119112290008-4]; Russian Science Foundation [18-14-00140]</t>
  </si>
  <si>
    <t>Marine Heritage: Explore; Ministry of Science and Higher Education of the Russian Federation; Russian Science Foundation(Russian Science Foundation (RSF))</t>
  </si>
  <si>
    <t>The field work was carried out during the expedition ?Open Ocean: Arctic Archipelagos - 2016? organized by the Association ?Marine Heritage: Explore and Sustain? (St. Petersburg) under the grant of the UNDP/GEF project ?Mainstreaming Biodiversity Conservation into Russia?s Energy Sector Policies and Operations? on the territory of the national park Russian Arctic. The work was funded by the Ministry of Science and Higher Edu-cation of the Russian Federation (AAAA-A20-120081990069-3, AAAA-A19-119112290008-4) , Russian Science Foundation (18-14-00140) . We are grateful to Dr. V.V. Petrovsky (Komarov Botanical Institute, St. Petersburg) for his help in identification of the flowering plants; Dr.E.Yu. Kuzmina (Komarov Botanical Institute, St. Petersburg) and Dr. L. A. Konoreva (Polar-Alpine Botanical Garden-Institute of N.A. Avrorin KSC RAS, Apatity) for help in identification of mosses; Dr. L. A. Ser-gienko (Petrozavodsk State University, Institute of Biology, Ecology of Agricultural Technologies) for valuable consultation on flowering plants; Dr. A.A. Makaryev and Dr. E.M. Makaryeva (Polar Marine Geological Exploration Expedition, St. Petersburg) for valuable consul-tation on the geology of the archipelago; Dr. N.E. Ryazanova, (Moscow State Institute of International Relations, Moscow) for providing a multimeter for field measurements. We would like to thank our colleagues in the expedition and the crew of the MS Alter Ego for providing comfortable conditions for the field work and the opportunity to reach the hard-to-access and poorly studied frontiers of the Franz Josef Land archipelago.</t>
  </si>
  <si>
    <t>1873-9652</t>
  </si>
  <si>
    <t>1876-4428</t>
  </si>
  <si>
    <t>POLAR SCI</t>
  </si>
  <si>
    <t>Polar Sci.</t>
  </si>
  <si>
    <t>10.1016/j.polar.2022.100849</t>
  </si>
  <si>
    <t>4X7MC</t>
  </si>
  <si>
    <t>WOS:000861020800004</t>
  </si>
  <si>
    <t>Hulswar, S; Mohite, P; Mahajan, AS</t>
  </si>
  <si>
    <t>Hulswar, Shrivardhan; Mohite, Prajakta; Mahajan, Anoop S.</t>
  </si>
  <si>
    <t>Quantifying stratospheric ozone loss over Antarctica in the last two decades using corrected satellite profiles</t>
  </si>
  <si>
    <t>Ozone depletion; Antarctic ozone; MLS; Ozonesonde</t>
  </si>
  <si>
    <t>DESTRUCTION</t>
  </si>
  <si>
    <t>Loss of stratospheric ozone has occurred over the last half a century due to catalytic destruction by halogen -containing anthropogenic compounds. Saturated ozone loss events, when the ozone concentrations decreased to less than or equal to 1 mPa (&gt;95% ozone loss), were studied across nine stations in Antarctica using the Microwave Limb Sounder (MLS) instrument onboard the satellite Aura. The satellite observations were corrected using in situ ozonesonde observations to quantify the saturated ozone loss between 2004 and 2020. The analysis shows that at some stations the original MLS observations underestimated the number of loss events by 5-10%, however, at other stations they were overestimated by the same margin. A couple of stations showed a very good match between the original and corrected MLS data. Irrespective of the bias, the number of loss events decreased gradually from 2004 to 2013 suggesting a recovering trend. After 2013, no significant trend is visible, with large variation seen for especially between 2015 and 2019. The interannual variation was strongly coupled to the temperature, highlighting the key role that polar stratospheric clouds play in causing saturated ozone loss.</t>
  </si>
  <si>
    <t>[Hulswar, Shrivardhan; Mahajan, Anoop S.] Indian Inst Trop Meteorol, Ctr Climate Change Res CCCR, Dr Homi Bhabha Rd, Pune 411008, India; [Mohite, Prajakta] Savitribai Phule Pune Univ, Pune 411016, India</t>
  </si>
  <si>
    <t>Ministry of Earth Sciences (MoES) - India; Indian Institute of Tropical Meteorology (IITM); Savitribai Phule Pune University</t>
  </si>
  <si>
    <t>Mahajan, AS (corresponding author), Indian Inst Trop Meteorol, Ctr Climate Change Res CCCR, Dr Homi Bhabha Rd, Pune 411008, India.</t>
  </si>
  <si>
    <t>anoop@tropmet.res.in</t>
  </si>
  <si>
    <t>Hulswar, Shrivardhan/GMW-4749-2022; Mahajan, Anoop/D-2714-2012</t>
  </si>
  <si>
    <t>Hulswar, Shrivardhan/0000-0002-1346-9823; Mohite, Prajakta/0000-0002-2939-5451; Mahajan, Anoop/0000-0002-2909-5432</t>
  </si>
  <si>
    <t>Ministry of Earth Sciences (MOES) , Government of India</t>
  </si>
  <si>
    <t>Ministry of Earth Sciences (MOES) , Government of India(Ministry of Earth Science (MoES), Government of India)</t>
  </si>
  <si>
    <t>IITM is funded by the Ministry of Earth Sciences (MOES) , Government of India. We are particularly grateful to the many researchers involved in the ozonesonde datasets at all the nine stations considered in this study along with the researchers working on the MLS ozone retrievals.</t>
  </si>
  <si>
    <t>10.1016/j.polar.2022.100860</t>
  </si>
  <si>
    <t>4X6QX</t>
  </si>
  <si>
    <t>WOS:000860965700003</t>
  </si>
  <si>
    <t>Coronato, A; Borromei, AM; Ponce, JF; Candel, S; Musotto, L; Fernández, M; Laprida, C; Mehl, A; Montes, A; San Martín, C; Savoretti, A; Cusminsky, G; Gordillo, S; Orgeira, MJ; López, R; Alli, P; Quiroga, D</t>
  </si>
  <si>
    <t>Coronato, Andrea; Maria Borromei, Ana; Federico Ponce, Juan; Candel, Soledad; Musotto, Lorena; Fernandez, Marilen; Laprida, Cecilia; Mehl, Adriana; Montes, Alejandro; San Martin, Cristina; Savoretti, Adolfina; Cusminsky, Gabriela; Gordillo, Sandra; Julia Orgeira, Maria; Lopez, Ramiro; Alli, Pamela; Quiroga, Diego</t>
  </si>
  <si>
    <t>Holocene environmental changes in the fuegian forest and steppe, Argentina</t>
  </si>
  <si>
    <t>JOURNAL OF SOUTH AMERICAN EARTH SCIENCES</t>
  </si>
  <si>
    <t>Late Quaternary; Southern Patagonia; Environmental variability; Southern hemisphere westerlies; Terrestrial and marine environments</t>
  </si>
  <si>
    <t>TIERRA-DEL-FUEGO; LAGUNA POTROK-AIKE; LOS ESTADOS 54.4-DEGREES-S; SOUTHERN SOUTH-AMERICA; BEAGLE CHANNEL; POSTGLACIAL VEGETATION; LATE PLEISTOCENE; LATE QUATERNARY; GLACIER FLUCTUATIONS; PALEOENVIRONMENTAL RECONSTRUCTION</t>
  </si>
  <si>
    <t>Environmental changes were reconstructed from a multiproxy synthesis of over 30 localities from the Isla Grande de Tierra del Fuego and Isla de los Estados, southernmost South America. At a local scale, the results from the mountain forest and gently undulating steppe areas were integrated as well as those from the marine environ-ments of the Beagle Channel and the Atlantic coasts. At a regional scale, the results were integrated with those published for the southernmost Andean and Extra-Andean Patagonia and the Antarctic Peninsula. This study focuses on the environmental evolution during the Late Glacial-Holocene transition, the Middle to Late Holocene transgressive-regressive hemicycle and wet-dry oscillations, the Medieval Climate Anomaly, the Little Ice Age, the tephra inputs from the Patagonian Andes, and the recent climatic warming. Most paleoenvironmental changes are related to variations in the latitudinal position and intensity of the Southern Westerly Winds (SWW) while others are associated with astronomical or endogenous forcings. At a strong intensity of the SWW, a greater contribution of humidity to the forest areas and an increase in the rainfall gradient create windy and arid conditions in the steppe. At a weak intensity of the SWW, lower humidity input in the forest areas and the advection of air masses from the Atlantic Ocean promoted humid and slightly windy conditions in the steppe. Similar environmental trends are observed between terrestrial and marine environments in the center and south of Tierra del Fuego, Isla de los Estados and the Antarctic Peninsula, and between the Fuegian steppe and Extra -Andean Patagonia. The paleoclimatic evidence reveal high environmental variability in the last 10,000 years for this sector of the Southern Hemisphere.</t>
  </si>
  <si>
    <t>[Coronato, Andrea; Federico Ponce, Juan; Candel, Soledad; Fernandez, Marilen; Montes, Alejandro; San Martin, Cristina; Savoretti, Adolfina; Lopez, Ramiro; Alli, Pamela; Quiroga, Diego] CONICET CADIC, B Houssay 200,V9410BWB, Ushuaia, Argentina; [Coronato, Andrea; Federico Ponce, Juan; Montes, Alejandro; San Martin, Cristina; Savoretti, Adolfina; Quiroga, Diego] ICPA UNTDF, Walanika 250,V9410BWB, Ushuaia, Argentina; [Maria Borromei, Ana; Musotto, Lorena] CONICET UNS INGEOSUR, Ave Alem 1253,Piso 2,B8000CPB, Bahia Blanca, Buenos Aires, Argentina; [Candel, Soledad; Alli, Pamela] IDEI UNTDF, Walanika 250,V9410BWB, Ushuaia, Argentina; [Laprida, Cecilia] CONICET UBA IDEAN, Intendente Guiraldes 2160 Pabellon 2,Piso 2, Buenos Aires, DF, Argentina; [Mehl, Adriana] CONICET INCITAP, Uruguay 151,L6300CLB, Santa Rosa, Argentina; [Cusminsky, Gabriela] CONICET UNCOMA INIBIOMA, Quintral 1250, RA-8400 San Carlos De Bariloche, Rio Negro, Argentina; [Gordillo, Sandra] CONICET UNCo IDACOR, Avda Hipolito Yrigoyen 174,X5000JHO, Cordoba, Argentina; [Julia Orgeira, Maria] CONICET UBA IGEBA, Intendente Guiraldes 2160 Pabellon 2,Piso 1, Buenos Aires, DF, Argentina</t>
  </si>
  <si>
    <t>Consejo Nacional de Investigaciones Cientificas y Tecnicas (CONICET)</t>
  </si>
  <si>
    <t>Coronato, A (corresponding author), CONICET CADIC, B Houssay 200,V9410BWB, Ushuaia, Argentina.</t>
  </si>
  <si>
    <t>andrea.coronato@conicet.gov.ar</t>
  </si>
  <si>
    <t>Montes, aLEJANDRO/HHS-2220-2022</t>
  </si>
  <si>
    <t>San Martin, Cristina Natalia/0000-0003-0607-2438; Coronato, Andrea/0000-0002-2460-9959; Musotto, Lorena Laura/0000-0002-5559-5860</t>
  </si>
  <si>
    <t>0895-9811</t>
  </si>
  <si>
    <t>1873-0647</t>
  </si>
  <si>
    <t>J S AM EARTH SCI</t>
  </si>
  <si>
    <t>J. South Am. Earth Sci.</t>
  </si>
  <si>
    <t>10.1016/j.jsames.2022.103952</t>
  </si>
  <si>
    <t>4W2FA</t>
  </si>
  <si>
    <t>WOS:000859980200001</t>
  </si>
  <si>
    <t>Storer, BA; Buzzicotti, M; Khatri, H; Griffies, SM; Aluie, H</t>
  </si>
  <si>
    <t>Storer, Benjamin A.; Buzzicotti, Michele; Khatri, Hemant; Griffies, Stephen M.; Aluie, Hussein</t>
  </si>
  <si>
    <t>Global energy spectrum of the general oceanic circulation</t>
  </si>
  <si>
    <t>LOW-FREQUENCY VARIABILITY; SEA-SURFACE HEIGHT; KINETIC-ENERGY; GEOSTROPHIC TURBULENCE; SUBMESOSCALE; WAVE; SEASONALITY; MESOSCALE; RESOLUTION; CASCADES</t>
  </si>
  <si>
    <t>Advent of satellite altimetry brought into focus the pervasiveness of mesoscale eddies O(100) km in size, which are the ocean's analogue of weather systems and are often regarded as the spectral peak of kinetic energy (KE). Yet, understanding of the ocean's spatial scales has been derived mostly from Fourier analysis in small representative regions that cannot capture the vast dynamic range at planetary scales. Here, we use a coarse-graining method to analyze scales much larger than what had been possible before. Spectra spanning over three decades of length-scales reveal the Antarctic Circumpolar Current as the spectral peak of the global extra-tropical circulation, at approximate to 10(4) km, and a previously unobserved power-law scaling over scales larger than 10(3) km. A smaller spectral peak exists at approximate to 300 km associated with mesoscales, which, due to their wider spread in wavenumber space, account for more than 50% of resolved surface KE globally. Seasonal cycles of length-scales exhibit a characteristic lag-time of approximate to 40 days per octave of length-scales such that in both hemispheres, KE at 10(2) km peaks in spring while KE at 10(3) km peaks in late summer. These results provide a new window for understanding the multiscale oceanic circulation within Earth's climate system, including the largest planetary scales.</t>
  </si>
  <si>
    <t>[Storer, Benjamin A.; Aluie, Hussein] Univ Rochester, Dept Mech Engn, Rochester, NY 14627 USA; [Storer, Benjamin A.; Aluie, Hussein] Univ Rochester, Lab Laser Energet, Rochester, NY 14627 USA; [Buzzicotti, Michele] Univ Roma Tor Vergata, Dept Phys, Rome, Italy; [Buzzicotti, Michele] Ist Nazl Fis Nucl, Rome, Italy; [Khatri, Hemant] Univ Liverpool, Dept Earth Ocean &amp; Ecol Sci, Liverpool, Merseyside, England; [Griffies, Stephen M.] NOAA, Geophys Fluid Dynam Lab, Princeton, NJ USA; [Griffies, Stephen M.] Princeton Univ, Atmospher &amp; Ocean Sci Program, Princeton, NJ 08544 USA</t>
  </si>
  <si>
    <t>University of Rochester; University of Rochester; University of Rome Tor Vergata; Istituto Nazionale di Fisica Nucleare (INFN); University of Liverpool; National Oceanic Atmospheric Admin (NOAA) - USA; National Oceanic Atmospheric Admin (NOAA) - USA; Princeton University</t>
  </si>
  <si>
    <t>Aluie, H (corresponding author), Univ Rochester, Dept Mech Engn, Rochester, NY 14627 USA.;Aluie, H (corresponding author), Univ Rochester, Lab Laser Energet, Rochester, NY 14627 USA.</t>
  </si>
  <si>
    <t>hussein@rochester.edu</t>
  </si>
  <si>
    <t>Griffies, Stephen Matthew/N-9144-2019; ALUIE, HUSSEIN/AAY-1147-2021; Buzzicotti, Michele/GXV-0332-2022; Storer, Benjamin/AAT-4902-2021</t>
  </si>
  <si>
    <t>Griffies, Stephen Matthew/0000-0002-3711-236X; Buzzicotti, Michele/0000-0002-7162-5038; Storer, Benjamin/0000-0001-5955-2158; Khatri, Hemant/0000-0001-6559-9059; Aluie, Hussein/0000-0003-3516-3697</t>
  </si>
  <si>
    <t>US NASA [80NSSC18K0772]; NSF [PHY-2020249, PHY-2206380, OCE-2123496]; US DOE [DE-SC0014318, DE-SC0020229, DE-SC0019329]; US NNSA [DENA0003856, DE-NA0003914]; UK NERC [NE/T013494/1]; NERSC [DE-AC02-05CH11231]; European Research Council (ERC) under the European Union [882340]; U.S. Department of Energy (DOE) [DE-SC0019329, DE-SC0020229, DE-SC0014318] Funding Source: U.S. Department of Energy (DOE)</t>
  </si>
  <si>
    <t>US NASA(National Aeronautics &amp; Space Administration (NASA)); NSF(National Science Foundation (NSF)); US DOE(United States Department of Energy (DOE)); US NNSA; UK NERC(UK Research &amp; Innovation (UKRI)Natural Environment Research Council (NERC)); NERSC; European Research Council (ERC) under the European Union(European Research Council (ERC)); U.S. Department of Energy (DOE)(United States Department of Energy (DOE))</t>
  </si>
  <si>
    <t>We thank D. Balwada, M. Jansen, S. Rai, and B. Reichl for valuable discussions and comments. We also thank B. Qiu for kindly sharing the data used in Fig. 4. This research was funded by US NASA grant 80NSSC18K0772 and NSF grant OCE-2123496. H.A. was also supported by US DOE grants DE-SC0014318, DE-SC0020229, DE-SC0019329, NSF grants PHY-2020249, PHY-2206380, and US NNSA grants DENA0003856, DE-NA0003914. H.K. acknowledges the support from UK NERC grant NE/T013494/1. Computing time was provided by NERSC under Contract No. DE-AC02-05CH11231 and NASA's HEC Programme through NCCS at Goddard Space Flight Centre. This work was also supported by the European Research Council (ERC) under the European Union's Horizon 2020 research and innovation programme (Grant Agreement No. 882340).</t>
  </si>
  <si>
    <t>10.1038/s41467-022-33031-3</t>
  </si>
  <si>
    <t>4M3BV</t>
  </si>
  <si>
    <t>WOS:000853200800007</t>
  </si>
  <si>
    <t>Zhang, JJ; Luo, YY; Jing, WD; Wu, DX</t>
  </si>
  <si>
    <t>Zhang, Jinjuan; Luo, Yiyong; Jing, Wandi; Wu, Dexing</t>
  </si>
  <si>
    <t>Volume Budget of Antarctic Intermediate Water in the Southern Ocean from an Eddy-Resolving Ocean Simulation</t>
  </si>
  <si>
    <t>ATMOSPHERE-OCEAN</t>
  </si>
  <si>
    <t>Antarctic Intermediate Water; volume budget; transformation rate; air-sea buoyancy fluxes; long-term trend</t>
  </si>
  <si>
    <t>MODE WATER; MASS TRANSFORMATION; SEA-ICE; TRENDS; TEMPERATURE; VARIABILITY; CIRCULATION; SURFACE</t>
  </si>
  <si>
    <t>The volume budget of Antarctic Intermediate Water (AAIW) in the Southern Ocean was examined using a 0.1 degrees ocean model output, from 1955 to 2017. Results show that AAIW volume has significant seasonal variation, with the maximum volume occurring in September and the minimum volume occurring in March, as a result of air-sea buoyancy fluxes. Comparing the AAIW on an interannual time scale, the volume appears to be driven by interior diapycnal mixing and air-sea buoyancy fluxes. While the diapycnal mixing dominates the interannual variation of AAIW in the Indian Ocean, the air-sea formation dominates the interannual variation of AAIW in the Pacific Ocean. The AAIW volume in the Southern Ocean decreased by approximately 7.2% from 1955 to 2017, due to a consistent increase of oceanic buoyancy gain over the outcropping area around 27.1 kg m(-3) and, thus, more AAIW being transformed into lighter water.</t>
  </si>
  <si>
    <t>[Zhang, Jinjuan; Luo, Yiyong; Jing, Wandi; Wu, Dexing] Ocean Univ China, Frontier Sci Ctr Deep Ocean Multispheres &amp; Earth, Qingdao, Peoples R China; [Zhang, Jinjuan; Luo, Yiyong; Jing, Wandi; Wu, Dexing] Ocean Univ China, Phys Oceanog Lab, Qingdao, Peoples R China; [Luo, Yiyong; Wu, Dexing] Qingdao Natl Lab Marine Sci &amp; Technol, Qingdao, Peoples R China</t>
  </si>
  <si>
    <t>Ocean University of China; Ocean University of China; Laoshan Laboratory</t>
  </si>
  <si>
    <t>Luo, YY (corresponding author), Ocean Univ China, Frontier Sci Ctr Deep Ocean Multispheres &amp; Earth, Qingdao, Peoples R China.;Luo, YY (corresponding author), Ocean Univ China, Phys Oceanog Lab, Qingdao, Peoples R China.;Luo, YY (corresponding author), Qingdao Natl Lab Marine Sci &amp; Technol, Qingdao, Peoples R China.</t>
  </si>
  <si>
    <t>yiyongluo@ouc.edu.cn</t>
  </si>
  <si>
    <t>National Natural Science Foundation of China [41676002,41976006]</t>
  </si>
  <si>
    <t>This work was supported by National Natural Science Foundation of China: [Grant Number 41676002,41976006].</t>
  </si>
  <si>
    <t>0705-5900</t>
  </si>
  <si>
    <t>1480-9214</t>
  </si>
  <si>
    <t>ATMOS OCEAN</t>
  </si>
  <si>
    <t>Atmos.-Ocean</t>
  </si>
  <si>
    <t>MAR 15</t>
  </si>
  <si>
    <t>10.1080/07055900.2022.2118568</t>
  </si>
  <si>
    <t>A1RU7</t>
  </si>
  <si>
    <t>WOS:000851620900001</t>
  </si>
  <si>
    <t>Ansmann, A; Ohneiser, K; Chudnovsky, A; Knopf, DA; Eloranta, EW; Villanueva, D; Seifert, P; Radenz, M; Barja, B; Zamorano, F; Jimenez, C; Engelmann, R; Baars, H; Griesche, H; Hofer, J; Althausen, D; Wandinger, U</t>
  </si>
  <si>
    <t>Ansmann, Albert; Ohneiser, Kevin; Chudnovsky, Alexandra; Knopf, Daniel A.; Eloranta, Edwin W.; Villanueva, Diego; Seifert, Patric; Radenz, Martin; Barja, Boris; Zamorano, Felix; Jimenez, Cristofer; Engelmann, Ronny; Baars, Holger; Griesche, Hannes; Hofer, Julian; Althausen, Dietrich; Wandinger, Ulla</t>
  </si>
  <si>
    <t>Ozone depletion in the Arctic and Antarctic stratosphere induced by wildfire smoke</t>
  </si>
  <si>
    <t>AMORPHOUS ORGANIC AEROSOL; LONG-RANGE TRANSPORT; MICROPHYSICAL PROPERTIES; HETEROGENEOUS OXIDATION; CHLORINE ACTIVATION; RADIATIVE IMPACTS; PINATUBO ERUPTION; UPPER TROPOSPHERE; SULFATE AEROSOL; CENTRAL-EUROPE</t>
  </si>
  <si>
    <t>A record-breaking stratospheric ozone loss was observed over the Arctic and Antarctica in 2020. Strong ozone depletion occurred over Antarctica in 2021 as well. The ozone holes developed in smoke-polluted air. In this article, the impact of Siberian and Australian wildfire smoke (dominated by organic aerosol) on the extraordinarily strong ozone reduction is discussed. The study is based on aerosol lidar observations in the North Pole region (October 2019-May 2020) and over Punta Arenas in southern Chile at 53.2 degrees S (January 2020- November 2021) as well as on respective NDACC (Network for the Detection of Atmospheric Composition Change) ozone profile observations in the Arctic (Ny-Alesund) and Antarctica (Neumayer and South Pole stations) in 2020 and 2021. We present a conceptual approach on how the smoke may have influenced the formation of polar stratospheric clouds (PSCs), which are of key importance in the ozone-depleting processes. The main results are as follows: (a) the direct impact of wildfire smoke below the PSC height range (at 10-12 km) on ozone reduction seems to be similar to well-known volcanic sulfate aerosol effects. At heights of 10-12 km, smoke particle surface area (SA) concentrations of 5-7 mu m(2) cm(-3) (Antarctica, spring 2021) and 6-10 mu m(2) cm(-3 )(Arctic, spring 2020) were correlated with an ozone reduction in terms of ozone partial pressure of 0.4-1.2 mPa (about 30 % further ozone reduction over Antarctica) and of 2-3.5 mPa (Arctic, 20 %-30 % reduction with respect to the long-term springtime mean). (b) Within the PSC height range, we found indications that smoke was able to slightly increase the PSC particle number and surface area concentration. In particular, a smoke-related additional ozone loss of 1-2 mPa (10 %-20 % contribution to the total ozone loss over Antarctica) was observed in the 14-23 km PSC height range in September-October 2020 and 2021. Smoke particle number concentrations ranged from 10 to 100 cm(-3) and were about a factor of 10 (in 2020) and 5 (in 2021) above the stratospheric aerosol background level. Satellite observations indicated an additional mean column ozone loss (deviation from the long-term mean) of 26-30 Dobson units (9 %-10 %, September 2020, 2021) and 52-57 Dobson units (17 %20 %, October 2020, 2021) in the smoke-polluted latitudinal Antarctic belt from 70-80 degrees S.</t>
  </si>
  <si>
    <t>[Ansmann, Albert; Ohneiser, Kevin; Seifert, Patric; Radenz, Martin; Jimenez, Cristofer; Engelmann, Ronny; Baars, Holger; Griesche, Hannes; Hofer, Julian; Althausen, Dietrich; Wandinger, Ulla] Leibniz Inst Tropospher Res, Leipzig, Germany; [Chudnovsky, Alexandra] Tel Aviv Univ, Porter Sch Environm &amp; Earth Sci, Tel Aviv, Israel; [Knopf, Daniel A.] SUNY Stony Brook, Sch Marine &amp; Atmospher Sci, Stony Brook, NY 11794 USA; [Eloranta, Edwin W.] Univ Wisconsin, Space Sci &amp; Engn Ctr, Madison, WI USA; [Villanueva, Diego] Swiss Fed Inst Technol, Inst Atmospher &amp; Climate Sci, Zurich, Switzerland; [Barja, Boris; Zamorano, Felix] Univ Magallanes, Atmospher Res Lab, Punta Arenas, Chile</t>
  </si>
  <si>
    <t>Leibniz Institut fur Tropospharenforschung (TROPOS); Tel Aviv University; State University of New York (SUNY) System; State University of New York (SUNY) Stony Brook; University of Wisconsin System; University of Wisconsin Madison; Swiss Federal Institutes of Technology Domain; ETH Zurich; Universidad de Magallanes</t>
  </si>
  <si>
    <t>Ansmann, A (corresponding author), Leibniz Inst Tropospher Res, Leipzig, Germany.</t>
  </si>
  <si>
    <t>albert@tropos.de</t>
  </si>
  <si>
    <t>Wandinger, Ulla/E-3348-2014; Knopf, Daniel A/F-2040-2011; Baars, Holger/I-3308-2015; Jiménez, Cristofer/KGL-9661-2024; Ansmann, Albert/JFR-9982-2023; Seifert, Patric/D-2448-2014; Hofer, Julian/JBR-9629-2023; Barja, Boris/F-5354-2012</t>
  </si>
  <si>
    <t>Wandinger, Ulla/0000-0003-3676-9121; Knopf, Daniel A/0000-0001-7732-3922; Baars, Holger/0000-0002-2316-8960; Jiménez, Cristofer/0000-0002-2776-0339; Ansmann, Albert/0000-0001-5382-8440; Seifert, Patric/0000-0002-5626-3761; Radenz, Martin/0000-0002-7771-033X; Barja, Boris/0000-0002-8600-0815</t>
  </si>
  <si>
    <t>European Union [654109, 739530]; German Science Foundation (DFG) project PICNICC [408008112]; U.S. National Science Foundation [AGS-1446286]; U.S. Department of Energy, Office of Science (BER), Atmospheric System Research [DE-SC0021034]; international Multidisciplinary drifting Observatory for the Study of the Arctic Climate (MOSAiC) [AWI_PS122_00]; U.S. Department of Energy (DOE) [DE-SC0021034] Funding Source: U.S. Department of Energy (DOE)</t>
  </si>
  <si>
    <t>European Union(European Union (EU)); German Science Foundation (DFG) project PICNICC(German Research Foundation (DFG)); U.S. National Science Foundation(National Science Foundation (NSF)); U.S. Department of Energy, Office of Science (BER), Atmospheric System Research(United States Department of Energy (DOE)); international Multidisciplinary drifting Observatory for the Study of the Arctic Climate (MOSAiC); U.S. Department of Energy (DOE)(United States Department of Energy (DOE))</t>
  </si>
  <si>
    <t>The authors acknowledge support through the European Research Infrastructure for the observation of Aerosol, Clouds and Trace Gases ACTRIS (grant agreement nos. 654109 and 739530) from the European Union's Horizon 2020 Research and Innovation programme. The field observations at Punta Arenas were partly funded by the German Science Foundation (DFG) project PICNICC (project no. 408008112). This research has been supported by the U.S. National Science Foundation (grant no. AGS-1446286) and the U.S. Department of Energy, Office of Science (BER), Atmospheric System Research (grant no. DE-SC0021034). The Polarstern Polly data were produced as part of the international Multidisciplinary drifting Observatory for the Study of the Arctic Climate (MOSAiC) with the tag MOSAiC20192020 and Project ID AWI_PS122_00.</t>
  </si>
  <si>
    <t>10.5194/acp-22-11701-2022</t>
  </si>
  <si>
    <t>4J6PA</t>
  </si>
  <si>
    <t>WOS:000851385800001</t>
  </si>
  <si>
    <t>Yang, G; Atkinson, A; Pakhomov, EA; Hill, SL; Racault, MF</t>
  </si>
  <si>
    <t>Yang, Guang; Atkinson, Angus; Pakhomov, Evgeny A.; Hill, Simeon L.; Racault, Marie-Fanny</t>
  </si>
  <si>
    <t>Massive circumpolar biomass of Southern Ocean zooplankton: Implications for food web structure, carbon export, and marine spatial planning</t>
  </si>
  <si>
    <t>LIMNOLOGY AND OCEANOGRAPHY</t>
  </si>
  <si>
    <t>CALANOIDES-ACUTUS COPEPODA; TO-CHLOROPHYLL RATIO; SALP FECAL PELLETS; EUPHAUSIA-SUPERBA; SCOTIA SEA; ANTARCTIC KRILL; PHYTOPLANKTON; DYNAMICS; ECOLOGY; IRON</t>
  </si>
  <si>
    <t>With rapid, sector-specific climatic changes impacting the Southern Ocean, we need circumpolar-scale biomass data of its plankton taxa to improve food web models, blue carbon budgets and resource management. Here, we provide a new dataset on mesozooplankton biomass with 2909 records spanning the last 90 yr, and describe, in comparable carbon units, their circumpolar distribution alongside those of phytoplankton, Antarctic krill, and salps. With our datasets, we estimate total summer carbon biomasses for phytoplankton (36 MT), mesozooplankton (67 MT), krill (30 MT), and salps (1.7 MT). The mesozooplankton value is much higher than previously reported and, added to that of krill and salps, points to an enormous overall biomass of zooplankton in the Southern Ocean. This means that the pyramids of biomass are often inverted, with higher biomass of zooplankton than of phytoplankton. Such high biomasses suggest key roles of grazers in nutrient cycling and we estimate an export of -similar to 50 Mt C yr(-1), solely from mortality of overwintering zooplankton that typically reside at depth. Deep lipid respiration (the lipid pump), for example, would increase this export even further. While inverted biomass pyramids prevailed at mid latitudes (50 degrees-70 degrees S), the balance of taxa differed regionally: for example, with biomass dominance by phytoplankton (highest latitudes and Pacific sector), mesozooplankton (Kerguelen Plateau), krill (north and east Scotia Sea), and salps (Crozet area). In light of contrasting climate change impacts between these sectors, we provide data that will underpin biogeochemical and food web models, blue carbon budgets, and the planning of marine protected areas.</t>
  </si>
  <si>
    <t>[Yang, Guang] Chinese Acad Sci, Inst Oceanol, Key Lab Marine Ecol &amp; Environm Sci, Qingdao, Peoples R China; [Yang, Guang] Qingdao Natl Lab Marine Sci &amp; Technol, Lab Marine Ecol &amp; Environm Sci, Qingdao, Peoples R China; [Yang, Guang] Chinese Acad Sci, Ctr Ocean Megasci, Qingdao, Peoples R China; [Atkinson, Angus] Plymouth Marine Lab, Plymouth, Devon, England; [Pakhomov, Evgeny A.] Univ British Columbia, Dept Earth Ocean &amp; Atmospher Sci, Vancouver, BC, Canada; [Pakhomov, Evgeny A.] Univ British Columbia, Inst Oceans &amp; Fisheries, Vancouver, BC, Canada; [Pakhomov, Evgeny A.] Hakai Inst, Campbell River, BC, Canada; [Hill, Simeon L.] British Antarctic Survey, Cambridge, England; [Racault, Marie-Fanny] Univ East Anglia, Sch Environm Sci, Norwich, Norfolk, England</t>
  </si>
  <si>
    <t>Chinese Academy of Sciences; Institute of Oceanology, CAS; Laoshan Laboratory; Chinese Academy of Sciences; Plymouth Marine Laboratory; University of British Columbia; University of British Columbia; Hakai Institute; UK Research &amp; Innovation (UKRI); Natural Environment Research Council (NERC); NERC British Antarctic Survey; University of East Anglia</t>
  </si>
  <si>
    <t>Yang, G (corresponding author), Chinese Acad Sci, Inst Oceanol, Key Lab Marine Ecol &amp; Environm Sci, Qingdao, Peoples R China.;Yang, G (corresponding author), Qingdao Natl Lab Marine Sci &amp; Technol, Lab Marine Ecol &amp; Environm Sci, Qingdao, Peoples R China.;Yang, G (corresponding author), Chinese Acad Sci, Ctr Ocean Megasci, Qingdao, Peoples R China.</t>
  </si>
  <si>
    <t>yangguang@qdio.ac.cn</t>
  </si>
  <si>
    <t>Simeon, Hill L/B-2307-2008; Atkinson, Angus/HOH-3417-2023</t>
  </si>
  <si>
    <t>Racault, Marie-Fanny/0000-0002-7584-2515; Hill, Simeon/0000-0003-1441-8769; Yang, Guang/0000-0002-9410-0189</t>
  </si>
  <si>
    <t>National Science Foundation of China [41876217]; Impact and Response of Antarctic Seas to Climate Change [IRASCC 01-02-01D]; World Wide Fund for Nature (WWF); University of British Columbia; NSERC [RGPIN-2014-05107]; NERC; Frontiers of instability in marine ecosystems and carbon export (Marine Frontiers) [NE/V011103/1]; NERC [NE/V011103/1] Funding Source: UKRI</t>
  </si>
  <si>
    <t>National Science Foundation of China(National Natural Science Foundation of China (NSFC)); Impact and Response of Antarctic Seas to Climate Change; World Wide Fund for Nature (WWF); University of British Columbia; NSERC(Natural Sciences and Engineering Research Council of Canada (NSERC)); NERC(UK Research &amp; Innovation (UKRI)Natural Environment Research Council (NERC)); Frontiers of instability in marine ecosystems and carbon export (Marine Frontiers); NERC(UK Research &amp; Innovation (UKRI)Natural Environment Research Council (NERC))</t>
  </si>
  <si>
    <t>This study is based on a large amount of biomass data for zooplankton collected in Southern Ocean over the last 100years, and we thank all of the crews and scientists for making these data available for re-use here. G.Y. was supported by the National Science Foundation of China (41876217) and Impact and Response of Antarctic Seas to Climate Change (IRASCC 01-02-01D). A.A. was supported by World Wide Fund for Nature (WWF), E.A.P. was supported by the University of British Columbia and the NSERC Discovery Grant RGPIN-2014-05107, S.H. was supported by WWF and NERC Core Funding to the British Antarctic Survey, M.F.R. was supported by WWF and Frontiers of instability in marine ecosystems and carbon export (Marine Frontiers) [NE/V011103/1]. The authors welcome use of the mesozooplankton dataset in Supporting Information Data S1, but please consult the Supporting Information Data S2 for a description of the column headings, and please cite this paper as the original source of this particular dataset.</t>
  </si>
  <si>
    <t>0024-3590</t>
  </si>
  <si>
    <t>1939-5590</t>
  </si>
  <si>
    <t>LIMNOL OCEANOGR</t>
  </si>
  <si>
    <t>Limnol. Oceanogr.</t>
  </si>
  <si>
    <t>10.1002/lno.12219</t>
  </si>
  <si>
    <t>Limnology; Oceanography</t>
  </si>
  <si>
    <t>Marine &amp; Freshwater Biology; Oceanography</t>
  </si>
  <si>
    <t>6A3NM</t>
  </si>
  <si>
    <t>WOS:000851616900001</t>
  </si>
  <si>
    <t>Vázquez, M; Nieto, R; Liberato, MLR; Gimeno, L</t>
  </si>
  <si>
    <t>Vazquez, Marta; Nieto, Raquel; Liberato, Margarida L. R.; Gimeno, Luis</t>
  </si>
  <si>
    <t>Influence of teleconnection patterns on global moisture transport during peak precipitation month</t>
  </si>
  <si>
    <t>global moisture sources; Lagrangian analysis; peak precipitation; teleconnection patterns</t>
  </si>
  <si>
    <t>NINO-SOUTHERN OSCILLATION; EL-NINO; ATMOSPHERIC BRANCH; SEASON PRECIPITATION; CLIMATE VARIABILITY; LAGRANGIAN ANALYSIS; ARCTIC OSCILLATION; TROPICAL ATLANTIC; EXTREME EVENTS; SUMMER MONSOON</t>
  </si>
  <si>
    <t>Teleconnection patterns are an important feature influencing the variability of moisture transport. This study explores the influence of the Arctic, Antarctic, Pacific-North American, and El Nino-Southern Oscillations on moisture transport from major oceanic and continental moisture sources during the peak precipitation month. The positive phase of the Pacific-North American teleconnection pattern increases the influence of Pacific Ocean moisture on western North America, while the negative phase increases the influence of Atlantic Ocean moisture over eastern North America, with differences between phases higher than 1.5 mm center dot day(-1) over most of the area when the sources are the preferred. The positive phase of the Arctic Oscillation increases the importance of the Mediterranean as a source of moisture for western Europe while the negative phase increases the importance of the North Atlantic as a source with contribution increased in more than 2 mm center dot day(-1) over Europe. The positive phase of the Antarctic Oscillation favours the contribution from the western Indian basin over eastern Africa, while in the negative phase the contribution from the southern Pacific is increased over northwestern Africa. For El Nino-Southern Oscillation, the main influence occurs over South America during El Nino events, increasing the moisture contributions from the South Pacific Ocean over southern South America and from South Atlantic over southeastern Brazil. El Nino events also increase the moisture transport from the North Atlantic over western Europe and from the North Pacific over North America. In contrast, La Nina events increase moisture contributions from the Pacific over Central America and northern South America, being the latter the area when higher differences between phases are observed.</t>
  </si>
  <si>
    <t>[Vazquez, Marta; Nieto, Raquel; Gimeno, Luis] Univ Vigo, Ctr Invest Marina, Environm Phys Lab EPhysLab, Orense, Spain; [Liberato, Margarida L. R.] Univ Lisbon, Inst Dom Luiz, Lisbon, Portugal; [Liberato, Margarida L. R.] Univ Tras Os Montes &amp; Alto Douro, Escola Ciencias &amp; Tecnol, Vila Real, Portugal</t>
  </si>
  <si>
    <t>Universidade de Vigo; Universidade de Lisboa; University of Tras-os-Montes &amp; Alto Douro</t>
  </si>
  <si>
    <t>Vázquez, M (corresponding author), Univ Vigo, Campus Auga Bldg,Rua Canella Costa Vela 12, Orense 32004, Spain.</t>
  </si>
  <si>
    <t>martavazquez@uvigo.es</t>
  </si>
  <si>
    <t>Vazquez, Marta/AAA-6571-2019; Liberato, Margarida L. R./B-2348-2010; GIMENO, LUIS/B-8137-2008; Nieto, Raquel/AAT-8925-2020</t>
  </si>
  <si>
    <t>Vazquez, Marta/0000-0003-0505-1918; Liberato, Margarida L. R./0000-0002-6677-9366; Nieto, Raquel/0000-0002-8984-0959; GIMENO, LUIS/0000-0002-0778-3605</t>
  </si>
  <si>
    <t>Fundacao para a Ciencia e a Tecnologia, Portugal (FCT); Portugal Horizon 2020 [PTDC/CTA-MET/29233/2017, LISBOA01-0145-FEDER-029233, NORTE01-0145-FEDER-029233]; Fundacion Carolina [C.2019]; Ministerio de Ciencia, Innovacion e Universidade [RTI2018-095772-B-I0O]; Xunta de Galicia [ED431C 2021/44, ED481B 2018/062, ED481D-2022-020]</t>
  </si>
  <si>
    <t>Fundacao para a Ciencia e a Tecnologia, Portugal (FCT)(Fundacao para a Ciencia e a Tecnologia (FCT)); Portugal Horizon 2020; Fundacion Carolina; Ministerio de Ciencia, Innovacion e Universidade; Xunta de Galicia(Xunta de Galicia)</t>
  </si>
  <si>
    <t>Fundacao para a Ciencia e a Tecnologia, Portugal (FCT) and Portugal Horizon 2020, Grant/Award Numbers: PTDC/CTA-MET/29233/2017, LISBOA01-0145-FEDER-029233, NORTE01-0145-FEDER-029233; Fundacion Carolina, Grant/Award Number: C.2019; Ministerio de Ciencia, Innovacion e Universidade, Grant/Award Number: RTI2018-095772-B-I0O; Xunta de Galicia, Grant/Award Numbers: ED431C 2021/44, ED481B 2018/062, ED481D-2022-020</t>
  </si>
  <si>
    <t>10.1002/joc.7843</t>
  </si>
  <si>
    <t>WOS:000852079100001</t>
  </si>
  <si>
    <t>Baines, M; Jackson, JA; Fielding, S; -Evans, VW; Reichelt, M; Lacey, C; Pinder, S; Trathan, PN</t>
  </si>
  <si>
    <t>Baines, Mick; Jackson, Jennifer A.; Fielding, Sophie; -Evans, Vicky Warwick; Reichelt, Maren; Lacey, Claire; Pinder, Simon; Trathan, Philip N.</t>
  </si>
  <si>
    <t>Ecological interactions between Antarctic krill (Euphausia superba) and baleen whales in the South Sandwich Islands region - Exploring predator-prey biomass ratios</t>
  </si>
  <si>
    <t>DEEP-SEA RESEARCH PART I-OCEANOGRAPHIC RESEARCH PAPERS</t>
  </si>
  <si>
    <t>Humpback whale; Baleen whale; Antarctic krill; Feeding rates; Carrying capacity; Southwest atlantic</t>
  </si>
  <si>
    <t>NEGATIVE SPATIAL AUTOCORRELATION; FORAGING BEHAVIOR; MEGAPTERA-NOVAEANGLIAE; STATISTICAL-MODELS; FIN WHALES; SEA-ICE; VARIABILITY; ABUNDANCE; OCEAN; SCALE</t>
  </si>
  <si>
    <t>Following the cessation of whaling, the southwest Atlantic humpback whale (Megaptera novaeangliae) population is thought to be close to pre-exploitation size, reversing 20th century changes in abundance. Using a model-based approach applied to concurrently collected data on baleen whale abundance and Antarctic krill (Euphausia superba) biomass in the South Sandwich Islands (SSI) region, we explore ecological interactions between these taxa. Krill biomass and baleen whale density were highest to the north and northeast of the SSI, where the Antarctic Circumpolar Current (ACC) is deflected around the island chain. Humpback whale density was elevated at locations of krill biomass density &gt; 150 gm(-2). Krill consumption by baleen whales was estimated at 19-29% of the available krill standing stock. We used historic whaling data to confirm the plausibility of these consumption rates and found evidence of rapid weight gain in humpback whales, such that blubber depleted during the breeding season could be restored in a much shorter period than previously assumed. Little is known about krill replenishment rates in the flow of the ACC, or about niche separation between recovering baleen whale populations; both factors may affect species carrying capacities and further monitoring will be required to inform the management of human activities in the region.</t>
  </si>
  <si>
    <t>[Baines, Mick; Reichelt, Maren] Wildscope, Los Helechos 49, El Cuarton, Cadiz 11380, Spain; [Jackson, Jennifer A.; Fielding, Sophie; -Evans, Vicky Warwick; Trathan, Philip N.] British Antarctic Survey, NERC, High Cross, Cambridge CB3 0ET, England; [Lacey, Claire] Univ Hawaii Manoa, Hawaii Inst Marine Biol, Marine Mammal Res Program, Honolulu, HI 96744 USA</t>
  </si>
  <si>
    <t>UK Research &amp; Innovation (UKRI); Natural Environment Research Council (NERC); NERC British Antarctic Survey; University of Hawaii System; University of Hawaii Manoa</t>
  </si>
  <si>
    <t>Baines, M (corresponding author), Wildscope, Los Helechos 49, El Cuarton, Cadiz 11380, Spain.</t>
  </si>
  <si>
    <t>mickbaines@wildscope.com</t>
  </si>
  <si>
    <t>Jackson, Jennifer A/E-7997-2013; Fielding, Sophie/E-5137-2012</t>
  </si>
  <si>
    <t>Baines, Mick/0000-0002-6728-2941; Jackson, Jennifer/0000-0003-4158-1924</t>
  </si>
  <si>
    <t>Government of South Georgia; South Sandwich Islands; Pew Charitable Trusts [PA00033395]</t>
  </si>
  <si>
    <t>Government of South Georgia; South Sandwich Islands; Pew Charitable Trusts</t>
  </si>
  <si>
    <t>This paper is a contribution to the British Antarctic Survey Ecosystems programme, part of UKRI. We are grateful to the Government of South Georgia and the South Sandwich Islands and the Pew Charitable Trusts (Grant PA00033395), who provided financial support to MB. We thank the maritime crew and scientific team on the RRS Discovery during the DY098 cruise for their indispensable roles in gathering the data. We are grateful to Phil Clapham and a second anonymous reviewer for their helpful comments on the first draft of this paper.Data archive (whale data): https://doi.org/10.5285/5F1E349B-6665-4617-9BF7-EE5C8CBCDD54.</t>
  </si>
  <si>
    <t>0967-0637</t>
  </si>
  <si>
    <t>1879-0119</t>
  </si>
  <si>
    <t>DEEP-SEA RES PT I</t>
  </si>
  <si>
    <t>Deep-Sea Res. Part I-Oceanogr. Res. Pap.</t>
  </si>
  <si>
    <t>10.1016/j.dsr.2022.103867</t>
  </si>
  <si>
    <t>5K0ZN</t>
  </si>
  <si>
    <t>WOS:000869462700002</t>
  </si>
  <si>
    <t>Kawsar, M; Manoj, MC; Weber, ME</t>
  </si>
  <si>
    <t>Kawsar, Masud; Manoj, M. C.; Weber, Michael E.</t>
  </si>
  <si>
    <t>Reconstructing dynamics of northern and southern sourced bottom waters during the last 200 ka using sortable silt records in the lower Bengal Fan</t>
  </si>
  <si>
    <t>ZEITSCHRIFT DER DEUTSCHEN GESELLSCHAFT FUR GEOWISSENSCHAFTEN</t>
  </si>
  <si>
    <t>sortable silt; Bay of Bengal; Bengal Fan; Atlantic Meridional Overturning Circulation (AMOC); hemipelagic deposits; bottom water; interglacial; glacial; end member analysis; current strength</t>
  </si>
  <si>
    <t>MERIDIONAL OVERTURNING CIRCULATION; INDIAN-OCEAN; DEEP-WATER; THERMOHALINE CIRCULATION; CLIMATE VARIABILITY; GRAIN-SIZE; INTERGLACIAL WARMTH; ISOTOPE COMPOSITION; NEODYMIUM ISOTOPES; OXYGEN ISOTOPES</t>
  </si>
  <si>
    <t>Mean Sortable Silt sic size records in the hemipelagic deposits at Site U1452 (IODP 354) in the lower Bengal Fan are presented here to reconstruct the bottom water circulation strengths in the Bay of Bengal (BoB) during the last 200 ka (Marine Isotopic Stage 1 to 6). To eliminate possible amplitude shifts in sic size due to terrestrial sediment flux or turbiditic interventions, sedimentation history at the site is decomposed using End Member Analysis (EMA). sic size record in the BoB is mostly unimpacted by the terrestrial sediment flux and turbidity current deposition; hence the size sorting signature in SS records is best described to have arisen from benthic boundary layer current intensity. sic size record in the BoB indicates reduced bottom water flow speed during glacials (MIS 2 and 6), concomitant with the greater import of Antarctic/Southern Ocean (SO) derived deep waters and increased speed during interglacials (MIS 1, 3 and 5) corresponding to an increased proportion of Northern Atlantic derived deep water mass in the northern Indian Ocean. Glacial and stadial decline in flow speed reflects on the density reversal between two deep water mass end members in the SO and a shoaled Atlantic meridional overturning circulation (AMOC). On the other hand, faster flow speed during the climate optima at MIS 5.5 and other warm substages of MIS 5 as well as during the Holocene present a deep and strong AMOC. Reduced bottom water circulation strength in the BoB during the MIS 5.5 to 5.4 transition might have contributed to atmospheric CO2 draw down and global cooling during the early stages of glacial inception along with deep circulation changes in the SO. Also, millennial-scale variability in circulation strength in the BoB is linked to oceanic frontal shift in high northern latitudes and deepwater formation manifesting in reduced flow strength associated with local cold anomalies (C28-C23), successively culminating into glacial inception at MIS 5.4. Reduced flow speed is also observed during some of the Heinrich events indicating a strong teleconnection between deep North Atlantic and BoB. Productivity changes in the BoB might as well have been influenced by variable fluxes of northern and southern sourced water mass during the last 200 ka.</t>
  </si>
  <si>
    <t>[Kawsar, Masud; Manoj, M. C.] Birbal Sahni Inst Palaeosci, 53 Univ Rd, Lucknow 226007, Uttar Pradesh, India; [Kawsar, Masud; Manoj, M. C.] Acad Sci &amp; Innovat Res, Chennai, India; [Weber, Michael E.] Univ Bonn, Inst Geosci, Dept Geochem &amp; Petrol, Meckenheimer Allee 169, D-53115 Bonn, Germany</t>
  </si>
  <si>
    <t>Department of Science &amp; Technology (India); Birbal Sahni Institute of Palaeobotany (BSIP); Academy of Scientific &amp; Innovative Research (AcSIR); University of Bonn</t>
  </si>
  <si>
    <t>Weber, ME (corresponding author), Univ Bonn, Inst Geosci, Dept Geochem &amp; Petrol, Meckenheimer Allee 169, D-53115 Bonn, Germany.</t>
  </si>
  <si>
    <t>masudkawsar@bsip.res.in; manoj_mc@bsip.res.in; mike.weber@uni-bonn.de</t>
  </si>
  <si>
    <t>Birbal Sahni Insti-tute of Palaeosciences (BSIP) , India; IODP-India [NCAOR/IODP/20.15/5]; Deutsche Forschungsgemeinschaft (DFG) [We2039/14-1]</t>
  </si>
  <si>
    <t>Birbal Sahni Insti-tute of Palaeosciences (BSIP) , India; IODP-India; Deutsche Forschungsgemeinschaft (DFG)(German Research Foundation (DFG))</t>
  </si>
  <si>
    <t>The authors are grateful to the Director, Birbal Sahni Insti-tute of Palaeosciences (BSIP) , India, for providing the sup-port and facilities extended. We acknowledge the support from IODP-India (Project No. NCAOR/IODP/20.15/5 (IV) ) . We are incredibly grateful to all IODP Expedition 354 scien-tists. This research used samples and/or data provided by the International Ocean Discovery Program (IODP) . We thank reviewer Bernhard Diekmann for his construc-tive criticism and help. M.E.W. was supported by the Deutsche Forschungsgemeinschaft (DFG - Priority Pro-gramme 527, Grant We2039/14-1. This is BSIP contribution No. 69/2021-2022.</t>
  </si>
  <si>
    <t>E SCHWEIZERBARTSCHE VERLAGSBUCHHANDLUNG</t>
  </si>
  <si>
    <t>STUTTGART</t>
  </si>
  <si>
    <t>NAEGELE U OBERMILLER, SCIENCE PUBLISHERS, JOHANNESSTRASSE 3A, D 70176 STUTTGART, GERMANY</t>
  </si>
  <si>
    <t>1860-1804</t>
  </si>
  <si>
    <t>1861-4094</t>
  </si>
  <si>
    <t>Z DTSCH GES GEOWISS</t>
  </si>
  <si>
    <t>Z. Dtsch. Ges. Geowiss.</t>
  </si>
  <si>
    <t>10.1127/zdgg/2022/0318</t>
  </si>
  <si>
    <t>X7IP5</t>
  </si>
  <si>
    <t>WOS:000864075700001</t>
  </si>
  <si>
    <t>Polyakov, V; Kartoziia, A; Nizamutdinov, T; Wang, WJ; Abakumov, E</t>
  </si>
  <si>
    <t>Polyakov, Vyacheslav; Kartoziia, Andrei; Nizamutdinov, Timur; Wang, Wenjuan; Abakumov, Evgeny</t>
  </si>
  <si>
    <t>Soil-geomorphological mapping of Samoylov Island based on UAV imaging</t>
  </si>
  <si>
    <t>FRONTIERS IN ENVIRONMENTAL SCIENCE</t>
  </si>
  <si>
    <t>Lena River Delta; Samoylov Island; remote sensing; UAV; soil-geomorphological map</t>
  </si>
  <si>
    <t>LENA RIVER DELTA; PERMAFROST-AFFECTED SOILS; ORGANIC-CARBON; PREDICTION; SIBERIA; BODIES; TUNDRA; STOCKS; SITE</t>
  </si>
  <si>
    <t>Soil-geomorphological mapping is a reliable tool for analyzing the patterns of soil distribution in various parts of Earth's surface. Cryogenic and watershed areas are the most dynamic landscapes with relatively rapid transformation under the influence of climate change and river activity. The soil-geomorphological map obtained by unmanned aerial vehicle (UAV) imaging, classical soil sections, geomorphological observation, and determination of the main chemical parameters of soils are presented. Mapping of the spatial distribution was performed using QGIS 3.22, SAGA GIS 7.9.1, and ArcGIS 10.6 software. The investigation of soil cover was performed according to WRB soil classification. From the obtained data, four types of soils were identified due to their position in the relief and chemical parameters. The dominant soil type is Folic Cryosol (Siltic) (41.1%) which is formed on the periglacial landscape of wet polygons on Samoylov Island. The application of high-resolution UAV imaging to construct soil-geomorphological maps is the most relevant method for analyzing soils formed in cryogenic, watershed, and mountainous landscapes. Based on SOC distribution, it was found that the highest SOC content corresponds to Holocene terrace (Cryosol and Histosol soil types), in areas that are not subject to the flooding process. According to the analysis of the chemical composition of soils, it was found that the main elements accumulating in the soil are SiO2, Al2O3, CaO, and K2O, which have a river origin. The soil-geomorphological maps can be used to analyze the reserves and contents of organic and inorganic components with high accuracy.</t>
  </si>
  <si>
    <t>[Polyakov, Vyacheslav; Nizamutdinov, Timur; Wang, Wenjuan; Abakumov, Evgeny] St Petersburg State Univ, Fac Biol, Dept Appl Ecol, St Petersburg, Russia; [Polyakov, Vyacheslav] Arctic &amp; Antarctic Res Inst, St Petersburg, Russia; [Kartoziia, Andrei] Russian Acad Sci, V S Sobolev Inst Geol &amp; Mineral, Siberian Branch, Novosibirsk, Russia; [Kartoziia, Andrei] Russian Acad Sci, Siberian Branch, A A Trofimuk Inst Petr Geol &amp; Geophys, Novosibirsk, Russia; [Kartoziia, Andrei] Novosibirsk State Univ, Dept Geol &amp; Geophys, Novosibirsk, Russia</t>
  </si>
  <si>
    <t>Saint Petersburg State University; Arctic &amp; Antarctic Research Institute; Russian Academy of Sciences; Russian Academy of Sciences; Novosibirsk State University</t>
  </si>
  <si>
    <t>Polyakov, V (corresponding author), St Petersburg State Univ, Fac Biol, Dept Appl Ecol, St Petersburg, Russia.;Polyakov, V (corresponding author), Arctic &amp; Antarctic Res Inst, St Petersburg, Russia.</t>
  </si>
  <si>
    <t>slavon6985@gmail.com</t>
  </si>
  <si>
    <t>Abakumov, Evgeny/AAO-8580-2020; Nizamutdinov, Timur/AAA-9686-2021; Kartoziia, Andrei/C-2854-2016; Abakumov, e_abakumov@mail.ru/ADJ-1297-2022; Wang, wenjuan/HIR-3631-2022; Polyakov, Vyacheslav/H-5483-2016</t>
  </si>
  <si>
    <t>Abakumov, Evgeny/0000-0002-5248-9018; Nizamutdinov, Timur/0000-0003-2600-5494; Kartoziia, Andrei/0000-0001-6120-788X; Abakumov, e_abakumov@mail.ru/0000-0002-5248-9018; Wang, wenjuan/0000-0002-9173-3028;</t>
  </si>
  <si>
    <t>Ministry of Science and Higher Education of the Russian Federation; creation and development of a World-class Scientific Center Agrotechnologies for the Future, [075-15-2022-322]</t>
  </si>
  <si>
    <t>Ministry of Science and Higher Education of the Russian Federation; creation and development of a World-class Scientific Center Agrotechnologies for the Future,</t>
  </si>
  <si>
    <t>This work was supported by the Ministry of Science and Higher Education of the Russian Federation in accordance with agreement No. 075-15-2022-322 date 22.04.2022 on providing a grant in the form of subsidies from the Federal budget of Russian Federation. The grant was provided for state support for the creation and development of a World-class Scientific Center Agrotechnologies for the Future, and this work was carried out on the state assignment of VS Sobolev Institute of Geology and Mineralogy, Siberian Branch of the Russian Academy of Sciences.</t>
  </si>
  <si>
    <t>2296-665X</t>
  </si>
  <si>
    <t>FRONT ENV SCI-SWITZ</t>
  </si>
  <si>
    <t>Front. Environ. Sci.</t>
  </si>
  <si>
    <t>SEP 8</t>
  </si>
  <si>
    <t>10.3389/fenvs.2022.948367</t>
  </si>
  <si>
    <t>4W5LX</t>
  </si>
  <si>
    <t>WOS:000860205000001</t>
  </si>
  <si>
    <t>Guajardo-Leiva, S; Alarcon, J; Gutzwiller, F; Gallardo-Cerda, J; Acuna-Rodriguez, IS; Molina-Montenegro, M; Crandall, KA; Perez-Losada, M; Castro-Nallar, E</t>
  </si>
  <si>
    <t>Guajardo-Leiva, Sergio; Alarcon, Jaime; Gutzwiller, Florence; Gallardo-Cerda, Jorge; Acuna-Rodriguez, Ian S.; Molina-Montenegro, Marco; Crandall, Keith A.; Perez-Losada, Marcos; Castro-Nallar, Eduardo</t>
  </si>
  <si>
    <t>Source and acquisition of rhizosphere microbes in Antarctic vascular plants</t>
  </si>
  <si>
    <t>microbial ecology and diversity; plant microbiome; host microbe interactions; amplicon sequencing; South Shetland Islands; rhizosphere effects</t>
  </si>
  <si>
    <t>BACTERIAL DIVERSITY; GROWTH PROMOTION; ROOT MICROBIOTA; SOIL; TOLERANCE; STRESS; COMMUNITIES; PERFORMANCE; NUTRIENT; NOV.</t>
  </si>
  <si>
    <t>Rhizosphere microbial communities exert critical roles in plant health, nutrient cycling, and soil fertility. Despite the essential functions conferred by microbes, the source and acquisition of the rhizosphere are not entirely clear. Therefore, we investigated microbial community diversity and potential source using the only two native Antarctic plants, Deschampsia antarctica (Da) and Colobanthus quitensis (Cq), as models. We interrogated rhizosphere and bulk soil microbiomes at six locations in the Byers Peninsula, Livingston Island, Antarctica, both individual plant species and their association (Da.Cq). Our results show that host plant species influenced the richness and diversity of bacterial communities in the rhizosphere. Here, the Da rhizosphere showed the lowest richness and diversity of bacteria compared to Cq and Da.Cq rhizospheres. In contrast, for rhizosphere fungal communities, plant species only influenced diversity, whereas the rhizosphere of Da exhibited higher fungal diversity than the Cq rhizosphere. Also, we found that environmental geographic pressures (i.e., sampling site, latitude, and altitude) and, to a lesser extent, biotic factors (i.e., plant species) determined the species turnover between microbial communities. Moreover, our analysis shows that the sources of the bacterial communities in the rhizosphere were local soils that contributed to homogenizing the community composition of the different plant species growing in the same sampling site. In contrast, the sources of rhizosphere fungi were local (for Da and Da.Cq) and distant soils (for Cq). Here, the host plant species have a specific effect in acquiring fungal communities to the rhizosphere. However, the contribution of unknown sources to the fungal rhizosphere (especially in Da and Da.Cq) indicates the existence of relevant stochastic processes in acquiring these microbes. Our study shows that rhizosphere microbial communities differ in their composition and diversity. These differences are explained mainly by the microbial composition of the soils that harbor them, acting together with plant species-specific effects. Both plant species acquire bacteria from local soils to form part of their rhizosphere. Seemingly, the acquisition process is more complex for fungi. We identified a significant contribution from unknown fungal sources due to stochastic processes and known sources from soils across the Byers Peninsula.</t>
  </si>
  <si>
    <t>[Guajardo-Leiva, Sergio; Castro-Nallar, Eduardo] Univ Talca, Fac Ciencias Salud, Dept Microbiol, Talca, Chile; [Guajardo-Leiva, Sergio; Molina-Montenegro, Marco; Castro-Nallar, Eduardo] Univ Talca, Ctr Ecol Integrat, Talca, Chile; [Alarcon, Jaime; Gutzwiller, Florence] Univ Andres Bello, Fac Ciencias Vida, Ctr Bioinformat &amp; Integrat Biol, Santiago, Chile; [Gallardo-Cerda, Jorge; Molina-Montenegro, Marco] Univ Talca, Lab Ecol Integrat, Inst Ciencias Biol, Talca, Chile; [Acuna-Rodriguez, Ian S.] Univ Talca, Inst Invest Interdisciplinaria I3, Talca, Chile; [Molina-Montenegro, Marco] Univ Catolica Norte, Fac Ciencias Mar, Ctr Estudios Avanzados Zonas Aridas, Coquimbo, Chile; [Molina-Montenegro, Marco] Univ Catol Maule, Ctr Invest Estudios Avanzados Maule, Talca, Chile; [Crandall, Keith A.; Perez-Losada, Marcos] George Washington Univ, Computat Biol Inst, Dept Biostat &amp; Bioinformat, Washington, DC USA; [Perez-Losada, Marcos] George Washington Univ, Childrens Natl Hosp, Dept Pediat, Div Emergency Med,Sch Med &amp; Hlth Sci, Washington, DC USA; [Perez-Losada, Marcos] Univ Porto, Ctr Invest Biodiversidade &amp; Recursos Genet, CIBIO InBIO, Vairao, Portugal</t>
  </si>
  <si>
    <t>Universidad de Talca; Universidad de Talca; Universidad Andres Bello; Universidad de Talca; Universidad de Talca; Universidad Catolica del Norte; Universidad Catolica del Maule; George Washington University; Children's National Health System; George Washington University; Universidade do Porto</t>
  </si>
  <si>
    <t>Castro-Nallar, E (corresponding author), Univ Talca, Fac Ciencias Salud, Dept Microbiol, Talca, Chile.;Castro-Nallar, E (corresponding author), Univ Talca, Ctr Ecol Integrat, Talca, Chile.</t>
  </si>
  <si>
    <t>ecastron@utalca.cl</t>
  </si>
  <si>
    <t>Perez-Losada, Marcos/I-4407-2013; Guajardo-Leiva, Sergio/GYD-4703-2022; Castro-Nallar, Eduardo/I-5925-2019; Crandall, Keith A/H-2789-2019</t>
  </si>
  <si>
    <t>Perez-Losada, Marcos/0000-0002-2585-4657; Castro-Nallar, Eduardo/0000-0003-4384-8661; Crandall, Keith A/0000-0002-0836-3389; Guajardo-Leiva, Sergio/0000-0003-3083-4375</t>
  </si>
  <si>
    <t>INACH; ANID-FONDECYT Regular [RG_21_18]; ANID-PIA-Anillo INACH [1200834]; ANID-FONDECYT de Postdoctorado [ACT192057]; [3180528]; [3210547]</t>
  </si>
  <si>
    <t>INACH; ANID-FONDECYT Regular; ANID-PIA-Anillo INACH; ANID-FONDECYT de Postdoctorado; ;</t>
  </si>
  <si>
    <t>This work was supported by INACH RG_21_18, ANID-FONDECYT Regular 1200834, ANID-PIA-Anillo INACH ACT192057, ANID-FONDECYT de Postdoctorado 3180528, and ANID-FONDECYT de Postdoctorado 3210547.</t>
  </si>
  <si>
    <t>10.3389/fmicb.2022.916210</t>
  </si>
  <si>
    <t>4S1KP</t>
  </si>
  <si>
    <t>WOS:000857209000001</t>
  </si>
  <si>
    <t>Strugnell, JM; McGregor, H; Wilson, NG; Meredith, KT; Chown, SL; Lau, SCY; Robinson, SA; Saunders, KM</t>
  </si>
  <si>
    <t>Strugnell, Jan M.; McGregor, Helen, V; Wilson, Nerida G.; Meredith, Karina T.; Chown, Steven L.; Lau, Sally C. Y.; Robinson, Sharon A.; Saunders, Krystyna M.</t>
  </si>
  <si>
    <t>Emerging biological archives can reveal ecological and climatic change in Antarctica</t>
  </si>
  <si>
    <t>GLOBAL CHANGE BIOLOGY</t>
  </si>
  <si>
    <t>benthos; coalescent inference; lake sediments; mosses; paleoecology; peat; sclerochronology; Southern Ocean; stable isotopes; terrestrial invertebrate</t>
  </si>
  <si>
    <t>MAJOR DIATOM TAXA; HEMISPHERE WESTERLY WINDS; SOUTHERN-OCEAN SEDIMENTS; ANIMAL-DERIVED NITROGEN; LAST GLACIAL MAXIMUM; SEA-ICE; EAST ANTARCTICA; LATERNULA-ELLIPTICA; SURFACE-TEMPERATURE; HOLOCENE VEGETATION</t>
  </si>
  <si>
    <t>Anthropogenic climate change is causing observable changes in Antarctica and the Southern Ocean including increased air and ocean temperatures, glacial melt leading to sea-level rise and a reduction in salinity, and changes to freshwater water availability on land. These changes impact local Antarctic ecosystems and the Earth's climate system. The Antarctic has experienced significant past environmental change, including cycles of glaciation over the Quaternary Period (the past similar to 2.6 million years), Understanding Antarctica's paleoecosystems, and the corresponding paleoenvironments and climates that have shaped them, provides insight into present day ecosystem change, and importantly, helps constrain model projections of future change. Biological archives such as extant moss beds and peat profiles, biological proxies in lake and marine sediments, vertebrate animal colonies, and extant terrestrial and benthic marine invertebrates, complement other Antarctic paleoclimate archives by recording the nature and rate of past ecological change, the paleoenvironmental drivers of that change, and constrain current ecosystem and climate models. These archives provide invaluable information about terrestrial ice-free areas, a key location for Antarctic biodiversity, and the continental margin which is important for understanding ice sheet dynamics. Recent significant advances in analytical techniques (e.g., genomics, biogeochemical analyses) have led to new applications and greater power in elucidating the environmental records contained within biological archives. Paleoecological and paleoclimate discoveries derived from biological archives, and integration with existing data from other paleoclimate data sources, will significantly expand our understanding of past, present, and future ecological change, alongside climate change, in a unique, globally significant region.</t>
  </si>
  <si>
    <t>[Strugnell, Jan M.; Lau, Sally C. Y.] James Cook Univ, Ctr Sustainable Trop Fisheries &amp; Aquaculture, Townsville, Qld, Australia; [Strugnell, Jan M.; Lau, Sally C. Y.] James Cook Univ, Coll Sci &amp; Engn, Townsville, Qld, Australia; [Strugnell, Jan M.; Lau, Sally C. Y.] James Cook Univ, Securing Antarcticas Environm Future, Townsville, Qld, Australia; [McGregor, Helen, V; Robinson, Sharon A.; Saunders, Krystyna M.] Univ Wollongong, Sch Earth Atmospher &amp; Life Sci, Securing Antarcticas Environm Future, Wollongong, NSW, Australia; [Wilson, Nerida G.] Western Australian Museum, Securing Antarcticas Environm Future, Perth, WA, Australia; [Wilson, Nerida G.] Western Australian Museum, Res &amp; Collect, Perth, WA, Australia; [Wilson, Nerida G.] Univ Western Australia, Sch Biol Sci, Crawley, WA, Australia; [Meredith, Karina T.; Saunders, Krystyna M.] Australian Nucl Sci &amp; Technol Org, Securing Antarct Environm Future, Lucas Heights, NSW, Australia; [Chown, Steven L.] Monash Univ, Sch Biol Sci, Securing Antarct Environm Future, Melbourne, Vic, Australia; [Saunders, Krystyna M.] Univ Tasmania, Inst Marine &amp; Antarctic Studies, Hobart, Tas, Australia</t>
  </si>
  <si>
    <t>James Cook University; James Cook University; James Cook University; University of Wollongong; Western Australian Museum; Western Australian Museum; University of Western Australia; Australian Nuclear Science &amp; Technology Organisation; Monash University; Melbourne Genomics Health Alliance; University of Tasmania</t>
  </si>
  <si>
    <t>Strugnell, JM (corresponding author), James Cook Univ, Ctr Sustainable Trop Fisheries &amp; Aquaculture, Townsville, Qld, Australia.;Strugnell, JM (corresponding author), James Cook Univ, Coll Sci &amp; Engn, Townsville, Qld, Australia.</t>
  </si>
  <si>
    <t>jan.strugnell@jcu.edu.au</t>
  </si>
  <si>
    <t>Chown, Steven/ABD-7646-2021; Robinson, Sharon/B-2683-2008; Strugnell, Jan M/P-9921-2016; McGregor, Helen/I-1479-2013; Saunders, Krystyna/G-1368-2019; Chown, Steven/H-3347-2011; Wilson, Nerida/G-8433-2011</t>
  </si>
  <si>
    <t>Robinson, Sharon/0000-0002-7130-9617; Meredith, Karina. T./0000-0003-3635-1614; Lau, Sally/0000-0002-4955-2530; McGregor, Helen/0000-0002-4031-2282; Saunders, Krystyna/0000-0002-6800-2630; Chown, Steven/0000-0001-6069-5105; Wilson, Nerida/0000-0002-0784-0200; Strugnell, Jan/0000-0003-2994-637X</t>
  </si>
  <si>
    <t>Australian Research Council SRIEAS Securing Antarctica's Environmental Future [SR200100005]</t>
  </si>
  <si>
    <t>Australian Research Council SRIEAS Securing Antarctica's Environmental Future(Australian Research Council)</t>
  </si>
  <si>
    <t>Australian Research Council SRIEAS Securing Antarctica's Environmental Future, Grant/Award Number: SR200100005</t>
  </si>
  <si>
    <t>1354-1013</t>
  </si>
  <si>
    <t>1365-2486</t>
  </si>
  <si>
    <t>GLOBAL CHANGE BIOL</t>
  </si>
  <si>
    <t>Glob. Change Biol.</t>
  </si>
  <si>
    <t>10.1111/gcb.16356</t>
  </si>
  <si>
    <t>5J0GL</t>
  </si>
  <si>
    <t>WOS:000851524800001</t>
  </si>
  <si>
    <t>Kang, LH; Zhao, LY; Wolovick, M; Moore, JC</t>
  </si>
  <si>
    <t>Kang, Haoran L.; Zhao, Liyun; Wolovick, Michael; Moore, John C.</t>
  </si>
  <si>
    <t>Evaluation of six geothermal heat flux maps for the Antarctic Lambert-Amery glacial system</t>
  </si>
  <si>
    <t>PRINCESS ELIZABETH LAND; ICE-SHEET; FLOW; SENSITIVITY; SURFACE; BENEATH; TEMPERATURE; INVERSION; SITES; BED</t>
  </si>
  <si>
    <t>Basal thermal conditions play an important role in ice sheet dynamics, and they are sensitive to geothermal heat flux (GHF). Here we estimate the basal thermal conditions, including basal temperature, basal melt rate, and friction heat underneath the Lambert-Amery Glacier system in eastern Antarctica, using a combination of a forward model and an inversion from a 3D ice flow model. We assess the sensitivity and uncertainty of basal thermal conditions using six different GHF maps. We evaluate the modelled results using all observed subglacial lakes. The different GHF maps lead to large differences in simulated spatial patterns of temperate basal conditions. The two recent GHF fields inverted from aerial geomagnetic observations have the highest GHF, produce the largest warm-based area, and match the observed distribution of subglacial lakes better than the other GHFs. The modelled basal melt rate reaches 10 to hundreds of millimetres per year locally in the Lambert, Lepekhin, and Kronshtadtskiy glaciers feeding the Amery Ice Shelf and ranges from 0-5 mm yr(-1) on the temperate base of the vast inland region.</t>
  </si>
  <si>
    <t>[Kang, Haoran L.; Zhao, Liyun; Moore, John C.] Beijing Normal Univ, Coll Global Change &amp; Earth Syst Sci, Beijing 100875, Peoples R China; [Zhao, Liyun] Beijing Normal Univ, State Key Lab Earth Surface Proc &amp; Resource Ecol, Beijing 100875, Peoples R China; [Wolovick, Michael] Alfred Wegener Inst, Glaciol Sect, Bremerhaven, Germany; [Moore, John C.] CAS Ctr Excellence Tibetan Plateau Earth Sci, Beijing 100101, Peoples R China; [Moore, John C.] Univ Lapland, Arctic Ctr, Rovaniemi, Finland</t>
  </si>
  <si>
    <t>Beijing Normal University; Beijing Normal University; Helmholtz Association; Alfred Wegener Institute, Helmholtz Centre for Polar &amp; Marine Research; University of Lapland</t>
  </si>
  <si>
    <t>Zhao, LY; Moore, JC (corresponding author), Beijing Normal Univ, Coll Global Change &amp; Earth Syst Sci, Beijing 100875, Peoples R China.;Zhao, LY (corresponding author), Beijing Normal Univ, State Key Lab Earth Surface Proc &amp; Resource Ecol, Beijing 100875, Peoples R China.;Moore, JC (corresponding author), CAS Ctr Excellence Tibetan Plateau Earth Sci, Beijing 100101, Peoples R China.;Moore, JC (corresponding author), Univ Lapland, Arctic Ctr, Rovaniemi, Finland.</t>
  </si>
  <si>
    <t>zhaoliyun@bnu.edu.cn; john.moore.bnu@gmail.com</t>
  </si>
  <si>
    <t>Wolovick, Michael/JZE-0247-2024</t>
  </si>
  <si>
    <t>Wolovick, Michael/0000-0002-9345-7039</t>
  </si>
  <si>
    <t>National Natural Science Foundation of China [41941006]; National Key Research and Development Program of China [2021YFB3900105]; State Key Laboratory of Earth Surface Processes and Resource Ecology [2022-ZD-05]</t>
  </si>
  <si>
    <t>National Natural Science Foundation of China(National Natural Science Foundation of China (NSFC)); National Key Research and Development Program of China; State Key Laboratory of Earth Surface Processes and Resource Ecology</t>
  </si>
  <si>
    <t>This research has been supported by the National Natural Science Foundation of China (grant no. 41941006), National Key Research and Development Program of China (grant no. 2021YFB3900105), and State Key Laboratory of Earth Surface Processes and Resource Ecology (grant no. 2022-ZD-05).</t>
  </si>
  <si>
    <t>10.5194/tc-16-3619-2022</t>
  </si>
  <si>
    <t>4I9ZS</t>
  </si>
  <si>
    <t>WOS:000850932900001</t>
  </si>
  <si>
    <t>Haigh, ID; Marcos, M; Talke, SA; Woodworth, PL; Hunter, JR; Hague, B; Arns, A; Bradshaw, E; Thompson, P</t>
  </si>
  <si>
    <t>Haigh, Ivan D.; Marcos, Marta; Talke, Stefan A.; Woodworth, Philip L.; Hunter, John R.; Hague, Ben S.; Arns, Arne; Bradshaw, Elizabeth; Thompson, Philip</t>
  </si>
  <si>
    <t>GESLA Version 3: A major update to the global higher-frequency sea-level dataset</t>
  </si>
  <si>
    <t>GEOSCIENCE DATA JOURNAL</t>
  </si>
  <si>
    <t>sea level records; sea level rise; storm surges; storm tides; tide gauge</t>
  </si>
  <si>
    <t>HIGH WATER LEVELS; TIDES; VARIABILITY; ATLANTIC; DYNAMICS; RECORDS; HARBOR</t>
  </si>
  <si>
    <t>This paper describes a major update to the quasi-global, higher-frequency sea-level dataset known as GESLA (Global Extreme Sea Level Analysis). Versions 1 (released 2009) and 2 (released 2016) of the dataset have been used in many published studies, across a wide range of oceanographic and coastal engineering-related investigations concerned with evaluating tides, storm surges, extreme sea levels, and other related processes. The third version of the dataset (released 2021), presented here, contains double the number of years of data, and nearly four times the number of records, compared to Version 2. The dataset consists of records obtained from multiple sources around the world. This paper describes the assembly of the dataset, its processing, and its format, and outlines potential future improvements.</t>
  </si>
  <si>
    <t>[Haigh, Ivan D.] Univ Southampton, Natl Oceanog Ctr, Sch Ocean &amp; Earth Sci, European Way, Southampton SO14 3ZH, Hants, England; [Marcos, Marta] IMEDEA UIB CSIC, Esporles, Balearic Island, Spain; [Talke, Stefan A.] Calif Polytech State Univ San Luis Obispo, Dept Civil &amp; Environm Engn, San Luis Obispo, CA USA; [Woodworth, Philip L.] Natl Oceanog Ctr, Liverpool, Merseyside, England; [Hunter, John R.] Univ Tasmania, Inst Marine &amp; Antarctic Studies, Hobart, Tas, Australia; [Hague, Ben S.] Australian Bur Meteorol, Melbourne, Vic, Australia; [Arns, Arne] Univ Rostock, Fac Agr &amp; Environm Sci, Rostock, Germany; [Bradshaw, Elizabeth] Natl Oceanog Ctr, British Oceanog Data Ctr, Liverpool, Merseyside, England; [Thompson, Philip] Univ Hawaii, Dept Oceanog, Honolulu, HI 96822 USA</t>
  </si>
  <si>
    <t>NERC National Oceanography Centre; University of Southampton; Consejo Superior de Investigaciones Cientificas (CSIC); ATTITUS Educacao; California State University System; California Polytechnic State University San Luis Obispo; NERC National Oceanography Centre; University of Tasmania; Bureau of Meteorology - Australia; University of Rostock; NERC National Oceanography Centre; University of Hawaii System</t>
  </si>
  <si>
    <t>Haigh, ID (corresponding author), Univ Southampton, Natl Oceanog Ctr, Sch Ocean &amp; Earth Sci, European Way, Southampton SO14 3ZH, Hants, England.</t>
  </si>
  <si>
    <t>i.d.haigh@soton.ac.uk</t>
  </si>
  <si>
    <t>Marcos, Marta/C-7053-2012; Haigh, Ivan D/A-6575-2010</t>
  </si>
  <si>
    <t>Marcos, Marta/0000-0001-9975-5013; Hague, Ben/0000-0002-4931-8111</t>
  </si>
  <si>
    <t>National Oceanic and Atmospheric Administration Global Ocean Monitoring and Observation Program [NA11NMF4320128]; European Regional Development Fund; Ministerio de Ciencia, Innovacion y Universidades - Agencia Estatal de Investigacion through the MOCCA project [RTI2018-093941-B-C31]; National Science Foundation [2013280, 1455350]; NERC-funded CHANCE Project [NE/S010262/1]</t>
  </si>
  <si>
    <t>National Oceanic and Atmospheric Administration Global Ocean Monitoring and Observation Program(National Oceanic Atmospheric Admin (NOAA) - USA); European Regional Development Fund(European Union (EU)); Ministerio de Ciencia, Innovacion y Universidades - Agencia Estatal de Investigacion through the MOCCA project; National Science Foundation(National Science Foundation (NSF)); NERC-funded CHANCE Project</t>
  </si>
  <si>
    <t>National Oceanic and Atmospheric Administration Global Ocean Monitoring and Observation Program, Grant/Award Number: NA11NMF4320128; European Regional Development Fund and Ministerio de Ciencia, Innovacion y Universidades - Agencia Estatal de Investigacion through the MOCCA project, Grant/Award Number: RTI2018-093941-B-C31; National Science Foundation, Grant/Award Number: 2013280 and 1455350; NERC-funded CHANCE Project, Grant/Award Number: NE/S010262/1</t>
  </si>
  <si>
    <t>2049-6060</t>
  </si>
  <si>
    <t>GEOSCI DATA J</t>
  </si>
  <si>
    <t>Geosci. Data J.</t>
  </si>
  <si>
    <t>10.1002/gdj3.174</t>
  </si>
  <si>
    <t>M6MP9</t>
  </si>
  <si>
    <t>WOS:000850891700001</t>
  </si>
  <si>
    <t>Saluga, M; Ochyra, R; Ronikier, M</t>
  </si>
  <si>
    <t>Saluga, Marta; Ochyra, Ryszard; Ronikier, Michal</t>
  </si>
  <si>
    <t>Phylogeographical breaks and limited connectivity among multiple refugia in a pan-Antarctic moss species</t>
  </si>
  <si>
    <t>JOURNAL OF BIOGEOGRAPHY</t>
  </si>
  <si>
    <t>Antarctica; biogeography; climatic constraints; genetic breaks; glaciation; Gressitt line; mosses; Pleistocene; refugia; reproduction mode; Syntrichia</t>
  </si>
  <si>
    <t>POPULATION-GROWTH; GENETIC-VARIATION; BRYOPHYTES; POTTIACEAE; SOFTWARE; BIOGEOGRAPHY; DIVERSITY; TORTULA; PLANT; MUSCI</t>
  </si>
  <si>
    <t>Aim The historical biogeography of the Antarctic terrestrial flora remains poorly studied and understood. Long-term in situ persistence of mosses was demonstrated but region-wide phylogeographical patterns and processes which shaped extant ranges remain largely unknown. Based on a circum-Antarctic phylogeography, we aim to explore the location of glacial refugia, especially the possibility of their existence in the continent, patterns of possible connections between extant discrete populations, local colonisation routes and barriers to gene flow, hence relative importance of connectivity and isolation. Location Antarctica, South America, Australia and New Zealand. Taxon Syntrichia sarconeurum Ochyra &amp; R.H.Zander (Pottiaceae). Methods We used a range-wide, taxonomically informed sampling and multilocus sequencing of nuclear and chloroplast DNA regions. The temporal evolutionary framework, spatial genetic structure and regional diversification were assessed using phylogenetic reconstruction (maximum likelihood and Bayesian inference), molecular dating, phylogeographical analyses and reconstruction of ancestral areas. Results We found a striking genetic structure of the Antarctic Syntrichia sarconeurum populations that deviates from previous reports on mosses. The presence of two allopatric cpDNA haplotypes indicated a long-term isolation of the continental populations. Nuclear ITS revealed three major lineages with a main genetic break largely consistent with plastid data. Significant phylogeographical structure was further supported by N-ST/F-ST comparison(,) raggedness index and mismatch analyses. Diversification of the Antarctic lineages occurred within the Pleistocene, since about 1.36 Ma. Main Conclusions The genetic break genetic break revealed in the phylogeographical structure coincides with the Gressit line, a biogeographical separation area between the biota of the Antarctic Peninsula and the main continental Antarctica. It indicates limited connectivity of populations and suggests that S. sarconeurum has survived in multiple refugia both in the peripheral areas of the Antarctic and within the continent over several glacial periods. Differences in genetic diversity observed between these areas may hypothetically reflect asymmetric changes in reproductive mode in the past.</t>
  </si>
  <si>
    <t>[Saluga, Marta; Ochyra, Ryszard; Ronikier, Michal] Polish Acad Sci, W Szafer Inst Bot, Lubicz 46, PL-31512 Krakow, Poland</t>
  </si>
  <si>
    <t>Polish Academy of Sciences; W. Szafer Institute of Botany of the Polish Academy of Sciences</t>
  </si>
  <si>
    <t>Saluga, M (corresponding author), Polish Acad Sci, W Szafer Inst Bot, Lubicz 46, PL-31512 Krakow, Poland.</t>
  </si>
  <si>
    <t>m.saluga@botany.pl</t>
  </si>
  <si>
    <t>Ochyra, Ryszard/0000-0002-2541-0722; Saluga, Marta/0000-0002-2236-816X; Ronikier, Michal/0000-0001-7652-6787</t>
  </si>
  <si>
    <t>Narodowe Centrum Nauki; W. Szafer Institute of Botany, Polish Academy of Sciences; Polish National Science Centre Project ICEBIOTA [NCN 2015/17/B/N28/02475]</t>
  </si>
  <si>
    <t>Narodowe Centrum Nauki(National Science Centre, Poland); W. Szafer Institute of Botany, Polish Academy of Sciences; Polish National Science Centre Project ICEBIOTA</t>
  </si>
  <si>
    <t>Narodowe Centrum Nauki; W. Szafer Institute of Botany, Polish Academy of Sciences; Polish National Science Centre Project ICEBIOTA, Grant/Award Number: NCN 2015/17/B/N28/02475</t>
  </si>
  <si>
    <t>0305-0270</t>
  </si>
  <si>
    <t>1365-2699</t>
  </si>
  <si>
    <t>J BIOGEOGR</t>
  </si>
  <si>
    <t>J. Biogeogr.</t>
  </si>
  <si>
    <t>10.1111/jbi.14476</t>
  </si>
  <si>
    <t>5M1BJ</t>
  </si>
  <si>
    <t>WOS:000850757300001</t>
  </si>
  <si>
    <t>Videira-Santos, R; Tobin, TS; Schef, SM</t>
  </si>
  <si>
    <t>Videira-Santos, Roberto; Tobin, Thomas S.; Schef, Sandro Marcelo</t>
  </si>
  <si>
    <t>New occurrences of caryophylliid and fungiacyathid scleractinian corals from the Santa Marta and Snow Hill Island formations (Upper Cretaceous, Antarctica)</t>
  </si>
  <si>
    <t>CRETACEOUS RESEARCH</t>
  </si>
  <si>
    <t>Campanian-Maastrichtian; Scleractinia; Taxonomy; James Ross Archipelago</t>
  </si>
  <si>
    <t>JAMES-ROSS-ISLAND; BACK-ARC BASIN; STRATIGRAPHY; MAGNETOSTRATIGRAPHY; EVOLUTION; DEPOSITS; FAN</t>
  </si>
  <si>
    <t>Scleractinian corals have been reported in the Antarctic Cretaceous since the beginning of the 20th century, but few studies have described the taxonomy of these specimens. Here we describe three new occurrences of coral from the James Ross Basin based on specimens collected in 2016. We identified Dasmosmilia? sp. and Heterocyathus filkorni sp. nov. in the Alpha Member of the Santa Marta Formation on James Ross Island (upper Santonian to lower Campanian) and Fungiacyathus deltoidophorus and a poorly-preserved and unidentifiable scleractinian coral from the Karlsen Cliffs Member of Snow Hill Island Formation (lower Maastrichtian). Heterocyathus filkorni sp. nov. represents the earliest occurrence of this genus in the Southern Hemisphere and is consistent with the hypothesis that a marine exchange between Europe and Antarctica was occurring in the Late Cretaceous. If confirmed, the Dasmosmilia described here represent their earliest record from the Antarctic Cretaceous.(c) 2022 Elsevier Ltd. All rights reserved.</t>
  </si>
  <si>
    <t>[Videira-Santos, Roberto] Univ Estadual Goias, Unidade Univ Niquela dia, Campus Norte Rua 08,4, BR-76420000 Niquelandia, GO, Brazil; [Tobin, Thomas S.] Univ Alabama, Dept Geol Sci, Box 870338, Tuscaloosa, AL 35487 USA; [Schef, Sandro Marcelo] Univ Fed Rio De Janeiro, Dept Geol &amp; Paleontol, Museu Nacl, Lab Paleoinvertebrados LAPIN, Quintada Boa Vista s-n, BR-20940040 Rio De Janeiro, RJ, Brazil; [Videira-Santos, Roberto] Univ Estadual Goias, Unidade Univ Niquelandia, Rua 08,4, BR-76420000 Niquelandia, GO, Brazil</t>
  </si>
  <si>
    <t>Universidade Estadual de Goias; University of Alabama System; University of Alabama Tuscaloosa; Universidade Federal do Rio de Janeiro; Universidade Estadual de Goias</t>
  </si>
  <si>
    <t>Videira-Santos, R (corresponding author), Univ Estadual Goias, Unidade Univ Niquelandia, Rua 08,4, BR-76420000 Niquelandia, GO, Brazil.</t>
  </si>
  <si>
    <t>robvidsan@ufrj.br; ttobin@ua.edu; schefflersm@mn.ufrj.br</t>
  </si>
  <si>
    <t>Tobin, Thomas/0000-0003-0992-7809; Videira-Santos, Roberto/0000-0002-6221-1693</t>
  </si>
  <si>
    <t>CNPq [442765/2018-5]; FAPERJ [E-26/200.110/2019]; NSF [1341729]; Directorate For Geosciences; Office of Polar Programs (OPP) [1341729] Funding Source: National Science Foundation</t>
  </si>
  <si>
    <t>CNPq(Conselho Nacional de Desenvolvimento Cientifico e Tecnologico (CNPQ)); FAPERJ(Fundacao Carlos Chagas Filho de Amparo a Pesquisa do Estado do Rio De Janeiro (FAPERJ)); NSF(National Science Foundation (NSF)); Directorate For Geosciences; Office of Polar Programs (OPP)(National Science Foundation (NSF)NSF - Directorate for Geosciences (GEO))</t>
  </si>
  <si>
    <t>RVS and SMS are researchers of the project Paleoenvironmental and Paleoclimatic Evolution of the Antarctic Peninsula: Correlation between the Eastern andWesternMargins and South America based on Paleoflora e FLORANTAR (CNPq 442765/2018-5). SMS was also supported by FAPERJ (process E-26/200.110/2019; Apoio Emergencial ao Museu Nacional). The authors thank Dr. Gisele Y. Kawauchi (Universidade Federal de Minas Gerais) and Dr. Eduardo Olivero (CONICET and Universidad Nacional de Tierra del Fuego, Ant~artida e Islas del Atl~antico Sur) for their valuable suggestions. Field work conducted by TST and others and was funded by NSF Award 1341729 to Dr. Joseph Kirschvink, who we thank for his support. Field assistance from Drs. Joseph Biasi, Jennifer Buz, David Flannery, Roger Fu, RossMitchell, Joseph O' Rourke, Steve Skinner, Sarah Slotznick, David Smith, and Frank Sousawas valuable in the collection of these fossils. We thank the crew of R/V Nathaniel B. Palmer, the NSF science support staff on board, and the crew from Air Center Helicopters for transportation to the site and assistance in the field. Finally, we would like to thank the reviewers (Dr. JamesWitts and anonymous) for their valuable suggestions and comments.</t>
  </si>
  <si>
    <t>0195-6671</t>
  </si>
  <si>
    <t>1095-998X</t>
  </si>
  <si>
    <t>CRETACEOUS RES</t>
  </si>
  <si>
    <t>Cretac. Res.</t>
  </si>
  <si>
    <t>10.1016/j.cretres.2022.105338</t>
  </si>
  <si>
    <t>Geology; Paleontology</t>
  </si>
  <si>
    <t>5L5RI</t>
  </si>
  <si>
    <t>WOS:000870470300003</t>
  </si>
  <si>
    <t>Huguenin, MF; Holmes, RM; England, MH</t>
  </si>
  <si>
    <t>Huguenin, Maurice F.; Holmes, Ryan M.; England, Matthew H.</t>
  </si>
  <si>
    <t>Drivers and distribution of global ocean heat uptake over the last half century</t>
  </si>
  <si>
    <t>SEA-ICE MODEL; SOUTHERN-OCEAN; TRANSPORT; PACIFIC; CLIMATE; CIRCULATION; TEMPERATURES; MODULATION; STORAGE; VERSION</t>
  </si>
  <si>
    <t>Since the 1970s, the ocean has absorbed almost all of the additional energy in the Earth system due to greenhouse warming. However, sparse observations limit our knowledge of where ocean heat uptake (OHU) has occurred and where this heat is stored today. Here, we equilibrate a reanalysis-forced ocean-sea ice model, using a spin-up that improves on earlier approaches, to investigate recent OHU trends basin-by-basin and associated separately with surface wind trends, thermodynamic properties (temperature, humidity and radiation) or both. Wind and thermodynamic changes each explain similar to 50% of global OHU, while Southern Ocean forcing trends can account for almost all of the global OHU. This OHU is enabled by cool sea surface temperatures and sensible heat gain when atmospheric thermodynamic properties are held fixed, while downward longwave radiation dominates when winds are fixed. These results address long-standing limitations in multidecadal ocean-sea ice model simulations to reconcile estimates of OHU, transport and storage.</t>
  </si>
  <si>
    <t>[Huguenin, Maurice F.; Holmes, Ryan M.; England, Matthew H.] Univ New South Wales, Climate Change Res Ctr, Sydney, NSW, Australia; [Huguenin, Maurice F.; England, Matthew H.] Univ New South Wales, ARC Australian Ctr Excellence Antarctic Sci, Sydney, NSW, Australia; [Huguenin, Maurice F.; Holmes, Ryan M.] Univ New South Wales, ARC Ctr Excellence Climate Extremes, Sydney, NSW, Australia; [Holmes, Ryan M.] Univ New South Wales, Sch Math &amp; Stat, Sydney, NSW, Australia; [Holmes, Ryan M.] Univ Sydney, Sch Geosci, Sydney, NSW, Australia</t>
  </si>
  <si>
    <t>University of New South Wales Sydney; University of New South Wales Sydney; University of New South Wales Sydney; University of New South Wales Sydney; University of Sydney</t>
  </si>
  <si>
    <t>Huguenin, MF (corresponding author), Univ New South Wales, Climate Change Res Ctr, Sydney, NSW, Australia.;Huguenin, MF (corresponding author), Univ New South Wales, ARC Australian Ctr Excellence Antarctic Sci, Sydney, NSW, Australia.;Huguenin, MF (corresponding author), Univ New South Wales, ARC Ctr Excellence Climate Extremes, Sydney, NSW, Australia.</t>
  </si>
  <si>
    <t>m.huguenin-virchaux@unsw.edu.au</t>
  </si>
  <si>
    <t>England, Matthew/A-7539-2011</t>
  </si>
  <si>
    <t>England, Matthew/0000-0001-9696-2930; Huguenin, Maurice F./0000-0002-1476-0452</t>
  </si>
  <si>
    <t>Australian Government; University of New South Wales [1476]; Australian Research Council (ARC) [DE21010004]; ARC Australian Centre for Excellence in Antarctic Science; Centre for Southern Hemisphere Oceans Research (CSHOR); ARC Australian Centre for Excellence in Antarctic Science (ACEAS) [SR200100008]; ARC Centre of Excellence for Climate Extremes (CLEX) [CE170100023]; Australian Research Council [SR200100008] Funding Source: Australian Research Council</t>
  </si>
  <si>
    <t>Australian Government(Australian Government); University of New South Wales; Australian Research Council (ARC)(Australian Research Council); ARC Australian Centre for Excellence in Antarctic Science(Australian Research Council); Centre for Southern Hemisphere Oceans Research (CSHOR); ARC Australian Centre for Excellence in Antarctic Science (ACEAS); ARC Centre of Excellence for Climate Extremes (CLEX); Australian Research Council(Australian Research Council)</t>
  </si>
  <si>
    <t>We thank Hiroyuki Tsujino and Hakase Hayashida for providing access to the OMIP-2 model output, Damien Irving and Taimoor Sohail for calculating theCMIP6 time series andwe thank theCMIP and Argo projects for providing access to their data sets. We thank the Consortium for OceanSea Ice Modelling in Australia (COSIMA; www.cosima.org.au) for their technical help, continued development and for making the ACCESSOM2 model available at https://github.com/COSIMA/access-om2.The simulations in this project were conducted with resources and services from the National Computational Infrastructure which is supported by the Australian Government. M.F.H. is supported by a Scientia PhD scholarship from the University of New South Wales (Program code 1476), R.M.H. is supported by the Australian Research Council (ARC) grant DE21010004 andM.H.E. is supported by the ARC Australian Centre for Excellence in Antarctic Science and is also supported by the Centre for Southern Hemisphere Oceans Research (CSHOR), a joint research centre between QNLM, CSIRO, UNSW and UTAS. Additionally, this work was supported by both the ARC Australian Centre for Excellence in Antarctic Science (ACEAS; ARC Grant No. SR200100008) and the ARC Centre of Excellence for Climate Extremes (CLEX; ARC Grant No. CE170100023).</t>
  </si>
  <si>
    <t>SEP 7</t>
  </si>
  <si>
    <t>10.1038/s41467-022-32540-5</t>
  </si>
  <si>
    <t>4L9YS</t>
  </si>
  <si>
    <t>WOS:000852985800004</t>
  </si>
  <si>
    <t>von Salm, JL; Witowski, CG; Amsler, MO; Amsler, CD; McClintock, JB; Baker, BJ</t>
  </si>
  <si>
    <t>von Salm, Jacqueline L.; Witowski, Christopher G.; Amsler, Margaret O.; Amsler, Charles D.; McClintock, James B.; Baker, Bill J.</t>
  </si>
  <si>
    <t>Amphipod diversity and metabolomics of the Antarctic sponge Dendrilla antarctica</t>
  </si>
  <si>
    <t>benthic ecology; chemical defence; habitat choice; marine invertebrates; natural products; western Antarctic Peninsula</t>
  </si>
  <si>
    <t>MARINE-INVERTEBRATES; GEOGRAPHIC-VARIATION; SPATIAL VARIABILITY; CHEMICAL DEFENSES; MCMURDO-SOUND; AMINO-ACIDS; METABOLITES; ECOLOGY; MACROALGAE; ORGANISMS</t>
  </si>
  <si>
    <t>The western Antarctic Peninsula harbours a diverse benthic marine community where dense canopies of macroalgae can dominate the shallow subtidal zone (0-40 m or greater). In the lower portion of this range (below 25-35 m depending on topography), invertebrates such as sponges and echinoderms can be found in greater abundance due to reduced competition for space from the algal species. Dendrilla antarctica (previously Dendrilla membranosa) is a common demosponge that thrives in both communities and is known for producing diterpene secondary metabolites as a defence against sympatric sea star and amphipod predators. Omnivorous mesograzers such as amphipods inhabit both communities; however, they are in greatest abundance within the macroalgal canopy. Due to the differences between habitats, it was hypothesized that specific amphipod species not susceptible to the defensive metabolites of D. antarctica would take refuge from predators in the chemically defended sponge. Analysis of the metabolome and amphipod communities from sponges in both habitats found correlations of metabolic profile to both abundance and habitat. These studies serve to inform our understanding of the complex ecosystem of the Antarctic benthos that stands to be dramatically altered by the rapidly changing climate in the years to come.</t>
  </si>
  <si>
    <t>[von Salm, Jacqueline L.; Witowski, Christopher G.; Baker, Bill J.] Univ S Florida, Dept Chem, Tampa, FL 33620 USA; [von Salm, Jacqueline L.; Witowski, Christopher G.] Psilera Inc, Tampa, FL 33612 USA; [Amsler, Margaret O.; Amsler, Charles D.; McClintock, James B.] Univ Alabama Birmingham, Dept Biol, Birmingham, AL 35233 USA</t>
  </si>
  <si>
    <t>State University System of Florida; University of South Florida; University of Alabama System; University of Alabama Birmingham</t>
  </si>
  <si>
    <t>Baker, Bill/N-4312-2019</t>
  </si>
  <si>
    <t>Amsler, Margaret/0000-0002-7196-1576; Witowski, Christopher/0000-0003-2592-0017; von Salm, Jacqueline/0000-0003-2277-5491</t>
  </si>
  <si>
    <t>National Science Foundation Antarctic Organisms and Ecosystems programme [ANT-0838773, PLR-1341333, ANT-0838776, PLR-1341339]; State of Florida; University of Alabama at Birmingham</t>
  </si>
  <si>
    <t>National Science Foundation Antarctic Organisms and Ecosystems programme; State of Florida; University of Alabama at Birmingham</t>
  </si>
  <si>
    <t>Thiswork was supported by National Science Foundation Antarctic Organisms and Ecosystems programme awards ANT-0838773 and PLR-1341333 to CDA and JBM, ANT-0838776 and PLR-1341339 to BJB and a Center of Excellence award from the State of Florida to support the Center for Drug Discovery and Innovation, whose facilities made much of the chemical analysis possible. JBM acknowledges the support of an Endowed Professorship from the University of Alabama at Birmingham.</t>
  </si>
  <si>
    <t>PII S0954102022000268</t>
  </si>
  <si>
    <t>10.1017/S0954102022000268</t>
  </si>
  <si>
    <t>WOS:000851061700001</t>
  </si>
  <si>
    <t>Djeutchouang, LM; Chang, N; Gregor, L; Vichi, M; Monteiro, PMS</t>
  </si>
  <si>
    <t>Djeutchouang, Laique M.; Chang, Nicolette; Gregor, Luke; Vichi, Marcello; Monteiro, Pedro M. S.</t>
  </si>
  <si>
    <t>The sensitivity of pCO2 reconstructions to sampling scales across a Southern Ocean sub-domain: a semi-idealized ocean sampling simulation approach</t>
  </si>
  <si>
    <t>SEA CO2 FLUXES; SURFACE OCEAN; SEASONAL CYCLE; CARBON; VARIABILITY; SINK; MODEL; GRADIENT; SYSTEM; TRENDS</t>
  </si>
  <si>
    <t>The Southern Ocean is a complex system yet is sparsely sampled in both space and time. These factors raise questions about the confidence in present sampling strategies and associated machine learning (ML) reconstructions. Previous studies have not yielded a clear understanding of the origin of uncertainties and biases for the reconstructions of the partial pressure of carbon dioxide (pCO(2)) at the surface ocean (pCO(2)(ocean)). We examine these questions through a series of semi-idealized observing system simulation experiments (OSSEs) using a high-resolution (+/- 10 km) coupled physical and biogeochemical model (NEMO-PISCES, Nucleus for European Modelling of the Ocean, Pelagic Interactions Scheme for Carbon and Ecosystem Studies). Here we choose 1 year of the model sub-domain of 10 degrees of latitude (40-50 degrees S) by 20 degrees of longitude (10 degrees W-10 degrees E). This domain is crossed by the sub-Antarctic front and thus includes both the sub-Antarctic zone and the polar frontal zone in the south-east Atlantic Ocean, which are the two most sampled sub-regions of the Southern Ocean. We show that while this sub-domain is small relative to the Southern Ocean scales, it is representative of the scales of variability we aim to examine. The OSSEs simulated the observational scales of pCO(2)(ocean) in ways that are comparable to existing ocean CO2 observing platforms (ships, Wave Gliders, carbon floats, Saildrones) in terms of their temporal sampling scales and not necessarily their spatial ones. The pCO(2) reconstructions were carried out using a two-member ensemble approach that consisted of two machine learning (ML) methods, (1) the feed-forward neural network and (2) the gradient boosting machines. The baseline data were from the ship-based simulations mimicking ship-based observations from the Surface Ocean CO2 Atlas (SOCAT). For each of the sampling-scale scenarios, we applied the two-member ensemble method to reconstruct the full sub-domain pCO(2)(ocean). The reconstruction skill was then assessed through a statistical comparison of reconstructed pCO(2) cean and the model domain mean. The analysis shows that uncertainties and biases for pCO(2)(ocean) reconstructions are very sensitive to both the spatial and the temporal scales of pCO(2) sampling in the model domain. The four key findings from our investigation are as follows: (1) improving ML-based pCO(2) reconstructions in the Southern Ocean requires simultaneous high-resolution observations (&lt;3 d) of the seasonal cycle of the meridional gradients of pCO(2)(ocean); (2) Saildrones stand out as the optimal platforms to simultaneously address these requirements; (3) Wave Gliders with hourly/daily resolution in pseudomooring mode improve on carbon floats (10 d period), which suggests that sampling aliases from the 10 d sampling period might have a greater negative impact on their uncertainties, biases, and reconstruction means; and (4) the present seasonal sampling biases (towards summer) in SOCAT data in the Southern Ocean may be behind a significant winter bias in the reconstructed seasonal cycle of pCO(2)(ocean).</t>
  </si>
  <si>
    <t>[Djeutchouang, Laique M.; Chang, Nicolette; Monteiro, Pedro M. S.] CSIR, SOCCO, ZA-7700 Cape Town, South Africa; [Djeutchouang, Laique M.; Vichi, Marcello] Univ Cape Town, Dept Oceanog, MARIS, ZA-7701 Cape Town, South Africa; [Gregor, Luke] Swiss Fed Inst Technol, Inst Biogeochem &amp; Pollutant Dynam, Environm Phys, CH-8092 Zurich, Switzerland</t>
  </si>
  <si>
    <t>Council for Scientific &amp; Industrial Research (CSIR) - South Africa; University of Cape Town; Swiss Federal Institutes of Technology Domain; ETH Zurich</t>
  </si>
  <si>
    <t>Djeutchouang, LM (corresponding author), CSIR, SOCCO, ZA-7700 Cape Town, South Africa.;Djeutchouang, LM (corresponding author), Univ Cape Town, Dept Oceanog, MARIS, ZA-7701 Cape Town, South Africa.</t>
  </si>
  <si>
    <t>merlindjeutchouang@gmail.com</t>
  </si>
  <si>
    <t>Gregor, Luke/AAY-5082-2021; Monteiro, Pedro M. S./D-3767-2009; Vichi, Marcello/GLR-9823-2022</t>
  </si>
  <si>
    <t>Gregor, Luke/0000-0001-6071-1857; Vichi, Marcello/0000-0002-0686-9634; Chang, Nicolette/0000-0001-7144-7529; Djeutchouang, Laique Merlin/0000-0001-7884-4586</t>
  </si>
  <si>
    <t>CSIR Southern Ocean Carbon - Climate Observatory (SOCCO) - Department of Science and Innovation (DSI); National Research Foundation (NRF) through the South African National Antarctic Programme (SANAP) [SNA170522231782, SNA170524232726]; Horizon 2020 through COMFORT [820989]</t>
  </si>
  <si>
    <t>CSIR Southern Ocean Carbon - Climate Observatory (SOCCO) - Department of Science and Innovation (DSI); National Research Foundation (NRF) through the South African National Antarctic Programme (SANAP); Horizon 2020 through COMFORT</t>
  </si>
  <si>
    <t>This work is part of a PhD, and the study was funded by the CSIR Southern Ocean Carbon -Climate Observatory (SOCCO) through financial support from the Department of Science and Innovation (DSI) and the National Research Foundation (NRF) through the South African National Antarctic Programme (SANAP (grant nos. SNA170522231782 and SNA170524232726)) hosted by MARIS at the University of Cape Town. This research has also been supported by Horizon 2020 through COMFORT (grant no. 820989).</t>
  </si>
  <si>
    <t>10.5194/bg-19-4171-2022</t>
  </si>
  <si>
    <t>4I3BP</t>
  </si>
  <si>
    <t>Green Submitted, Green Published, gold</t>
  </si>
  <si>
    <t>WOS:000850452900001</t>
  </si>
  <si>
    <t>Clark, CD; Ely, JC; Hindmarsh, RCA; Bradley, S; Ignéczi, A; Fabel, D; Cofaigh, CO; Chiverrell, RC; Scourse, J; Benetti, S; Bradwell, T; Evans, DJA; Roberts, DH; Burke, M; Callard, SL; Medialdea, A; Saher, M; Small, D; Smedley, RK; Gasson, E; Gregoire, L; Gandy, N; Hughes, ALC; Ballantyne, C; Bateman, MD; Bigg, GR; Doole, J; Dove, D; Duller, GAT; Jenkins, GTH; Livingstone, SL; McCarron, S; Moreton, S; Pollard, D; Praeg, D; Sejrup, HP; Van Landeghem, KJJ; Wilson, P</t>
  </si>
  <si>
    <t>Clark, Chris D.; Ely, Jeremy C.; Hindmarsh, Richard C. A.; Bradley, Sarah; Igneczi, Adam; Fabel, Derek; Cofaigh, Colm O.; Chiverrell, Richard C.; Scourse, James; Benetti, Sara; Bradwell, Tom; Evans, David J. A.; Roberts, David H.; Burke, Matt; Callard, S. Louise; Medialdea, Alicia; Saher, Margot; Small, David; Smedley, Rachel K.; Gasson, Edward; Gregoire, Lauren; Gandy, Niall; Hughes, Anna L. C.; Ballantyne, Colin; Bateman, Mark D.; Bigg, Grant R.; Doole, Jenny; Dove, Dayton; Duller, Geoff A. T.; Jenkins, Geraint T. H.; Livingstone, Stephen L.; McCarron, Stephen; Moreton, Steve; Pollard, David; Praeg, Daniel; Sejrup, Hans Petter; Van Landeghem, Katrien J. J.; Wilson, Peter</t>
  </si>
  <si>
    <t>Growth and retreat of the last British-Irish Ice Sheet, 31 000 to 15 000 years ago: the BRITICE-CHRONO reconstruction</t>
  </si>
  <si>
    <t>BOREAS</t>
  </si>
  <si>
    <t>LATE DEVENSIAN DEGLACIATION; OXFORD AMS SYSTEM; NORTH-SEA LOBE; LATE WEICHSELIAN GLACIATION; CONTINENTAL-SHELF WEST; MODEL PISM-PIK; RADIOCARBON-DATES; COSMOGENIC BE-10; EXPOSURE AGES; PALEOENVIRONMENTAL CHANGES</t>
  </si>
  <si>
    <t>The BRITICE-CHRONO consortium of researchers undertook a dating programme to constrain the timing of advance, maximum extent and retreat of the British-Irish Ice Sheet between 31 000 and 15 000 years before present. The dating campaign across Ireland and Britain and their continental shelves, and across the North Sea included 1500 days of field investigation yielding 18 000 km of marine geophysical data, 377 cores of sea floor sediments, and geomorphological and stratigraphical information at 121 sites on land; generating 690 new geochronometric ages. These findings are reported in 28 publications including synthesis into eight transect reconstructions. Here we build ice sheet-wide reconstructions consistent with these findings and using retreat patterns and dates for the inter-transect areas. Two reconstructions are presented, a wholly empirical version and a version that combines modelling with the new empirical evidence. Palaeoglaciological maps of ice extent, thickness, velocity, and flow geometry at thousand-year timesteps are presented. The maximum ice volume of 1.8 m sea level equivalent occurred at 23 ka. A larger extent than previously defined is found and widespread advance of ice to the continental shelf break is confirmed during the last glacial. Asynchrony occurred in the timing of maximum extent and onset of retreat, ranging from 30 to 22 ka. The tipping point of deglaciation at 22 ka was triggered by ice stream retreat and saddle collapses. Analysis of retreat rates leads us to accept our hypothesis that the marine-influenced sectors collapsed rapidly. First order controls on ice-sheet demise were glacio-isostatic loading triggering retreat of marine sectors, aided by glaciological instabilities and then climate warming finished off the smaller, terrestrial ice sheet. Overprinted on this signal were second order controls arising from variations in trough topographies and with sector-scale ice geometric readjustments arising from dispositions in the geography of the landscape. These second order controls produced a stepped deglaciation. The retreat of the British-Irish Ice Sheet is now the world's most well-constrained and a valuable data-rich environment for improving ice-sheet modelling.</t>
  </si>
  <si>
    <t>[Clark, Chris D.; Ely, Jeremy C.; Bradley, Sarah; Igneczi, Adam; Bateman, Mark D.; Bigg, Grant R.; Doole, Jenny; Livingstone, Stephen L.] Univ Sheffield, Dept Geog, Winter St, Sheffield S10 2TN, S Yorkshire, England; [Hindmarsh, Richard C. A.] British Antarctic Survey, Madingley Rd, Cambridge CB3 0ET, England; [Fabel, Derek; Moreton, Steve] Univ Glasgow, Scottish Univ Environm Res Ctr SUERC, Rankine Ave, Glasgow G75 0QF, Lanark, Scotland; [Cofaigh, Colm O.; Evans, David J. A.; Roberts, David H.; Small, David] Univ Durham, Dept Geog, South Rd Durham, Durham DH1 3LE, England; [Chiverrell, Richard C.; Smedley, Rachel K.] Univ Liverpool, Dept Geog &amp; Planning, Roxby Bldg, Liverpool L69 7ZT, Merseyside, England; [Scourse, James; Gasson, Edward] Univ Exeter, Coll Life &amp; Environm Sci, Penryn Campus, Penryn TR10 9EZ, Cornwall, England; [Benetti, Sara; Wilson, Peter] Ulster Univ, Sch Geog &amp; Environm Sci, Cromore Rd, Coleraine BT52 1SA, Londonderry, North Ireland; [Bradwell, Tom] Univ Stirling, Biol &amp; Environm Sci, Stirling FK9 4LA, Scotland; [Burke, Matt] Scottish Environm Protect Agcy, Inverdee House,Baxter St, Aberdeen AB11 9QA, Scotland; [Callard, S. Louise] Newcastle Univ Upon Tyne, Dept Geog, Newcastle Upon Tyne NE1 7RU, Tyne &amp; Wear, England; [Medialdea, Alicia] CENIEH Ctr Nacl Invest Evoluc Humana, P Sierra de Atapuerca 3, Burgos 09002, Spain; [Saher, Margot; Van Landeghem, Katrien J. J.] Bangor Univ, Sch Ocean Sci, Askew St, Menai Bridge LL59 5AB, Gwynedd, Wales; [Gregoire, Lauren; Gandy, Niall] Univ Leeds, Sch Earth &amp; Environm, Woodhouse, Leeds LS2 9JT, W Yorkshire, England; [Hughes, Anna L. C.] Univ Manchester, Dept Geog, Oxford Rd, Manchester M13 9PL, Lancs, England; [Ballantyne, Colin] Univ St Andrews, Sch Geog &amp; Sustainable Dev, North St, St Andrews KY15 5UF, Fife, Scotland; [Dove, Dayton] British Geol Survey, Edinburgh Off, Lyell Ctr Res Ave South, Edinburgh EH1 441P, Midlothian, Scotland; [Duller, Geoff A. T.; Jenkins, Geraint T. H.] Aberystwyth Univ, Dept Geog &amp; Earth Sci, Llandinam Bldg, Aberystwyth 2Y23 3DB, Ceredigion, Wales; [McCarron, Stephen] Maynooth Univ, Dept Geog, Rhetor House,South Campus Maynooth, Maynooth, Kildare, Ireland; [Pollard, David] Penn State Univ, Coll Earth &amp; Mineral Sci, University Pk, PA 16802 USA; [Praeg, Daniel] CNRS, Geoazur, UMR7329, Valbonne, France; [Sejrup, Hans Petter] Univ Bergen, Dept Earth Sci, POB 7803, N-5020 Bergen, Norway</t>
  </si>
  <si>
    <t>University of Sheffield; UK Research &amp; Innovation (UKRI); Natural Environment Research Council (NERC); NERC British Antarctic Survey; University of Glasgow; Durham University; University of Liverpool; University of Exeter; Ulster University; University of Stirling; Centro Nacional de Investigacion de La Evolucion Humana (CENIEH); Bangor University; University of Leeds; University of Manchester; University of St Andrews; UK Research &amp; Innovation (UKRI); Natural Environment Research Council (NERC); NERC British Geological Survey; Aberystwyth University; Maynooth University; Pennsylvania Commonwealth System of Higher Education (PCSHE); Pennsylvania State University; Pennsylvania State University - University Park; Universite Cote d'Azur; Observatoire de la Cote d'Azur; Centre National de la Recherche Scientifique (CNRS); CNRS - National Institute for Earth Sciences &amp; Astronomy (INSU); University of Bergen</t>
  </si>
  <si>
    <t>Clark, CD (corresponding author), Univ Sheffield, Dept Geog, Winter St, Sheffield S10 2TN, S Yorkshire, England.</t>
  </si>
  <si>
    <t>c.clark@sheffield.ac.uk</t>
  </si>
  <si>
    <t>Chiverrell, Richard C/A-9115-2011; CNRS, Géoazur UMR7329/AAB-9070-2020; Gregoire, Lauren J/A-7005-2011; Bigg, Grant/GXW-2219-2022; Fabel, Derek/A-2999-2010; Hindmarsh, Richard C A/C-1405-2012; Hughes, Anna L. C./J-5628-2015; clark, chris/C-3830-2009; Van Landeghem, Katrien/G-7423-2011</t>
  </si>
  <si>
    <t>CNRS, Géoazur UMR7329/0000-0003-1107-3128; Gregoire, Lauren J/0000-0003-0258-7282; Hughes, Anna L. C./0000-0001-8584-5202; clark, chris/0000-0002-1021-6679; Medialdea, Alicia/0000-0001-5895-0736; Van Landeghem, Katrien/0000-0002-1040-9956</t>
  </si>
  <si>
    <t>Natural Environment Research Council consortium grant BRITICE-CHRONO [NE/J009768/1]; NERC Radiocarbon Facility; NERC Cosmogenic Isotope Analysis Facility; European Research Council (ERC) under the European Union [787263]; NERC [NE/R014574/1]; NSF [PLR-1603799, PLR-1644277]; NASA [NNX17AG65G]; Italian PNRA project IPY GLAMAR [2009/A2.15]; European Union [656821]; NERC [NE/J007196/1, NE/J007579/2, NE/J007579/1, NE/J007846/2, NE/J007218/1] Funding Source: UKRI; Marie Curie Actions (MSCA) [656821] Funding Source: Marie Curie Actions (MSCA)</t>
  </si>
  <si>
    <t>Natural Environment Research Council consortium grant BRITICE-CHRONO; NERC Radiocarbon Facility(UK Research &amp; Innovation (UKRI)Natural Environment Research Council (NERC)); NERC Cosmogenic Isotope Analysis Facility(UK Research &amp; Innovation (UKRI)Natural Environment Research Council (NERC)); European Research Council (ERC) under the European Union(European Research Council (ERC)); NERC(UK Research &amp; Innovation (UKRI)Natural Environment Research Council (NERC)); NSF(National Science Foundation (NSF)); NASA(National Aeronautics &amp; Space Administration (NASA)); Italian PNRA project IPY GLAMAR; European Union(European Union (EU)); NERC(UK Research &amp; Innovation (UKRI)Natural Environment Research Council (NERC)); Marie Curie Actions (MSCA)(Marie Curie Actions)</t>
  </si>
  <si>
    <t>This paper is dedicated to Richard Hindmarsh with much love, he died while the paper was in review. Without him the BRITICE-CHRONO project would not have happened. This work was funded by the Natural Environment Research Council consortium grant BRITICE-CHRONO NE/J009768/1 and by the NERC Radiocarbon Facility and the NERC Cosmogenic Isotope Analysis Facility. Thanks are due to the staff at the SUERC AMS Laboratory, East Kilbride for carbon and beryllium isotope measurements. Thanks are due to the technical staff at the Aberystwyth Luminescence Research Laboratory and the Sheffield Luminescence Laboratory. The project benefited from the PalGlac team of researchers with funding from the European Research Council (ERC) under the European Union's Horizon 2020 research and innovation programme to CDC (Grant Agreement No. 787263) and supporting SB and AI. JCE acknowledges support from a NERC independent fellowship award (NE/R014574/1). Many researchers are thanked for their generous discussions or help on fieldwork on land or at sea including: Arosio R., Cotterill, C., Davies, S., Gales, J., Greenwood, S., Grimoldi, E., Mellett, C., Morgan, S., Purcell, C., Roseby, Z., Schiele, K., Stewart, H., Tarlati, S., Weilbach, K., Wilton, D. For our research cruises, we are grateful to the crew of RRS James Cook and the technical and engineering support from the Marine Operations team of the British Geological Survey. We thank the PISM team of ice-sheet modellers and Evan Gowan for ICESHEET, and note that the development of PISM was supported by NSF grants PLR-1603799 and PLR-1644277 and NASA grant NNX17AG65G. DP acknowledges funding from the Italian PNRA project IPY GLAMAR (grant number 2009/A2.15), and from the YEuropean Union's Horizon 2020 research and innovation programme under the Marie Skodowska-Curie grant agreement no. 656821 (project SEAGAS). We are indebted to the numerous pubs and bars that lubricated our conversations of science and gave sustenance during fieldwork. Bethan Davies and Martin Margold are thanked for their helpful comments on a version of this paper, and Jan A. Piotrowski for his work as editor.</t>
  </si>
  <si>
    <t>0300-9483</t>
  </si>
  <si>
    <t>1502-3885</t>
  </si>
  <si>
    <t>Boreas</t>
  </si>
  <si>
    <t>10.1111/bor.12594</t>
  </si>
  <si>
    <t>5H5VN</t>
  </si>
  <si>
    <t>Green Published, Green Accepted, hybrid</t>
  </si>
  <si>
    <t>WOS:000851253500001</t>
  </si>
  <si>
    <t>Myers, ME; Doran, PT; Myers, KF</t>
  </si>
  <si>
    <t>Myers, Madeline E.; Doran, Peter T.; Myers, Krista F.</t>
  </si>
  <si>
    <t>Valley-floor snowfall in Taylor Valley, Antarctica, from 1995 to 2017: spring, summer and autumn</t>
  </si>
  <si>
    <t>automated weather station; camera; McMurdo Dry Valleys; snow cover; snow persistence</t>
  </si>
  <si>
    <t>MCMURDO DRY VALLEYS; CLIMATE; DESERT; COVER; OSCILLATION; VARIABILITY; LANDSCAPE; ECOSYSTEM; ABLATION</t>
  </si>
  <si>
    <t>We present an analysis of the 20 year snowfall dataset in Taylor Valley and the results of a new snow cover monitoring study. Snowfall has been measured at four sites in Taylor Valley from 1995 to 2017. We focus on valley-floor snowfall when wind does not exceed 5 m s(-1), and we exclude winter from our analysis due to poor data quality. Snowfall averaged 11 mm water equivalent (w.e.) from 1995 to 2017 across all stations and ranged from 1 to 58 mm w.e. Standard deviations ranged from 3 to 17 mm w.e., highlighting the strong interannual variability of snowfall in Taylor Valley. During spring and autumn there is a spatial gradient in snowfall such that the coast received twice as much snowfall as more central and inland stations. We identified a changepoint in 2007 from increasing snowfall (3 mm w.e. yr(-1)) to decreasing snowfall (1 mm w.e. yr(-1)), which coincides with a shift from decreasing temperature to no detectable temperature trend. Daily camera imagery from 2007 to 2017 augments the snowfall measurements. The camera imagery revealed a near tripling of the average number of days with snow cover from 37 days between 2006 and 2012 to 106 days with snow cover between 2012 and 2017.</t>
  </si>
  <si>
    <t>[Myers, Madeline E.] Queens Univ, Dept Geog &amp; Planning, Kingston, ON K7L 3N6, Canada; [Doran, Peter T.; Myers, Krista F.] Louisiana State Univ Syst Ringgold Stand Inst Geo, E235 Howe Russell Geosci Complex, Baton Rouge, LA 70808 USA</t>
  </si>
  <si>
    <t>Queens University - Canada</t>
  </si>
  <si>
    <t>Myers, ME (corresponding author), Queens Univ, Dept Geog &amp; Planning, Kingston, ON K7L 3N6, Canada.</t>
  </si>
  <si>
    <t>madeline.myers@queensu.ca</t>
  </si>
  <si>
    <t>Myers, Madeline/0000-0002-2431-5520</t>
  </si>
  <si>
    <t>National Science Foundation [OPP-1637708]; Louisiana State University John Franks Chair Fund</t>
  </si>
  <si>
    <t>National Science Foundation(National Science Foundation (NSF)); Louisiana State University John Franks Chair Fund</t>
  </si>
  <si>
    <t>This research is funded by the National Science Foundation Grant #OPP-1637708 for Long Term Ecological Research. Support was also provided by the Louisiana State University John Franks Chair Fund.</t>
  </si>
  <si>
    <t>AUG</t>
  </si>
  <si>
    <t>PII S0954102022000256</t>
  </si>
  <si>
    <t>10.1017/S0954102022000256</t>
  </si>
  <si>
    <t>4M7JO</t>
  </si>
  <si>
    <t>WOS:000850367600001</t>
  </si>
  <si>
    <t>Bahamonde, F; Rodriguez, JP; Rosenfeld, S; Méndez, F; López, Z; Gerard, K; Mansilla, A</t>
  </si>
  <si>
    <t>Bahamonde, Francisco; Pablo Rodriguez, Juan; Rosenfeld, Sebastian; Mendez, Fabio; Lopez, Zambra; Gerard, Karin; Mansilla, Andres</t>
  </si>
  <si>
    <t>Variability at multiple spatial scales in intertidal and subtidal macrobenthic communities in a fjord with glaciers, Magellanic Subantarctic ecoregion, Chile</t>
  </si>
  <si>
    <t>Macrobenthic communities; Spatial scales; Environmental heterogeneity; Glacial influence; Macroalgae; Marine invertebrates</t>
  </si>
  <si>
    <t>MACROALGA GIGARTINA-SKOTTSBERGII; SEASTARS LEPTASTERIAS-POLARIS; HORN BIOSPHERE RESERVE; ROCKY SHORE; CAPE HORN; BEAGLE CHANNEL; MUSSEL BEDS; BIOLOGICAL FACTORS; SALINITY GRADIENT; SCHELDT ESTUARY</t>
  </si>
  <si>
    <t>It has been observed in high-latitude marine environments of the Southern Hemisphere that the variability in the ecological patterns of macrobenthic communities show variations at different spatial scales (i.e. cm to km), mainly influenced by environmental stress gradients. We examined macrobenthic communities of intertidal and subtidal habitats in a glacial fjord using taxonomic, ecological and oceanographic approaches, estimating vertical and horizontal variation using a nested design with different spatial scales ranging from centimeters to kilo-meters (quadrats, patches, shore and sites respectively). We found that vertical patterns in taxon richness and community structure were significant in both habitats. These patterns also showed horizontal variability at different spatial scales, becoming more pronounced at smaller scales (quadrats). The dominant taxa in the intertidal (macroalga) and subtidal (macroinvertebrate) communities also exhibited a scale-dependent distri-bution pattern, indicating that the greatest horizontal variation occurs at small spatial scales. Annual and opportunistic green algae such as Ulva intestinalis and Cladophora flexuosa were dominant in the intertidal, while the dominant taxa in the subtidal were the filter-feeding bivalve Aulacomya atra and the suspensivorous hy-drozoan Symplectoscyphus marionensis. The results were related to biological interactions and local abiotic factors characteristic of an estuarine system influenced by glaciers, with lower salinity and temperature and higher turbidity in sites close to glaciers. The information generated on diversity patterns is very relevant and can serve as a baseline in the evaluation of ecological patterns of shallow macrobenthic communities in environmental gradients influenced by glaciers in the Magellanic Subantarctic ecoregion.</t>
  </si>
  <si>
    <t>[Bahamonde, Francisco; Pablo Rodriguez, Juan; Rosenfeld, Sebastian; Mendez, Fabio; Lopez, Zambra; Gerard, Karin; Mansilla, Andres] Univ Magallanes, Lab Ecosistemas Marinos Antart &amp; Subantart, Punta Arenas, Chile; [Bahamonde, Francisco] Univ Magallanes, Programa Magister Ciencias Menc Manejo &amp; Conserva, Casilla 113-D, Punta Arenas, Chile; [Bahamonde, Francisco; Pablo Rodriguez, Juan; Rosenfeld, Sebastian; Mendez, Fabio; Gerard, Karin; Mansilla, Andres] Univ Magallanes, Cape Horn Int Ctr CHIC, Punta Arenas, Chile; [Pablo Rodriguez, Juan; Mendez, Fabio] Univ Magallanes, Programa Doctorado Ciencias Antart &amp; Subantart, Punta Arenas, Chile; [Rosenfeld, Sebastian; Lopez, Zambra; Gerard, Karin] Millennium Inst Biodivers Antarctic &amp; Subantarct, Valdivia, Chile; [Rosenfeld, Sebastian; Gerard, Karin] Univ Magallanes, Ctr Invest Gaia Antart, Ave Bulnes, Punta Arenas 01855, Chile</t>
  </si>
  <si>
    <t>Universidad de Magallanes; Universidad de Magallanes; Universidad de Magallanes; Universidad de Magallanes; Universidad de Magallanes</t>
  </si>
  <si>
    <t>Rosenfeld, S (corresponding author), Univ Chile, Fac Ciencias, Dept Ciencias Ecol, Lab Ecol Mol, Santiago, Chile.</t>
  </si>
  <si>
    <t>sebastian.rosenfeld@umag.cl</t>
  </si>
  <si>
    <t>Rosenfeld, Sebastian/0000-0002-4363-8018; Mansilla, Andres/0000-0003-3505-7018</t>
  </si>
  <si>
    <t>FONDECYT [PIA/BASAL PFB210018]; ANID [ICN2021_002]; Technological Centers of Excellence; Basal Financing ANID-Chile; ANID - Millennium Science Initiative Program; [1180433]; [ACE210006]</t>
  </si>
  <si>
    <t>FONDECYT(Comision Nacional de Investigacion Cientifica y Tecnologica (CONICYT)CONICYT FONDECYT); ANID; Technological Centers of Excellence; Basal Financing ANID-Chile; ANID - Millennium Science Initiative Program; ;</t>
  </si>
  <si>
    <t>FONDECYT Regular 1180433, Grant ANID ACE210006, Technological Centers of Excellence with Basal Financing ANID-Chile to the Cape Horn International Center (CHIC-ANID PIA/BASAL PFB210018) and ANID - Millennium Science Initiative Program - ICN2021_002.</t>
  </si>
  <si>
    <t>10.1016/j.pocean.2022.102879</t>
  </si>
  <si>
    <t>5M3UJ</t>
  </si>
  <si>
    <t>WOS:000871024300004</t>
  </si>
  <si>
    <t>Bland, E; Bozoki, T; Partamies, N</t>
  </si>
  <si>
    <t>Bland, Emma; Bozoki, Tamas; Partamies, Noora</t>
  </si>
  <si>
    <t>Spatial extent of the energetic electron precipitation region during substorms</t>
  </si>
  <si>
    <t>FRONTIERS IN ASTRONOMY AND SPACE SCIENCES</t>
  </si>
  <si>
    <t>particle precipitation; substorm; ionosphere; riometer; superdarn</t>
  </si>
  <si>
    <t>PARTICLE-PRECIPITATION; SUPERDARN; DYNAMICS; IMPACT</t>
  </si>
  <si>
    <t>The spatial coverage of the energetic electron precipitation (EEP) region during three substorms has been determined using a combination of ground-based instruments in North America. The primary datasets used to determine the presence or absence of EEP are riometer measurements of cosmic noise absorption (CNA); attenuation of the 10-11 MHz atmospheric noise in the D-region ionosphere determined using the Super Dual Auroral Radar Network (SuperDARN); amplitude variations in subionospheric very low frequency (VLF) propagation observed using the Antarctic-Arctic Radiation-belt (Dynamic) Deposition VLF Atmospheric Research Konsortium (AARDDVARK) VLF receivers, and total electron content measurements derived from global navigation satellite systems. Our results show that substorm EEP during moderate geomagnetic conditions can extend considerably equatorward or poleward of the average latitude limits reported in a previous statistical study of substorm EEP and an EEP model. This evidence is provided by the SuperDARN radars and the radar signature is not always accompanied by cosmic noise absorption measured by the riometers. Further work is required to determine which EEP energies and fluxes the SuperDARN radars are sensitive to, but we can conclude that EEP with sufficient flux to attenuate 10-11 MHz radiowaves by &amp; SIM;5 dB reaches latitudes well equatorward of the statistical EEP latitude limits previously modelled for &gt; 30 keV electrons.</t>
  </si>
  <si>
    <t>[Bland, Emma; Partamies, Noora] Univ Ctr Svalbard, Dept Arctic Geophys, Longyearbyen, Norway; [Bozoki, Tamas] Inst Earth Phys &amp; Space Sci ELKH EPSS, Sopron, Hungary; [Bozoki, Tamas] Univ Szeged, Dept Opt &amp; Quantum Elect, Szeged, Hungary; [Partamies, Noora] Univ Bergen, Birkeland Ctr Space Sci, Bergen, Norway</t>
  </si>
  <si>
    <t>University Centre Svalbard (UNIS); Hungarian Research Network; HUN-REN Institute of Earth Physics &amp; Space Science; Szeged University; University of Bergen</t>
  </si>
  <si>
    <t>Bland, E (corresponding author), Univ Ctr Svalbard, Dept Arctic Geophys, Longyearbyen, Norway.</t>
  </si>
  <si>
    <t>emmab@unis.no</t>
  </si>
  <si>
    <t>Bland, Emma/JAC-6039-2023; Partamies, Noora/G-3408-2014</t>
  </si>
  <si>
    <t>Norwegian Research Council (NRC); NRC under CoE [287427]; [223252]</t>
  </si>
  <si>
    <t>Norwegian Research Council (NRC)(Research Council of Norway); NRC under CoE;</t>
  </si>
  <si>
    <t>EB is supported by the Norwegian Research Council (NRC) under contract 287427. NP is supported by the NRC under CoE contract 223252.</t>
  </si>
  <si>
    <t>2296-987X</t>
  </si>
  <si>
    <t>FRONT ASTRON SPACE</t>
  </si>
  <si>
    <t>Front. Astron. Space Sci.</t>
  </si>
  <si>
    <t>SEP 6</t>
  </si>
  <si>
    <t>10.3389/fspas.2022.978371</t>
  </si>
  <si>
    <t>4W6VO</t>
  </si>
  <si>
    <t>WOS:000860298100001</t>
  </si>
  <si>
    <t>Eggington, JWB; Coxon, JC; Shore, RM; Desai, RT; Mejnertsen, L; Chittenden, JP; Eastwood, JP</t>
  </si>
  <si>
    <t>Eggington, J. W. B.; Coxon, J. C.; Shore, R. M.; Desai, R. T.; Mejnertsen, L.; Chittenden, J. P.; Eastwood, J. P.</t>
  </si>
  <si>
    <t>Response timescales of the magnetotail current sheet during a geomagnetic storm: Global MHD simulations</t>
  </si>
  <si>
    <t>magnetotail twisting; current sheet; response timescales; geomagnetic storm; magnetosphere-ionophere coupling; global MHD simulations; space weather</t>
  </si>
  <si>
    <t>IMF B-Y; INTERPLANETARY MAGNETIC-FIELD; PLASMA SHEET; MAGNETOSPHERE; COMPONENT; PENETRATION; SPACE; SHAPE; ORIENTATION; PERFORMANCE</t>
  </si>
  <si>
    <t>The response of the Earth's magnetotail current sheet to the external solar wind driver is highly time-dependent and asymmetric. For example, the current sheet twists in response to variations in the B-y component of the interplanetary magnetic field (IMF), and is hinged by the dipole tilt. Understanding the timescales over which these asymmetries manifest is of particular importance during geomagnetic storms when the dynamics of the tail control substorm activity. To investigate this, we use the Gorgon MHD model to simulate a geomagnetic storm which commenced on 3 May 2014, and was host to multiple B-y and B-z reversals and a prolonged period of southward IMF driving. We find that the twisting of the current sheet is well-correlated to IMF B-y throughout the event, with the angle of rotation increasing linearly with downtail distance and being more pronounced when the tail contains less open flux. During periods of southward IMF the twisting of the central current sheet responds most strongly at a timelag of similar to 100 min for distances beyond 20 R-E, consistent with the 1-2 h convection timescale identified in the open flux content. Under predominantly northward IMF the response of the twisting is bimodal, with the strongest correlations between 15 and 40 R-E downtail being at a shorter timescale of - 30 min consistent with that estimated for induced B-y due to wave propagation, compared to a longer timescale of similar to 3 h further downtail again attributed to convection. This indicates that asymmetries in the magnetotail communicated by IMF B-y are influenced mostly by global convection during strong solar wind driving, but that more prompt induced B-y effects can dominate in the near- Earth tail and during periods of weaker driving. These results provide new insight into the characteristic timescales of solar wind-magnetosphere-ionosphere coupling.</t>
  </si>
  <si>
    <t>[Eggington, J. W. B.; Desai, R. T.; Mejnertsen, L.; Eastwood, J. P.] Imperial Coll London, Blackett Lab, Space &amp; Atmospher Phys Grp, London, England; [Coxon, J. C.] Northumbria Univ, Dept Math Phys &amp; Elect Engn, Newcastle Upon Tyne, England; [Shore, R. M.] British Antarctic Survey, Cambridge, England; [Chittenden, J. P.] Imperial Coll London, Blackett Lab, Plasma Phys Grp, London, England</t>
  </si>
  <si>
    <t>Imperial College London; Northumbria University; UK Research &amp; Innovation (UKRI); Natural Environment Research Council (NERC); NERC British Antarctic Survey; Imperial College London</t>
  </si>
  <si>
    <t>Eggington, JWB (corresponding author), Imperial Coll London, Blackett Lab, Space &amp; Atmospher Phys Grp, London, England.</t>
  </si>
  <si>
    <t>j.eggington17@imperial.ac.uk</t>
  </si>
  <si>
    <t>Coxon, John/AAN-9355-2021</t>
  </si>
  <si>
    <t>Coxon, John/0000-0002-0166-6854</t>
  </si>
  <si>
    <t>Science and Technology Facilities Council (STFC) Studentship; STFC Ernest Rutherford Fellowship [ST/R504816/1]; Natural Environment Research Council (NERC) [ST/V004883/1]; NERC [NE/V002716/1, NE/V002732/1]; [NE/P017142/1]; [NE/V003070/1]; [NE/P017347/1]</t>
  </si>
  <si>
    <t>Science and Technology Facilities Council (STFC) Studentship(UK Research &amp; Innovation (UKRI)Science &amp; Technology Facilities Council (STFC)); STFC Ernest Rutherford Fellowship(UK Research &amp; Innovation (UKRI)Science &amp; Technology Facilities Council (STFC)); Natural Environment Research Council (NERC)(UK Research &amp; Innovation (UKRI)Natural Environment Research Council (NERC)); NERC(UK Research &amp; Innovation (UKRI)Natural Environment Research Council (NERC)); ; ;</t>
  </si>
  <si>
    <t>JWBE was supported by Science and Technology Facilities Council (STFC) Studentship ST/R504816/1. JCC was supported by STFC Ernest Rutherford Fellowship ST/V004883/1. RS was supported by Natural Environment Research Council (NERC) grants NE/V002716/1 and NE/V002732/1. JWBE, LM, JPC and JPE acknowledge funding by NERC grant NE/P017142/1. JWBE, JPC and JPE acknowledge funding by NERC grant NE/V003070/1. RD, JPC and JPE acknowledge funding by NERC grant NE/P017347/1.</t>
  </si>
  <si>
    <t>10.3389/fspas.2022.966164</t>
  </si>
  <si>
    <t>4T1UK</t>
  </si>
  <si>
    <t>Green Accepted, gold</t>
  </si>
  <si>
    <t>WOS:000857911300001</t>
  </si>
  <si>
    <t>Santamarina, PE; Barreda, VD; Iglesias, A; Varela, AN; Mays, C</t>
  </si>
  <si>
    <t>Santamarina, P. E.; Barreda, V. D.; Iglesias, A.; Varela, A. N.; Mays, C.</t>
  </si>
  <si>
    <t>Comparison of mid-Cretaceous (Cenomanian-Turonian) high-latitude palynofloras from Patagonia and New Zealand: Richness, ecology, and provincialization</t>
  </si>
  <si>
    <t>PALAEOGEOGRAPHY PALAEOCLIMATOLOGY PALAEOECOLOGY</t>
  </si>
  <si>
    <t>Cenomanian-Turonian; Patagonia; New Zealand; Paleopalynology; Paleofloristics; Paleobiogeography</t>
  </si>
  <si>
    <t>CHATHAM ISLANDS; ANGIOSPERM DIVERSIFICATION; SOUTHERN PATAGONIA; TUPUANGI FORMATION; GUSTAV-GROUP; EVENT; DIVERSITY; EVOLUTION; BASIN; RAREFACTION</t>
  </si>
  <si>
    <t>The Cenomanian-Turonian is considered the warmest interval of the last 150 million years. It was characterized by major disturbances to the global carbon cycle, resulting in elevated pCO2levels and global temperatures, and witnessed the rise to dominance of angiosperms floras. In this paper, we assess changes of fossil floras during the Cenomanian-Turonian interval based on palynological studies of two distantly-spaced localities in high southern paleolatitudes: the Mata Amarilla Formation of Patagonia, southern South America and the Tupuangi Formation of the Chatham Islands, New Zealand. Richness estimations for each stratigraphic unit and cluster analysis were conducted to assess the vegetation changes. Palynological dominance and the presence/absence of taxa were compiled for these units and compared with others from the Cenomanian of southern Gondwana. We recognize a peak in richness during the Mid-Cenomanian Event in Patagonia, with a fall in richness after the event due to species being displaced by dominant taxa. Several richness peaks are also recognized in New Zealand, but the lack of stratigraphic control prevents correlation with marine-based events. Oceanic Anoxic Event 2 is not recorded in either study area. The inclusion of Gondwanic palynological records demonstrate that the Tupuangi Formation cluster with sites from the Antarctic Peninsula and south-eastern Australia conforming a 'polar cluster'. However, this area has its own palynological signature, constituting a newly proposed Tax-odiaceaepollenites Subprovince. The abundances of key plant groups of the Mata Amarilla Formation cluster with those of Bathurst Island (northern Australia), but also show important differences, likely owing to their geographic separation and latitudinal difference. In summary, our paper presents a new scheme for the mid-Cretaceous palynological provinces of Southern Gondwana and provides novel data sets for Patagonia and New Zealand, which can be used as reference points for palynological and paleoecological studies of coeval floras worldwide.</t>
  </si>
  <si>
    <t>[Santamarina, P. E.; Barreda, V. D.] Consejo Nacl Invest Cient &amp; Tecn, Museo Argentino Ciencias Nat Bernardino Rivadavia, MACN, Ave Angel Gallardo 470,C1405DJR, Buenos Aires, Argentina; [Iglesias, A.] CONICET UNCO, Inst Invest Biodivers &amp; Medioambiente INIBIOMA, Quintral 1250, RA-8400 San Carlos De Bariloche, Rio Negro, Argentina; [Varela, A. N.] Y TEC SA, CONICET, Ave Petr s-n, RA-1923 Berisso, Buenos Aires, Argentina; [Varela, A. N.] Catedra Micromorfol Suelos, Fac Ciencias Nat &amp; Museo, Calle 122 &amp; 60 s-n, RA-1900 La Plata, Buenos Aires, Argentina; [Mays, C.] Univ Coll Cork, Environm Res Inst, Sch Biol Earth &amp; Environm Sci, Cork T23N73K, Ireland</t>
  </si>
  <si>
    <t>Museo Argentino de Ciencias Naturales Bernardino Rivadavia (MACN); Consejo Nacional de Investigaciones Cientificas y Tecnicas (CONICET); Consejo Nacional de Investigaciones Cientificas y Tecnicas (CONICET); Universidad Nacional del Comahue; Consejo Nacional de Investigaciones Cientificas y Tecnicas (CONICET); National University of La Plata; Museo La Plata; University College Cork</t>
  </si>
  <si>
    <t>Santamarina, PE (corresponding author), Consejo Nacl Invest Cient &amp; Tecn, Museo Argentino Ciencias Nat Bernardino Rivadavia, MACN, Ave Angel Gallardo 470,C1405DJR, Buenos Aires, Argentina.</t>
  </si>
  <si>
    <t>santamarinape@gmail.com; vbarreda@macn.gov.ar; augusto.n.varela@ypftecnologia.com; cmays@ucc.ie</t>
  </si>
  <si>
    <t>Mays, Chris/0000-0002-5416-2289</t>
  </si>
  <si>
    <t>Howard Falcon-Lang (Department of Earth Sci-ences) [PIP-2010-1016, 11220150100866CO, PICT-2013-0388, PICT-2020-01212]; Smithsonian Tropical Research Institute [PIP-2010-1016, 11220150100866CO, PICT-2013-0388, PICT-2020-01212]; Anders Foundation; 1923 Fund; National Geographic Society [PIP-2010-1016]; [9761-15]</t>
  </si>
  <si>
    <t>Howard Falcon-Lang (Department of Earth Sci-ences); Smithsonian Tropical Research Institute(Smithsonian InstitutionSmithsonian Tropical Research Institute); Anders Foundation; 1923 Fund; National Geographic Society(National Geographic Society);</t>
  </si>
  <si>
    <t>All authors thank Howard Falcon-Lang (Department of Earth Sci-ences, Royal Holloway, University of London) , Eduardo Ottone (Insti-tuto de Estudios Andinos ?Don Pablo Groeber?-OCA-Ciudad Universitaria) , and an anonymous reviewer for the helpful comments that improve this article. PS, VB, AI, and AV thank: S. Mirabelli, and O. C?ardenas for their technical assistance; the Secretar?a de Cultura de la Provincia de Santa Cruz, the Comisi?on de Fomento Tres Lagos, Daniel Poire?, and the War-ing, Piccinini, and Nacer families for their field work permission and invaluable help both in and out of the field. Financial support was provided through PIP-2010-1016, 11220150100866CO, PICT-2013-0388, and PICT-2020-01212 grants, the Smithsonian Tropical Research Institute, the Anders Foundation, 1923 Fund, and Gregory D. and Jennifer Walston Johnson. CM thanks: G. Jordan and K. Sniderman for their assistance with the collation of Australian data; and B. and D. Gregory-Hunt, J. Preece, K. and J. Lanauze, L. Sorrentino-Mariconda, S. Poropat, A. McMahon, and C. Rodriguez for their field assistance on the Chatham Islands. Addi-tional funding was awarded to CM by the National Geographic Society (grant number 9761-15) .</t>
  </si>
  <si>
    <t>0031-0182</t>
  </si>
  <si>
    <t>1872-616X</t>
  </si>
  <si>
    <t>PALAEOGEOGR PALAEOCL</t>
  </si>
  <si>
    <t>Paleogeogr. Paleoclimatol. Paleoecol.</t>
  </si>
  <si>
    <t>10.1016/j.palaeo.2022.111216</t>
  </si>
  <si>
    <t>Geography, Physical; Geosciences, Multidisciplinary; Paleontology</t>
  </si>
  <si>
    <t>Physical Geography; Geology; Paleontology</t>
  </si>
  <si>
    <t>4V2XC</t>
  </si>
  <si>
    <t>WOS:000859344500002</t>
  </si>
  <si>
    <t>Chawarski, J; Klevjer, TA; Coté, D; Geoffroy, M</t>
  </si>
  <si>
    <t>Chawarski, Julek; Klevjer, Thor A.; Cote, David; Geoffroy, Maxime</t>
  </si>
  <si>
    <t>Evidence of temperature control on mesopelagic fish and zooplankton communities at high latitudes</t>
  </si>
  <si>
    <t>mesopelagic zone; deep scattering layer (DSLs); hydroacoustics; marine ecology and ecosystem; polar; biogeography</t>
  </si>
  <si>
    <t>BENTHOSEMA-GLACIALE; DAVIS STRAIT; OCEAN; SEA; CLASSIFICATION; FRONTS; WATER</t>
  </si>
  <si>
    <t>Across temperate and equatorial oceans, a diverse community of fish and zooplankton occupies the mesopelagic zone, where they are detectable as sound-scattering layers. At high latitudes, extreme day-night light cycles may limit the range of some species, while at lower latitudes communities are structured by dynamic ocean processes, such as temperature. Using acoustic and oceanographic measurements, we demonstrate that latitudinal changes in mesopelagic communities align with polar boundaries defined by deep ocean temperature gradients. At the transition to cold polar water masses we observe abrupt weakening and vertical dispersion of acoustic backscatter of mesopelagic organisms, thereby altering the structure of the mesopelagic zone. In the Canadian Arctic, we used biological sampling to show that this boundary is associated with a significant change in the pelagic fish community structure. Rapid ocean warming projected at mesopelagic depths could shift these boundaries with far-reaching effects on ecosystem function and biogeochemical cycles.</t>
  </si>
  <si>
    <t>[Chawarski, Julek; Geoffroy, Maxime] Mem Univ Newfoundland, Fisheries &amp; Marine Inst, Ctr Fisheries Ecosyst Res, St John, NL, Canada; [Klevjer, Thor A.] Plankton Res Grp, Inst Marine Res, Bergen, Norway; [Cote, David] Fisheries &amp; Oceans Canada, Northwest Atlantic Fisheries Ctr, St John, NL, Canada; [Geoffroy, Maxime] UiT Arctic Univ Norway, Fac Biosci Fisheries &amp; Econ, Tromso, Norway</t>
  </si>
  <si>
    <t>Memorial University Newfoundland; Institute of Marine Research - Norway; Fisheries &amp; Oceans Canada; UiT The Arctic University of Tromso</t>
  </si>
  <si>
    <t>Chawarski, J (corresponding author), Mem Univ Newfoundland, Fisheries &amp; Marine Inst, Ctr Fisheries Ecosyst Res, St John, NL, Canada.</t>
  </si>
  <si>
    <t>julian.chawarski@gmail.com</t>
  </si>
  <si>
    <t>Chawarski, Julian/0000-0001-5107-2037</t>
  </si>
  <si>
    <t>Ocean Frontier Institute through the Canada First Research Excellence fund; Natural Sciences and Engineering Research Council through the Discovery Grant program, and ArcticNet a Network of Centres of Excellence Canada; AKES expedition - Royal Norwegian Ministry of Fisheries and Coastal Affairs, Institute of Marine Research; University of Bergen, Norwegian Antarctic Research Expeditions (NARE); Research Council of Norway; Norsk Hydro (StatoilHydro); Norwegian Petroleum Directorate and ABB Norway; Ocean Frontier Institute (OFI) Visiting Fellows Program; project &lt;&lt; From swarming behaviour to trophic interactions: forecasting dynamics of Antarctic krill in ecosystem hotspots using behaviour-based models &gt;&gt; (SWARM; Canada Foundation for Innovation and Natural Sciences and Engineering Research Council of Canada; [RCN 267416]</t>
  </si>
  <si>
    <t>Ocean Frontier Institute through the Canada First Research Excellence fund; Natural Sciences and Engineering Research Council through the Discovery Grant program, and ArcticNet a Network of Centres of Excellence Canada; AKES expedition - Royal Norwegian Ministry of Fisheries and Coastal Affairs, Institute of Marine Research; University of Bergen, Norwegian Antarctic Research Expeditions (NARE); Research Council of Norway(Research Council of Norway); Norsk Hydro (StatoilHydro)(Norsk Hydro ASA); Norwegian Petroleum Directorate and ABB Norway; Ocean Frontier Institute (OFI) Visiting Fellows Program; project &lt;&lt; From swarming behaviour to trophic interactions: forecasting dynamics of Antarctic krill in ecosystem hotspots using behaviour-based models &gt;&gt; (SWARM; Canada Foundation for Innovation and Natural Sciences and Engineering Research Council of Canada(Natural Sciences and Engineering Research Council of Canada (NSERC));</t>
  </si>
  <si>
    <t>This work is financially supported by the Ocean Frontier Institute through the Canada First Research Excellence fund, the Natural Sciences and Engineering Research Council through the Discovery Grant program, and ArcticNet a Network of Centres of Excellence Canada. Ship time was provided by the Department of Fisheries and Oceans Canada (DFO) and Amundsen Science. The R/V G.O Sars data were collected during the AKES expedition, funded by The Royal Norwegian Ministry of Fisheries and Coastal Affairs, Institute of Marine Research, The University of Bergen, Norwegian Antarctic Research Expeditions (NARE), The Research Council of Norway, and was sponsored by Norsk Hydro (StatoilHydro), the Norwegian Petroleum Directorate and ABB Norway. TAK was supported by the Ocean Frontier Institute (OFI) Visiting Fellows Program, and The Research Council of Norway is thanked for the financial support for the project &lt;&lt; From swarming behaviour to trophic interactions: forecasting dynamics of Antarctic krill in ecosystem hotspots using behaviour-based models &gt;&gt; (SWARM, RCN 267416). Some of the data presented herein were collected by the Canadian research icebreaker CCGS Amundsen and made available by the Amundsen Science program, which was supported by the Canada Foundation for Innovation and Natural Sciences and Engineering Research Council of Canada. The views expressed in this publication do not necessarily represent the views of Amundsen Science or that of its partners.</t>
  </si>
  <si>
    <t>10.3389/fmars.2022.917985</t>
  </si>
  <si>
    <t>4Q2RA</t>
  </si>
  <si>
    <t>WOS:000855931000001</t>
  </si>
  <si>
    <t>Sokolov, SG; Shchenkov, SV; Khasanov, FK; Kornyychuk, YM; Gordeev, II</t>
  </si>
  <si>
    <t>Sokolov, Sergey G.; Shchenkov, Sergei, V; Khasanov, Fuat K.; Kornyychuk, Yuliya M.; Gordeev, Ilya I.</t>
  </si>
  <si>
    <t>Redescription and phylogenetic assessment of Helicometra antarcticae Holloway &amp; Bier, 1968 (Trematoda, Opecoelidae), with evidence of non-monophyletic status of the genus Helicometra Odhner, 1902</t>
  </si>
  <si>
    <t>ZOOSYSTEMA</t>
  </si>
  <si>
    <t>Helicometrinae; Dissostichus; Helicometrina; Antarctic; 28S rRNA</t>
  </si>
  <si>
    <t>MARINE FISHES; FAMILY OPECOELIDAE; DIGENEA; PARASITES; SEA; PLATYHELMINTHES</t>
  </si>
  <si>
    <t>Helicometra antarcticae Holloway &amp; Bier, 1968 is one of the few Antarctic representatives of the species-rich genus Helicometra Odhner, 1902. It is traditionally attributed to morphological Group IV of Helicometra spp., characterized by a cup-shaped oral sucker with a terminal mouth opening. Helicometra antarcticae, similar to other Antarctic representatives of the genus, is quite rare and poorly studied. We redescribe this species based on newly collected material from the Antarctic toothfish, Dissostichus mawsoni Norman, 1937 (Nototheniidae Gunther, 1861) caught in the Ross Sea (Antarctica) and evaluate its phylogenetic position using a fragment of the nuclear 28S rRNA gene. We provide new morphological details on H. antarcticae concerning the arrangement of the ventral part of the fields of vitelline follicles and the morphology of the proximal portion of the oviduct. Additionally, we describe the morphology of Helicometra sp. (morphological Group IV) from the Pacific zoarcid fish, Lycodes cf. brunneofasciatus Suvorov, 1935, caught off Simushir Island (Pacific Ocean) and Helicometra fasciata sensu lato (morphological Group I), from the black scorpion fish Scorpaena porcus Linnaeus, 1758 from the Black Sea. In our phylogenetic analysis, H. antarcticae clustered with a Pacific Helicometra sp. This Glade has a sister relationship to the well-supported clade containing Helicometrina nimia Linton, 1910 and Helicometra spp. of Groups I and III respectively, including H. fasciata sensu lato from the Black Sea. Thus, our phylogenetic data indicate that Helicometra is not a monophyletic genus.</t>
  </si>
  <si>
    <t>[Sokolov, Sergey G.; Khasanov, Fuat K.] AN Severtsov Inst Ecol &amp; Evolut, Ctr Parasitol, Leninskiy Av 33, Moscow 119071, Russia; [Shchenkov, Sergei, V] St Petersburg State Univ, Dept Invertebrate Zool, Univ Skaya Nab 7-9, St Petersburg 199034, Russia; [Kornyychuk, Yuliya M.] AO Kovalevsky Inst Biol Southern Seas, Nakhimov Ave 2, Sevastopol 299011, Russia; [Gordeev, Ilya I.] Russian Fed Res Inst Fisheries &amp; Oceanog, Dept Pacific Salmon, Okruzhnoy Proyezd 19, Moscow 105187, Russia; [Gordeev, Ilya I.] Lomonosov Moscow State Univ, Dept Invertebrate Zool, Leninskiye Gory 1-12, Moscow 119234, Russia</t>
  </si>
  <si>
    <t>Russian Academy of Sciences; Saratov Scientific Center of the Russian Academy of Sciences; Severtsov Institute of Ecology &amp; Evolution; Saint Petersburg State University; Russian Academy of Sciences; AO Kovalevsky Institute of Biology of the Southern Seas of RAS (IBSS); Research lnstitute of Fisheries &amp; Oceanography; Lomonosov Moscow State University</t>
  </si>
  <si>
    <t>Gordeev, II (corresponding author), Russian Fed Res Inst Fisheries &amp; Oceanog, Dept Pacific Salmon, Okruzhnoy Proyezd 19, Moscow 105187, Russia.;Gordeev, II (corresponding author), Lomonosov Moscow State Univ, Dept Invertebrate Zool, Leninskiye Gory 1-12, Moscow 119234, Russia.</t>
  </si>
  <si>
    <t>sokolovsg@mail.ru; syshchenkov@yandex.ru; fuatka@mail.ru; miju2811@mail.ru; gordeev_ilya@bk.ru</t>
  </si>
  <si>
    <t>Kornyychuk, Yuliya/C-5942-2016; Gordeev, Ilya/F-2972-2017; Sokolov, Sergey/J-2716-2018</t>
  </si>
  <si>
    <t>Kornyychuk, Yuliya/0000-0003-3095-6436; Gordeev, Ilya/0000-0002-6650-9120; Sokolov, Sergey/0000-0002-4822-966X; Shchenkov, Sergei/0000-0002-0579-1660</t>
  </si>
  <si>
    <t>A. N. Severtsov Institute of Ecology and Evolution of Russian Academy of Sciences [FFER-2021-0005]; A. O. Kovalevsky Institute of Biology of the Southern Seas of Russian Academy of Sciences [121030100028-0]</t>
  </si>
  <si>
    <t>A. N. Severtsov Institute of Ecology and Evolution of Russian Academy of Sciences; A. O. Kovalevsky Institute of Biology of the Southern Seas of Russian Academy of Sciences</t>
  </si>
  <si>
    <t>The authors are grateful to the crew of the fishing vessels Yantar-35 (ORION Ltd., Khabarovsk) and Antoliy Torchinov (Primorskaya Ribolobnaya Companiya Ltd., Yuzhno-Sakhalinsk) for help in collecting the hosts. This work is a part of the state-supported studies in the A. N. Severtsov Institute of Ecology and Evolution of Russian Academy of Sciences (project no. FFER-2021-0005) and the A. O. Kovalevsky Institute of Biology of the Southern Seas of Russian Academy of Sciences (project no. 121030100028-0)</t>
  </si>
  <si>
    <t>PUBLICATIONS SCIENTIFIQUES DU MUSEUM, PARIS</t>
  </si>
  <si>
    <t>PARIS CEDEX 05</t>
  </si>
  <si>
    <t>CP 39-57, RUE CUVIER, F-75231 PARIS CEDEX 05, FRANCE</t>
  </si>
  <si>
    <t>1280-9551</t>
  </si>
  <si>
    <t>1638-9387</t>
  </si>
  <si>
    <t>Zoosystema</t>
  </si>
  <si>
    <t>10.5252/zoosystema2022v44a15</t>
  </si>
  <si>
    <t>4P7HN</t>
  </si>
  <si>
    <t>WOS:000855562800001</t>
  </si>
  <si>
    <t>Czechowski, P; de Lange, M; Knapp, M; Terauds, A; Stevens, M</t>
  </si>
  <si>
    <t>Czechowski, Paul; de Lange, Michel; Knapp, Michael; Terauds, Aleks; Stevens, Mark, I</t>
  </si>
  <si>
    <t>Antarctic biodiversity predictions through substrate qualities and environmental DNA</t>
  </si>
  <si>
    <t>FRONTIERS IN ECOLOGY AND THE ENVIRONMENT</t>
  </si>
  <si>
    <t>DIVERSITY</t>
  </si>
  <si>
    <t>Antarctic conservation science is crucial for enhancing Antarctic policy and understanding alterations to terrestrial Antarctic biodiversity. Antarctic conservation will have limited long-term impacts in the absence of large-scale biodiversity data, but if such data were available, it is likely to improve environmental protection regimes. To enable the prediction of Antarctic biodiversity across continental spatial scales through proxy variables, in the absence of baseline surveys, we linked Antarctic substrate-derived environmental DNA (eDNA) sequence data from the remote Antarctic Prince Charles Mountains to a selected range of concomitantly collected measurements of substrate properties. We achieved this through application of a statistical method commonly used in machine learning. Our analysis indicated that neutral substrate pH, low conductivity, and certain substrate minerals are important predictors of the presence of basidiomycetes, chlorophytes, ciliophorans, nematodes, and tardigrades. A bootstrapped regression revealed how variations in the identified substrate parameters influence probabilities of detecting eukaryote phyla across vast and remote areas of Antarctica. We believe that our work will improve future taxon distribution modeling and aid in developing more targeted surveys of biodiversity conducted under logistically challenging conditions.</t>
  </si>
  <si>
    <t>[Czechowski, Paul; Knapp, Michael] Univ Otago, Dept Anat, Dunedin, New Zealand; [de Lange, Michel] Univ Otago, Dept Biostat, Dunedin, New Zealand; [de Lange, Michel] Pacific Edge Ltd, Ctr Innovat, Dunedin, New Zealand; [Terauds, Aleks] Dept Agr Water &amp; Environm, Australian Antarctic Div, Kingston, Australia; [Stevens, Mark, I] South Australian Museum, Securing Antarct Environm Future, Adelaide, SA, Australia; [Stevens, Mark, I] Univ Adelaide, Sch Biol Sci, Adelaide, SA, Australia</t>
  </si>
  <si>
    <t>University of Otago; University of Otago; Australian Antarctic Division; South Australian Museum; University of Adelaide</t>
  </si>
  <si>
    <t>Czechowski, P (corresponding author), Univ Otago, Dept Anat, Dunedin, New Zealand.</t>
  </si>
  <si>
    <t>p.czechowski@otago.ac.nz</t>
  </si>
  <si>
    <t>Czechowski, Paul/M-4749-2019; Terauds, Aleks/A-4991-2010</t>
  </si>
  <si>
    <t>Czechowski, Paul/0000-0001-7894-4042; de Lange, Michel/0000-0003-1663-2048</t>
  </si>
  <si>
    <t>University of Adelaide through an International Post-Graduate Research Scholarship through the Royal Society of South Australia; University of Otago; Australian Antarctic Division [2355]; Australia Antarctic Science project [4296]; Australian Research Council [LP0991985]; ARC SRIEAS grant [SR200100005]; Sir Mark Mitchell Foundation; Australian Research Council [LP0991985, SR200100005] Funding Source: Australian Research Council</t>
  </si>
  <si>
    <t>University of Adelaide through an International Post-Graduate Research Scholarship through the Royal Society of South Australia; University of Otago; Australian Antarctic Division; Australia Antarctic Science project; Australian Research Council(Australian Research Council); ARC SRIEAS grant(Australian Research Council); Sir Mark Mitchell Foundation; Australian Research Council(Australian Research Council)</t>
  </si>
  <si>
    <t>PC was supported by The University of Adelaide through an International Post-Graduate Research Scholarship through the Royal Society of South Australia and by the University of Otago. MIS received Australia Antarctic Science funding from The Australian Antarctic Division, science project 2355; AT was supported by Australia Antarctic Science project 4296; A Cooper and MIS received funding for this project through Australian Research Council linkage grant LP0991985 and ARC SRIEAS grant SR200100005 (MIS); MIS and PC received funding from the Sir Mark Mitchell Foundation and the University of Otago; and MK was funded by the University of Otago. We thank A Corvino, F Shanhun, N Morgan, J Scarrow, and T Williams for help in the Prince Charles Mountains; R McPhee for the artistic contribution to Figure 2; and D Wall for helpful comments on an earlier manuscript draft. Open access publishing facilitated by University of Otago, as part of the Wiley - University of Otago agreement via the Council of Australian University Librarians.</t>
  </si>
  <si>
    <t>1540-9295</t>
  </si>
  <si>
    <t>1540-9309</t>
  </si>
  <si>
    <t>FRONT ECOL ENVIRON</t>
  </si>
  <si>
    <t>Front. Ecol. Environ.</t>
  </si>
  <si>
    <t>10.1002/fee.2560</t>
  </si>
  <si>
    <t>6S3TW</t>
  </si>
  <si>
    <t>Green Submitted, Green Published, hybrid</t>
  </si>
  <si>
    <t>WOS:000850511700001</t>
  </si>
  <si>
    <t>Shin, J; Ahn, J; Beeman, JC; Lee, HG; Seo, JM; Brook, EJ</t>
  </si>
  <si>
    <t>Shin, Jinhwa; Ahn, Jinho; Beeman, Jai Chowdhry; Lee, Hun-Gyu; Seo, Jaemyeong Mango; Brook, Edward J.</t>
  </si>
  <si>
    <t>Millennial variations in atmospheric CO2 during the early Holocene (11.7-7.4 ka)</t>
  </si>
  <si>
    <t>RADIOCARBON AGE CALIBRATION; ABRUPT CLIMATE-CHANGE; GREENLAND ICE-CORE; CARBON-CYCLE; TAYLOR-DOME; ACCUMULATION RATE; ANTARCTIC ICE; LAW DOME; SEA-ICE; RECORD</t>
  </si>
  <si>
    <t>We present a new high-resolution record of atmospheric CO2 from the Siple Dome ice core, Antarctica, over the early Holocene (11.7-7.4 ka) that quantifies natural CO2 variability on millennial timescales under interglacial climate conditions. Atmospheric CO2 decreased by similar to 10 ppm between 11.3 and 7.3 ka. The decrease was punctuated by local minima at 11.1, 10.1, 9.1, and 8.3 ka with an amplitude of 2-4 ppm. Although the explanations of carbon cycle mechanisms remain uncertain due to insufficient paleoclimate records and model simulations, these variations correlate with proxies for solar forcing and local climate in the southeast Atlantic polar front, eastern equatorial Pacific, and North Atlantic. Additional CO2 measurements using better-quality ice cores and carbon cycle models are needed to confirm the observation.</t>
  </si>
  <si>
    <t>[Shin, Jinhwa; Ahn, Jinho; Lee, Hun-Gyu] Seoul Natl Univ, Sch Earth &amp; Environm Sci, Seoul 151742, South Korea; [Beeman, Jai Chowdhry] Univ Paris Saclay, CEA CNRS UVSQ, LSCE IPSL, Lab Sci Climat &amp; Environm, F-91191 Gif Sur Yvette, France; [Seo, Jaemyeong Mango] Max Planck Inst Meteorol, D-20146 Hamburg, Germany; [Brook, Edward J.] Oregon State Univ, Coll Earth Ocean &amp; Atmospher Sci, Corvallis, OR 97331 USA; [Shin, Jinhwa] Korea Polar Res Inst KOPRI, Div Glacial Environm Res, Incheon 21990, South Korea</t>
  </si>
  <si>
    <t>Seoul National University (SNU); Universite Paris Cite; CEA; Centre National de la Recherche Scientifique (CNRS); Universite Paris Saclay; Max Planck Society; Oregon State University; Korea Polar Research Institute (KOPRI)</t>
  </si>
  <si>
    <t>Ahn, J (corresponding author), Seoul Natl Univ, Sch Earth &amp; Environm Sci, Seoul 151742, South Korea.</t>
  </si>
  <si>
    <t>jinhoahn@snu.ac.kr</t>
  </si>
  <si>
    <t>Seo, Jaemyeong/0000-0002-0045-0242</t>
  </si>
  <si>
    <t>National Research Foundation of Korea [NRF2015R1A2A2A01003888, NRF-2020M1A5A1110607]; National Science Foundation [OPP 0944764, ATM 0602395]</t>
  </si>
  <si>
    <t>National Research Foundation of Korea(National Research Foundation of Korea); National Science Foundation(National Science Foundation (NSF))</t>
  </si>
  <si>
    <t>This research has been supported by the National Research Foundation of Korea (grant nos. NRF2015R1A2A2A01003888 and NRF-2020M1A5A1110607) and the National Science Foundation (grant nos. OPP 0944764 and ATM 0602395).</t>
  </si>
  <si>
    <t>10.5194/cp-18-2063-2022</t>
  </si>
  <si>
    <t>4I0DS</t>
  </si>
  <si>
    <t>WOS:000850247300001</t>
  </si>
  <si>
    <t>Koo, MH; Shin, MJ; Kim, MJ; Lee, S; So, JE; Kim, JH; Lee, JH; Suh, SS; Youn, UJ</t>
  </si>
  <si>
    <t>Koo, Man Hyung; Shin, Min-Ji; Kim, Min Ju; Lee, Seulah; So, Jae Eun; Kim, Ji Hee; Lee, Jun Hyuck; Suh, Sung-Suk; Youn, Ui Joung</t>
  </si>
  <si>
    <t>Bioactive Secondary Metabolites Isolated from the Antarctic Lichen Himantormia lugubris</t>
  </si>
  <si>
    <t>CHEMISTRY &amp; BIODIVERSITY</t>
  </si>
  <si>
    <t>Himantormia lugubris; depsidone; antimicrobial; cytotoxicity; lichen</t>
  </si>
  <si>
    <t>ENDOLICHENIC FUNGUS; COMMUNITIES; STEROIDS</t>
  </si>
  <si>
    <t>Two new depsidones, himantormiones A and B (1 and 2) were isolated and identified from the Antarctic lichen, Himantormia lugubris (Parmeliaceae), with seven known compounds (3-9). The structures of two new compounds (1 and 2) were determined by means of spectroscopic analyses, including 1D and 2D NMR and HR-MS. The isolated compounds were tested for antimicrobial and cytotoxic activities, where himantormione B (2) exhibited inhibitory effect against Staphylococcus aureus with the IC50 value of 7.01 +/- 0.85 mM. Compound 2 also exhibited strong cytotoxic activity against HCT116 cells (colon cancer) with the EC50 value of 1.11 +/- 0.85 mu M, where that of the positive control, 5-fluouracil, was 9.4 +/- 1.90 mu M.</t>
  </si>
  <si>
    <t>[Koo, Man Hyung; Lee, Jun Hyuck] Korea Polar Res Inst, Res Unit Cryogen Novel Mat, Incheon 21990, South Korea; [Shin, Min-Ji; Suh, Sung-Suk] Mokpo Natl Univ, Dept Biosci, Joennam 58554, South Korea; [Shin, Min-Ji; Suh, Sung-Suk] Mokpo Natl Univ, Dept Biomed Hlth &amp; Life Convergence Sci, BK21 Four, Joennam 58554, South Korea; [Kim, Min Ju; So, Jae Eun; Kim, Ji Hee; Youn, Ui Joung] Korea Polar Res Inst, Div Life Sci, Incheon 21990, South Korea; [Lee, Seulah] Seoul Sch Integrated Sci &amp; Technol aSSIST, Seoul 03767, South Korea; [So, Jae Eun; Lee, Jun Hyuck; Youn, Ui Joung] Univ Sci &amp; Technol, Dept Polar Sci, Incheon 21990, South Korea</t>
  </si>
  <si>
    <t>Korea Polar Research Institute (KOPRI); Mokpo National University; Mokpo National University; Korea Polar Research Institute (KOPRI)</t>
  </si>
  <si>
    <t>Suh, SS (corresponding author), Mokpo Natl Univ, Dept Biosci, Joennam 58554, South Korea.;Suh, SS (corresponding author), Mokpo Natl Univ, Dept Biomed Hlth &amp; Life Convergence Sci, BK21 Four, Joennam 58554, South Korea.;Youn, UJ (corresponding author), Korea Polar Res Inst, Div Life Sci, Incheon 21990, South Korea.;Youn, UJ (corresponding author), Univ Sci &amp; Technol, Dept Polar Sci, Incheon 21990, South Korea.</t>
  </si>
  <si>
    <t>sungsuksuh@mokpo.ac.kr; ujyoun@kopri.re.kr</t>
  </si>
  <si>
    <t>Lee, Seulah/GRY-3543-2022</t>
  </si>
  <si>
    <t>Koo, Man Hyung/0000-0002-3217-1010</t>
  </si>
  <si>
    <t>Korea Institute of Marine &amp; Technology Promotion (KIMST) - Ministry of Oceans and Fisheries, Korea [KIMST PM22030]; National Research Foundation of Korea (NRF) - Korea government (MSIT) [2022R1A5A8033794]</t>
  </si>
  <si>
    <t>Korea Institute of Marine &amp; Technology Promotion (KIMST) - Ministry of Oceans and Fisheries, Korea; National Research Foundation of Korea (NRF) - Korea government (MSIT)(National Research Foundation of KoreaMinistry of Science, ICT &amp; Future Planning, Republic of KoreaMinistry of Science &amp; ICT (MSIT), Republic of Korea)</t>
  </si>
  <si>
    <t>This work was supported by Korea Institute of Marine &amp; Technology Promotion (KIMST) grant funded by the Ministry of Oceans and Fisheries, Korea (KIMST PM22030). This study was also supported by the National Research Foundation of Korea (NRF) grant funded by the Korea government (MSIT) (No. 2022R1A5A8033794).</t>
  </si>
  <si>
    <t>WILEY-V C H VERLAG GMBH</t>
  </si>
  <si>
    <t>WEINHEIM</t>
  </si>
  <si>
    <t>POSTFACH 101161, 69451 WEINHEIM, GERMANY</t>
  </si>
  <si>
    <t>1612-1872</t>
  </si>
  <si>
    <t>1612-1880</t>
  </si>
  <si>
    <t>CHEM BIODIVERS</t>
  </si>
  <si>
    <t>Chem. Biodivers.</t>
  </si>
  <si>
    <t>e202200374</t>
  </si>
  <si>
    <t>10.1002/cbdv.202200374</t>
  </si>
  <si>
    <t>5K9HQ</t>
  </si>
  <si>
    <t>WOS:000850305700001</t>
  </si>
  <si>
    <t>Pascoe, P; Shaw, J; Trebilco, R; Weldrick, C; Hindell, MA; Jones, H</t>
  </si>
  <si>
    <t>Pascoe, Penelope; Shaw, Justine; Trebilco, Rowan; Weldrick, Christine; Hindell, Mark A.; Jones, Holly</t>
  </si>
  <si>
    <t>Temporal and spatial variability in stable isotope values on seabird islands: What, where and when to sample</t>
  </si>
  <si>
    <t>ECOLOGICAL INDICATORS</t>
  </si>
  <si>
    <t>Island food webs; Nutrient cycling; Spiders; Seabirds; Island eradication; Ecological subsidies</t>
  </si>
  <si>
    <t>INTRODUCED PREDATORS; FOOD WEBS; ERADICATION; MARINE; ECOSYSTEM; RESTORATION; PRODUCTIVITY; TERRESTRIAL; COMMUNITIES; PROTECTION</t>
  </si>
  <si>
    <t>Invasive mammal eradications are widely used for managing island ecosystems. However, tracking the outcomes of such large-scale, whole ecosystem projects is challenging and costly, and monitoring all components of an ecosystem is near impossible. Instead, indicators of ecosystem change may provide more practical and integrated measures of ecosystem response to eradications. As high-order marine predators, seabirds subsidise island eco- systems with nutrients isotopically enriched in nitrogen. Invasive mammals have caused a global decline of seabirds on islands, reducing this nutrient subsidisation. Following eradications, nitrogen stable isotope analysis may provide a useful and resource-efficient indicator of ecosystem functional change on eradicated islands. However, isotope ratios are affected by a myriad of factors, with potential sources of variation being introduced by spatial and temporal variation in sampling, and within and between different taxa and ecosystem components. To correctly attribute isotopic change to post-eradication ecosystem function change, these confounding variables need to be understood. To address this need, we analysed stable isotopes of nitrogen in soil, plant, spider, and seabird guano samples collected at different distances from seabird colonies and at different stages of the short-tailed shearwater breeding cycle on six island sites around south-eastern Tasmania, Australia. Across these cool, temperate islands we detected no temporal variability in delta N-15 throughout the breeding season. However, there was notable spatial variability in delta N-15 values. The effects of seabird-derived nutrient subsidisation were highly localised with high delta N-15 values found inside seabird colonies and then rapidly decreasing from the colony boundary. Higher delta N-15 values also occurred in areas of higher burrow density within a colony. Variability in delta N-15 values also existed both within and between ecosystem components. Our results highlight the importance of context dependency when using ecological indicators and have important implications for the design, implementation and interpretation of studies employing stable isotopes as indicators for ecosystem change. We pro- vide recommendations for designing future stable isotope studies on seabird islands.</t>
  </si>
  <si>
    <t>[Pascoe, Penelope] Univ Tasmania, Inst Marine &amp; Antarctic Studies, 20 Castray Esplanade, Battery Point, Tas 7004, Australia; [Shaw, Justine] Queensland Univ Technol, Brisbane, Qld, Australia; [Trebilco, Rowan] CSIRO Oceans &amp; Atmosphere, Hobart, Tas, Australia; [Weldrick, Christine] Univ Tasmania, Australian Antarctic Program Partnership, Hobart, Tas, Australia; [Hindell, Mark A.] Univ Tasmania, Inst Marine &amp; Antarctic Studies, Hobart, Tas, Australia; [Jones, Holly] Northern Illinois Univ, Dept Biol Sci, De Kalb, IL USA</t>
  </si>
  <si>
    <t>University of Tasmania; Queensland University of Technology (QUT); Commonwealth Scientific &amp; Industrial Research Organisation (CSIRO); University of Tasmania; University of Tasmania; Northern Illinois University</t>
  </si>
  <si>
    <t>Pascoe, P (corresponding author), Univ Tasmania, Inst Marine &amp; Antarctic Studies, 20 Castray Esplanade, Battery Point, Tas 7004, Australia.</t>
  </si>
  <si>
    <t>Penelope.Pascoe@utas.edu.au</t>
  </si>
  <si>
    <t>Trebilco, Rowan/I-5311-2012; Weldrick, Christine/N-2617-2017; Hindell, Mark A/K-1131-2013</t>
  </si>
  <si>
    <t>Trebilco, Rowan/0000-0001-9712-8016; Weldrick, Christine/0000-0003-1099-438X; Jones, Holly/0000-0002-5512-9958</t>
  </si>
  <si>
    <t>National Geographic Society [WW -222R-17]; Ecological Society of Australia though the Holsworth Wildlife Endowment; Australian Academy of Science; Tasmanian Parks; Wildlife Service</t>
  </si>
  <si>
    <t>National Geographic Society(National Geographic Society); Ecological Society of Australia though the Holsworth Wildlife Endowment; Australian Academy of Science; Tasmanian Parks; Wildlife Service</t>
  </si>
  <si>
    <t>We would like to acknowledge the Palawa people as the Traditional Owners and ongoing custodians of the land on which this research took place. We would like to thank each of the volunteers who assisted with sample collection in the field: Amy Coghlan, Beth Rad, Bree Woods, Brett Clifford, Charlie Pascoe, Claire Mason, Clara Rodriguez Vives, Heidi Krajewsky, Jeremy Bird, Lily Ahlemeyer, Melanie Wells, Michael Cooper, Noemie Friscourt, Olly Dove, Paige Green, Peter Puskic, Robyn Carter, Rosie Willacy, Sheryl Hamilton, Stephen Anstee and Sue Rob- inson. We would like to thank Tasmanian Parks and Wildlife Service for their support and use of accommodation. We would like to thank the National Geographic Society (WW -222R-17) , the Ecological Society of Australia though the Holsworth Wildlife Endowment and the Australian Academy of Science through the Margaret Middleton Fund for Endangered Australian Native Vertebrate Animals for funding this work.</t>
  </si>
  <si>
    <t>1470-160X</t>
  </si>
  <si>
    <t>1872-7034</t>
  </si>
  <si>
    <t>ECOL INDIC</t>
  </si>
  <si>
    <t>Ecol. Indic.</t>
  </si>
  <si>
    <t>10.1016/j.ecolind.2022.109344</t>
  </si>
  <si>
    <t>Biodiversity Conservation; Environmental Sciences</t>
  </si>
  <si>
    <t>4Z5SD</t>
  </si>
  <si>
    <t>WOS:000862267300003</t>
  </si>
  <si>
    <t>Gao, YH; Xu, JW; Zhang, M; Liu, ZY; Dan, JY</t>
  </si>
  <si>
    <t>Gao, Yanhong; Xu, Jianwei; Zhang, Meng; Liu, Zhaoyang; Dan, Jingyu</t>
  </si>
  <si>
    <t>Regional climate dynamical downscaling over the Tibetan Plateau-From quarter-degree to kilometer-scale</t>
  </si>
  <si>
    <t>SCIENCE CHINA-EARTH SCIENCES</t>
  </si>
  <si>
    <t>Tibetan Plateau; Climate dynamical downscaling; Land surface processes</t>
  </si>
  <si>
    <t>NOAH-MP; MOISTURE FLUX; GLOBAL REANALYSES; SNOW-COVER; IN-SITU; RESOLUTION; SIMULATIONS; MODELS; CHINA; WRF</t>
  </si>
  <si>
    <t>The Tibetan Plateau (TP) possesses the largest cryosphere in the world outside of the Arctic and Antarctic, and is the source of nine major rivers in Asia. The surface environment of the TP has undergone significant changes against the background of global warming. It is projected that the continuation of climate change in the future will result in most of the glaciers and frozen soil disappearing by the end of this century, and freshwater resources will be greatly reduced, on which 22% of the world's population depends. These environmental changes are of great concern to global society given the influences of the TP on the climate at the global scale. However, great uncertainties exist in global climate simulations over the TP, which affects our ability to properly understand the associated water security crisis. Based on atmospheric dynamics and physical processes, dynamical downscaling can characterize surface conditions more accurately than global simulations, and better simulate and predict regional or local weather and climate situations. With advances in supercomputing, the grid spacing of dynamical downscaling simulations has been continuously increasing, marching the technique into the kilometer-scale era. In this paper, the origin and development of dynamical downscaling in the TP region from the quarter-degree to kilometer scale is firstly introduced, including an assessment of the advantages and disadvantages of dynamical downscaling at the kilometer scale over the TP. Then, the main land surface factors affecting the performance of dynamical downscaling over the TP are described, as well as a brief introduction to a land surface model with specific plateau characteristics. Specifically, it has emerged that perfecting the land surface model and improving the performance of land-atmosphere interaction are the most effective ways to advance the performance of dynamic downscaling in this region. Finally, the challenges and some recommended future research directions are discussed and proposed.</t>
  </si>
  <si>
    <t>[Gao, Yanhong; Zhang, Meng; Liu, Zhaoyang; Dan, Jingyu] Fudan Univ, Inst Atmospher Sci, Shanghai 200438, Peoples R China; [Gao, Yanhong; Zhang, Meng; Liu, Zhaoyang; Dan, Jingyu] Fudan Univ, Dept Atmospher &amp; Ocean Sci, Shanghai 200438, Peoples R China; [Gao, Yanhong] Shanghai Frontiers Sci Ctr Atmosphere Ocean Inter, Shanghai 200438, Peoples R China; [Gao, Yanhong] Natiobal Observat &amp; Res Stn Wetland Ecosyst, Shanghai 200438, Peoples R China; [Xu, Jianwei] Hunan Univ Art &amp; Sci, Coll Resource &amp; Environm, Changde 415000, Peoples R China</t>
  </si>
  <si>
    <t>Fudan University; Fudan University; Hunan University of Arts &amp; Science</t>
  </si>
  <si>
    <t>Gao, YH (corresponding author), Fudan Univ, Inst Atmospher Sci, Shanghai 200438, Peoples R China.;Gao, YH (corresponding author), Fudan Univ, Dept Atmospher &amp; Ocean Sci, Shanghai 200438, Peoples R China.;Gao, YH (corresponding author), Shanghai Frontiers Sci Ctr Atmosphere Ocean Inter, Shanghai 200438, Peoples R China.;Gao, YH (corresponding author), Natiobal Observat &amp; Res Stn Wetland Ecosyst, Shanghai 200438, Peoples R China.</t>
  </si>
  <si>
    <t>gaoyh@fudan.edu.cn</t>
  </si>
  <si>
    <t>Fudan University-Tibet University Joint Laboratory for Biodiversity and Global Change; CORDEX-FPS-CPTP; Second Scientific Expedition [2019QZKK010314]; Strategic Priority Research Program of the Chinese Academy of Sciences [XDA2006010202]; Key Laboratory Program of the Western Light-Western Cross-Cutting Team of the Chinese Academy of Sciences [bzg-zdsys-202102]</t>
  </si>
  <si>
    <t>Fudan University-Tibet University Joint Laboratory for Biodiversity and Global Change; CORDEX-FPS-CPTP; Second Scientific Expedition; Strategic Priority Research Program of the Chinese Academy of Sciences(Chinese Academy of Sciences); Key Laboratory Program of the Western Light-Western Cross-Cutting Team of the Chinese Academy of Sciences</t>
  </si>
  <si>
    <t>We thank the Fudan University-Tibet University Joint Laboratory for Biodiversity and Global Change and the international cooperation project CORDEX-FPS-CPTP for their support. This work was supported by the Second Scientific Expedition to the TP (Grant No. 2019QZKK010314), the Strategic Priority Research Program of the Chinese Academy of Sciences (Grant No. XDA2006010202), and the Key Laboratory Program of the Western Light-Western Cross-Cutting Team of the Chinese Academy of Sciences (Grant No. xbzg-zdsys-202102).</t>
  </si>
  <si>
    <t>SCIENCE PRESS</t>
  </si>
  <si>
    <t>16 DONGHUANGCHENGGEN NORTH ST, BEIJING 100717, PEOPLES R CHINA</t>
  </si>
  <si>
    <t>1674-7313</t>
  </si>
  <si>
    <t>1869-1897</t>
  </si>
  <si>
    <t>SCI CHINA EARTH SCI</t>
  </si>
  <si>
    <t>Sci. China-Earth Sci.</t>
  </si>
  <si>
    <t>10.1007/s11430-022-9968-4</t>
  </si>
  <si>
    <t>C4UV8</t>
  </si>
  <si>
    <t>WOS:000852566400001</t>
  </si>
  <si>
    <t>Mikhaylova, TA; Spiridonov, VA; Gavrilo, MV; Ivanov, SD</t>
  </si>
  <si>
    <t>Mikhaylova, Tatiana A.; Spiridonov, Vassily A.; Gavrilo, Maria V.; Ivanov, Stepan D.</t>
  </si>
  <si>
    <t>Macroalgae of the high-Arctic Severnaya Zemlya Archipelago</t>
  </si>
  <si>
    <t>BOTANICA MARINA</t>
  </si>
  <si>
    <t>flora; high-Arctic; kelps; marine vegetation; seaweeds</t>
  </si>
  <si>
    <t>SEAWEEDS; POLAR; SEA</t>
  </si>
  <si>
    <t>Most of the archipelagos of the Russian Arctic are still extremely poorly studied. New data have been obtained using SCUBA diving and on-shore sampling during theOpen Ocean: Arctic Archipelagos - 2019. Severnaya Zemlya expedition, which provided a significant update to scarce information on the seaweeds of the Severnaya Zemlya Archipelago. The list of macroalgae of the archipelago includes 48 species to date, belonging to Chlorophyta (17 species), Rhodophyta (18), and Phaeophyceae (13). Twenty-eight species are recorded for the first time in the study area; three species are new for the entire Russian Arctic. The taxonomic status of some observed species is discussed. For the first time, a wide distribution of kelps is described in the sub-tidal zone in the high-Arctic areas of the Siberian shelf, which is severely affected by ice disturbance and glacial processes. The highest population densities of the kelp communities have been observed near the Krasnoflotskie Islands (the Kara Sea) and in the Akhmatov and Mikoyan bays (the Laptev Sea). Further studies of the flora and vegetation of both the Severnaya Zemlya Archipelago shelf and other Arctic archipelagos are required.</t>
  </si>
  <si>
    <t>[Mikhaylova, Tatiana A.; Ivanov, Stepan D.] Russian Acad Sci, Komarov Bot Inst, Professora Popova Str 2, St Petersburg 197376, Russia; [Spiridonov, Vassily A.] Russian Acad Sci, Shirshov Inst Oceanol, Nakhimovskiy Prospect 36, Moscow 117997, Russia; [Gavrilo, Maria V.] Assoc Maritime Heritage, 23 Line, St Petersburg, Russia; [Gavrilo, Maria V.] Arctic &amp; Antarctic Res Inst, Bering Str 38, St Petersburg 198397, Russia</t>
  </si>
  <si>
    <t>Russian Academy of Sciences; Komarov Botanical Institute, Russian Academy of Sciences; Russian Academy of Sciences; Shirshov Institute of Oceanology; Arctic &amp; Antarctic Research Institute</t>
  </si>
  <si>
    <t>Mikhaylova, TA (corresponding author), Russian Acad Sci, Komarov Bot Inst, Professora Popova Str 2, St Petersburg 197376, Russia.</t>
  </si>
  <si>
    <t>TMikhaylova@binran.ru; valbertych@mail.ru; m_gavrilo@mail.ru; SIvanov@binran.ru</t>
  </si>
  <si>
    <t>Mikhaylova, Tatiana Alexandrovna/K-3084-2018</t>
  </si>
  <si>
    <t>Tatiana, Mikhaylova/0000-0002-4740-0437</t>
  </si>
  <si>
    <t>Russian Academy of Sciences [121021600184-6]; Ministry of Education and Science of the Russian Federation [075-15-2021-1056]; Pristine Seas project, National Geographic Society, USA</t>
  </si>
  <si>
    <t>Russian Academy of Sciences(Russian Academy of Sciences); Ministry of Education and Science of the Russian Federation(Ministry of Education and Science, Russian Federation); Pristine Seas project, National Geographic Society, USA(National Geographic Society)</t>
  </si>
  <si>
    <t>The present study was carried out within the framework of the State Assignment for Komarov Botanical Institute of the Russian Academy of Sciences Flora and taxonomy of algae, lichens and bryophytes in Russia and phytogeographically important regions of the world (no. 121021600184-6) and the Agreement of the Ministry of Education and Science of the Russian Federation dated September 28, 2021 (no. 075-15-20211056). Fieldwork was funded by Pristine Seas project, National Geographic Society, USA.</t>
  </si>
  <si>
    <t>WALTER DE GRUYTER GMBH</t>
  </si>
  <si>
    <t>GENTHINER STRASSE 13, D-10785 BERLIN, GERMANY</t>
  </si>
  <si>
    <t>0006-8055</t>
  </si>
  <si>
    <t>1437-4323</t>
  </si>
  <si>
    <t>BOT MAR</t>
  </si>
  <si>
    <t>Bot. Marina</t>
  </si>
  <si>
    <t>10.1515/bot-2022-0031</t>
  </si>
  <si>
    <t>Plant Sciences; Marine &amp; Freshwater Biology</t>
  </si>
  <si>
    <t>5C9UX</t>
  </si>
  <si>
    <t>WOS:000850053900001</t>
  </si>
  <si>
    <t>Graham, AGC; Wåhlin, A; Hogan, KA; Nitsche, FO; Heywood, KJ; Totten, RL; Smith, JA; Hillenbrand, CD; Simkins, LM; Anderson, JB; Wellner, JS; Larter, RD</t>
  </si>
  <si>
    <t>Graham, Alastair G. C.; Wahlin, Anna; Hogan, Kelly A.; Nitsche, Frank O.; Heywood, Karen J.; Totten, Rebecca L.; Smith, James A.; Hillenbrand, Claus-Dieter; Simkins, Lauren M.; Anderson, John B.; Wellner, Julia S.; Larter, Robert D.</t>
  </si>
  <si>
    <t>Rapid retreat of Thwaites Glacier in the pre-satellite era</t>
  </si>
  <si>
    <t>GROUNDING-LINE RETREAT; ANTARCTIC ICE-SHEET; AMUNDSEN SEA EMBAYMENT; WEST ANTARCTICA; PINE ISLAND; SHELF; STREAM; OCEAN; BATHYMETRY; LANDFORMS</t>
  </si>
  <si>
    <t>The Thwaites Glacier grounding zone has experienced sustained pulses of rapid retreat over the past two centuries, according to sea floor observations obtained by an autonomous underwater vehicle. Understanding the recent history of Thwaites Glacier, and the processes controlling its ongoing retreat, is key to projecting Antarctic contributions to future sea-level rise. Of particular concern is how the glacier grounding zone might evolve over coming decades where it is stabilized by sea-floor bathymetric highs. Here we use geophysical data from an autonomous underwater vehicle deployed at the Thwaites Glacier ice front, to document the ocean-floor imprint of past retreat from a sea-bed promontory. We show patterns of back-stepping sedimentary ridges formed daily by a mechanism of tidal lifting and settling at the grounding line at a time when Thwaites Glacier was more advanced than it is today. Over a duration of 5.5 months, Thwaites grounding zone retreated at a rate of &gt;2.1 km per year-twice the rate observed by satellite at the fastest retreating part of the grounding zone between 2011 and 2019. Our results suggest that sustained pulses of rapid retreat have occurred at Thwaites Glacier in the past two centuries. Similar rapid retreat pulses are likely to occur in the near future when the grounding zone migrates back off stabilizing high points on the sea floor.</t>
  </si>
  <si>
    <t>[Graham, Alastair G. C.] Univ S Florida, Coll Marine Sci, St Petersburg, FL 33701 USA; [Wahlin, Anna] Univ Gothenburg, Dept Marine Sci, Gothenburg, Sweden; [Hogan, Kelly A.; Smith, James A.; Hillenbrand, Claus-Dieter; Larter, Robert D.] NERC, British Antarctic Survey, Cambridge, England; [Nitsche, Frank O.] Columbia Univ, Lamont Doherty Earth Observ, Palisades, NY USA; [Heywood, Karen J.] Univ East Anglia, Sch Environm Sci, Norwich, Norfolk, England; [Totten, Rebecca L.] Univ Alabama, Dept Geol Sci, Tuscaloosa, AL USA; [Simkins, Lauren M.] Univ Virginia, Dept Environm Sci, Charlottesville, VA USA; [Anderson, John B.] Rice Univ, Dept Earth Environm &amp; Planetary Sci, Houston, TX USA; [Wellner, Julia S.] Univ Houston, Dept Earth &amp; Atmospher Sci, Houston, TX USA</t>
  </si>
  <si>
    <t>State University System of Florida; University of South Florida; University of Gothenburg; UK Research &amp; Innovation (UKRI); Natural Environment Research Council (NERC); NERC British Antarctic Survey; Columbia University; University of East Anglia; University of Alabama System; University of Alabama Tuscaloosa; University of Virginia; Rice University; University of Houston System; University of Houston</t>
  </si>
  <si>
    <t>Graham, AGC (corresponding author), Univ S Florida, Coll Marine Sci, St Petersburg, FL 33701 USA.</t>
  </si>
  <si>
    <t>alastairg@usf.edu</t>
  </si>
  <si>
    <t>Nitsche, Frank O/A-9343-2009; Heywood, Karen/L-1757-2016; Wahlin, Anna/U-3790-2017</t>
  </si>
  <si>
    <t>Nitsche, Frank O/0000-0002-4137-547X; Totten, Rebecca L./0000-0002-8227-2848; Heywood, Karen/0000-0001-9859-0026; Wahlin, Anna/0000-0003-1799-6476; Smith, James/0000-0002-1333-2544</t>
  </si>
  <si>
    <t>Natural Environment Research Council [NE/S006206/1, NE/S006641/1, NE/S006419/1]; NSF, Office of Polar Program [1738942]; Vetenskapsradet [2017-04257]; SSF project SMARC; Vinnova [2017-04257] Funding Source: Vinnova; NERC [NE/S006419/1, NE/S006664/1, NE/S006206/1] Funding Source: UKRI; Swedish Research Council [2017-04257] Funding Source: Swedish Research Council; Office of Polar Programs (OPP); Directorate For Geosciences [1738942] Funding Source: National Science Foundation</t>
  </si>
  <si>
    <t>Natural Environment Research Council(UK Research &amp; Innovation (UKRI)Natural Environment Research Council (NERC)); NSF, Office of Polar Program(National Science Foundation (NSF)); Vetenskapsradet(Swedish Research Council); SSF project SMARC; Vinnova(Vinnova); NERC(UK Research &amp; Innovation (UKRI)Natural Environment Research Council (NERC)); Swedish Research Council(Swedish Research Council); Office of Polar Programs (OPP); Directorate For Geosciences(National Science Foundation (NSF)NSF - Directorate for Geosciences (GEO))</t>
  </si>
  <si>
    <t>We thank the captain, officers, support staff and science party of the RV Nathaniel B. Palmer for their valuable contributions to cruise NBP19-02. J. Andersson and J. Rolandsson, and MMT, are thanked for their technical expertise and vital support with AUV operations. C. Wallace and Kongsberg Maritime are thanked for technical assistance in post-processing AUV navigation and multibeam data. This work was supported by grants NE/S006206/1 (A.G.), NE/S006641/1 (R.D.L., C.-D.H., J.A.S. and K.A.H.), and NE/S006419/1 (K.J.H.) from the Natural Environment Research Council, by grant 1738942 (J.S.W., F.O.N., R.L.T., L.M.S. and J.B.A.) from NSF, Office of Polar Programs, and by grant 2017-04257 (A.W.) from Vetenskapsradet, as well as funding from the SSF project SMARC (A.W.). ITGC Contribution No. ITGC-079.</t>
  </si>
  <si>
    <t>10.1038/s41561-022-01019-9</t>
  </si>
  <si>
    <t>4M1DF</t>
  </si>
  <si>
    <t>WOS:000850019600001</t>
  </si>
  <si>
    <t>Han, TZ; Chen, JH; Lin, K; He, XP; Li, SJ; Xu, TF; Xin, M; Wang, BD; Liu, CG; Wang, JT</t>
  </si>
  <si>
    <t>Han, Tongzhu; Chen, Junhui; Lin, Kun; He, Xiuping; Li, Shujiang; Xu, Tengfei; Xin, Ming; Wang, Baodong; Liu, Chenguang; Wang, Jiangtao</t>
  </si>
  <si>
    <t>Spatial distribution, vertical profiles and transport of legacy and emerging per- and polyfluoroalkyl substances in the Indian Ocean</t>
  </si>
  <si>
    <t>JOURNAL OF HAZARDOUS MATERIALS</t>
  </si>
  <si>
    <t>Open Ocean; Surface seawater; HFPO-DA; Mass transport estimates; Interbasin exchange</t>
  </si>
  <si>
    <t>POLY-FLUOROALKYL SUBSTANCES; POLYFLUORINATED COMPOUNDS; PERFLUOROALKYL ACIDS; FLUORINATED ALTERNATIVES; PERFLUORINATED ACIDS; ATLANTIC; PFASS; CIRCULATION; ATMOSPHERE; CURRENTS</t>
  </si>
  <si>
    <t>The contamination status and transport of per- and polyfluoroalkyl substances (PFASs) in the seawater of the Indian Ocean (IO) and an adjacent subregion of the Northwest Pacific Ocean (NWPO) were investigated. Eight legacy PFASs were widely distributed in the surface seawater, and perfluoroheptanoic acid (PFHpA) and perfluorooctanoic acid (PFOA) were the two predominant PFASs. Sigma PFAS concentration decreased in the following order: NWPO&gt;Joining area of Asia and Indian-Pacific Oceans (JAIPO)&gt;Northeast Indian Ocean&gt;Southwest Indian Ocean. Hexafluoropropylene oxide-dimer acid, a replacement surfactant for PFOA was extensively detected in the IO (~34.8 pg/L) for the first time, showing an early sign of emerging PFAS spread in global open oceans. Eight depth profiles across the JAIPO (down to 5433 m depth) revealed a surface-enrichment and depth-depletion pattern for PFASs in the water column, and two noticeable fluctuations were mainly located at depths of 150-200 and 200-500 m. Physical processes, including eddy diffusion, and the origin and trajectory of water mass were crucial factors for structuring PFAS vertical profiles. Mass transport estimates revealed a remarkable PFOA contribution through the JAIPO to IO carried by the Indonesian Throughflow, and anonnegligible PFHpA contribution from Antarctic Immediate Water to deep water of the JAIPO driven by thermohaline circulation.</t>
  </si>
  <si>
    <t>[Han, Tongzhu; Chen, Junhui; He, Xiuping; Xin, Ming; Wang, Baodong] Minist Nat Resources, Inst Oceanog 1, Key Lab Marine Ecoenvironm Sci &amp; Technol, Marine Bioresource &amp; Environm Res Ctr, Qingdao 266061, Peoples R China; [Han, Tongzhu; Chen, Junhui; He, Xiuping; Xin, Ming; Wang, Baodong] Pilot Natl Lab Marine Sci &amp; Technol Qingdao, Lab Marine Ecol &amp; Environm Sci, Qingdao 266071, Peoples R China; [Han, Tongzhu; Lin, Kun; Wang, Jiangtao] Ocean Univ China, Key Lab Marine Chem Theory &amp; Technol, Minist Educ, Qingdao 266100, Peoples R China; [Han, Tongzhu; Chen, Junhui; He, Xiuping; Xin, Ming; Wang, Baodong] Qingdao Key Lab Analyt Technol Dev &amp; Standardizat, Qingdao 266590, Peoples R China; [Li, Shujiang; Xu, Tengfei] Minist Nat Resources, Key Lab Marine Sci &amp; Numer Modeling, Inst Oceanog 1, Qingdao 266061, Peoples R China; [Liu, Chenguang] Minist Nat Resources, Key Lab Marine Geol &amp; Metallogeny, Inst Oceanog 1, Qingdao 266061, Peoples R China</t>
  </si>
  <si>
    <t>First Institute of Oceanography, Ministry of Natural Resources; Ministry of Natural Resources of the People's Republic of China; Laoshan Laboratory; Ocean University of China; First Institute of Oceanography, Ministry of Natural Resources; Ministry of Natural Resources of the People's Republic of China; Ministry of Natural Resources of the People's Republic of China; First Institute of Oceanography, Ministry of Natural Resources</t>
  </si>
  <si>
    <t>He, XP (corresponding author), Minist Nat Resources, Inst Oceanog 1, 6 Xian Xia Ling Rd, Qingdao 266061, Shandong, Peoples R China.</t>
  </si>
  <si>
    <t>hexiuping@fio.org.cn</t>
  </si>
  <si>
    <t>Wang, Jiangtao/K-3422-2019; Liu, Chenguang/AAC-4849-2021</t>
  </si>
  <si>
    <t>Wang, Jiangtao/0000-0002-8704-502X;</t>
  </si>
  <si>
    <t>Global Change and Air-Sea Interaction II [GASI-01-WIND-STwin]; China Ocean Mineral Resources Research and Development Association [DY135-E2-1-03]; National Natural Science Foundation of China [U2106205, 42176236]; Shandong Provincial Natural Science Foundation of China [ZR2018MD016]</t>
  </si>
  <si>
    <t>Global Change and Air-Sea Interaction II; China Ocean Mineral Resources Research and Development Association; National Natural Science Foundation of China(National Natural Science Foundation of China (NSFC)); Shandong Provincial Natural Science Foundation of China(Natural Science Foundation of Shandong Province)</t>
  </si>
  <si>
    <t>Acknowledgments Financial support from the Global Change and Air-Sea Interaction II (GASI-01-WIND-STwin) , the China Ocean Mineral Resources Research and Development Association (DY135-E2-1-03) , the National Natural Science Foundation of China (U2106205, 42176236) and the Shandong Provincial Natural Science Foundation of China (ZR2018MD016) are gratefully acknowledged.</t>
  </si>
  <si>
    <t>0304-3894</t>
  </si>
  <si>
    <t>1873-3336</t>
  </si>
  <si>
    <t>J HAZARD MATER</t>
  </si>
  <si>
    <t>J. Hazard. Mater.</t>
  </si>
  <si>
    <t>SEP 5</t>
  </si>
  <si>
    <t>10.1016/j.jhazmat.2022.129264</t>
  </si>
  <si>
    <t>Engineering, Environmental; Environmental Sciences</t>
  </si>
  <si>
    <t>Engineering; Environmental Sciences &amp; Ecology</t>
  </si>
  <si>
    <t>2J6SA</t>
  </si>
  <si>
    <t>WOS:000815782800001</t>
  </si>
  <si>
    <t>Anderson, MPBC; Davies, CH; Eriksen, RS</t>
  </si>
  <si>
    <t>Anderson, Madeline P. B. C.; Davies, Claire H.; Eriksen, Ruth S.</t>
  </si>
  <si>
    <t>Latitudinal variation, and potential ecological indicator species, in the dinoflagellate genus Tripos along 110?E in the south-east Indian Ocean</t>
  </si>
  <si>
    <t>DEEP-SEA RESEARCH PART II-TOPICAL STUDIES IN OCEANOGRAPHY</t>
  </si>
  <si>
    <t>Dinoflagellate; Tripos; Indian ocean; IIOE; Temperature gradient; Indicator species</t>
  </si>
  <si>
    <t>SEASONAL-VARIATIONS; PHYTOPLANKTON; CERATIUM; CURRENTS; BLOOMS; GROWTH</t>
  </si>
  <si>
    <t>Variations in oceanic environmental conditions influence phytoplankton community composition, distribution, seasonality and abundance. The dinoflagellate genus Tripos is globally widespread and as a recognised key indicator has the potential for being a marker for climate-based changes in the ocean. As part of the Australian effort for the Second International Indian Ocean Expedition, 20 stations along the 110 degrees E line from 39.5 degrees to 11.5 degrees S were sampled from the RV Investigator in 2019. Oceanic conditions ranged from cold, nutrient-rich Subantarctic waters in the south to warm, oligotrophic tropical waters in the north. The Tripos assemblages along the transect were assessed relative to the changing environmental variables. We found four main Tripos groups at a 50% dissimilarity level where the assemblages were correlated with groups based on the environmental conditions observed during the voyage. A number of potential indicator species were identified for each group, specifically Tripos lineatus which was found to be a strong indicator of cold, nitrate-rich and silicate-poor Subantarctic water and Tripos muelleri var. pulchellus as an indicator of warmer, oligotrophic waters.</t>
  </si>
  <si>
    <t>[Anderson, Madeline P. B. C.] Univ Southampton, Sch Ocean &amp; Earth Sci, Southampton SO14 3ZH, Hants, England; [Anderson, Madeline P. B. C.; Davies, Claire H.; Eriksen, Ruth S.] CSIRO Oceans &amp; Atmosphere, Hobart, Tas 7004, Australia; [Eriksen, Ruth S.] Inst Marine &amp; Antarctic Studies, Hobart, Tas 7004, Australia</t>
  </si>
  <si>
    <t>University of Southampton; NERC National Oceanography Centre; Commonwealth Scientific &amp; Industrial Research Organisation (CSIRO); University of Tasmania</t>
  </si>
  <si>
    <t>Anderson, MPBC (corresponding author), Univ Southampton, Sch Ocean &amp; Earth Sci, Southampton SO14 3ZH, Hants, England.</t>
  </si>
  <si>
    <t>ma8g17@soton.ac.uk</t>
  </si>
  <si>
    <t>Davies, Claire H/G-6888-2013; Eriksen, Ruth/J-7760-2014</t>
  </si>
  <si>
    <t>Davies, Claire H/0000-0002-0424-1835; Anderson, Madeline/0000-0001-5967-311X; Eriksen, Ruth/0000-0002-5184-2465</t>
  </si>
  <si>
    <t>0967-0645</t>
  </si>
  <si>
    <t>1879-0100</t>
  </si>
  <si>
    <t>DEEP-SEA RES PT II</t>
  </si>
  <si>
    <t>Deep-Sea Res. Part II-Top. Stud. Oceanogr.</t>
  </si>
  <si>
    <t>10.1016/j.dsr2.2022.105150</t>
  </si>
  <si>
    <t>4O1ST</t>
  </si>
  <si>
    <t>WOS:000854487600003</t>
  </si>
  <si>
    <t>Park, S; Chung, H; Lee, WY</t>
  </si>
  <si>
    <t>Park, Seongseop; Chung, Hosung; Lee, Won Young</t>
  </si>
  <si>
    <t>Behavioral responses of Ad?elie penguins confronting a giant ice floe</t>
  </si>
  <si>
    <t>Ice floe; Ross sea; Antarctica; GPS; Time -depth recorders</t>
  </si>
  <si>
    <t>ROSS SEA; FORAGING BEHAVIOR; ANTARCTIC SILVERFISH; PYGOSCELIS-ADELIAE; DIMETHYL SULFIDE; DIVING BEHAVIOR; BAY; VARIABILITY; POPULATIONS; ATTACHMENT</t>
  </si>
  <si>
    <t>Recent rapid environmental changes in Antarctica have often produced a sudden barrier to the marine animals. Ade ' lie penguins, one of the top predators in the Antarctic ecosystem, are reported to confront the changes near the habitats by the appearance of large icebergs or drift ice. We tracked the foraging trips of Ade ' lie penguins with GPS and time-depth recorders during the chick-guarding period in December 2018, at Ade ' lie Cove in the Ross Sea, Antarctica, when 240 km2 of a giant ice floe was approaching near the foraging areas. Here, we aimed to investigate how Ade ' lie penguins respond to these natural obstacles. Our results showed that, among the 18 penguins, 4 individuals moved to the south of the Silverfish Bay fast ice and 14 moved further east beyond the large ice floe to the sparse drift ice. The 14 birds on the sparse ice either crossed (through the ice floe surface, n = 7) or bypassed (to the northern ice boundary, n = 2; to the southern ice boundary, n = 5). Compared to a neighboring population on Inexpressible Island, Ade ' lie Cove penguins had a longer foraging trip duration and movement distance. Our results suggest that the giant ice floe could alter the foraging paths and penguins bypassed or crossed the ice to reach their foraging areas by spending more energy and time. For better understanding, further studies are required to estimate if penguins suffer from these changes.</t>
  </si>
  <si>
    <t>[Park, Seongseop; Chung, Hosung; Lee, Won Young] Korea Polar Res Inst, Div Life Sci, Incheon 21990, South Korea; [Lee, Won Young] Univ Sci &amp; Technol, Polar Sci, Daejeon 34113, South Korea</t>
  </si>
  <si>
    <t>Korea Polar Research Institute (KOPRI); University of Science &amp; Technology (UST)</t>
  </si>
  <si>
    <t>Lee, WY (corresponding author), Korea Polar Res Inst, Div Life Sci, Incheon 21990, South Korea.</t>
  </si>
  <si>
    <t>wonyounglee@kopri.re.kr</t>
  </si>
  <si>
    <t>Lee, Won Young/0000-0002-5658-6341</t>
  </si>
  <si>
    <t>Ecosystem Structure and Function of Marine Protected Area (MPA) in Antarctica [PM21060]; Ministry of Oceans and Fisheries, and Korea Institute of Marine Science and Technology Promotion [20170336]</t>
  </si>
  <si>
    <t>Ecosystem Structure and Function of Marine Protected Area (MPA) in Antarctica; Ministry of Oceans and Fisheries, and Korea Institute of Marine Science and Technology Promotion</t>
  </si>
  <si>
    <t>This research was supported by a grant from the research project 'Ecosystem Structure and Function of Marine Protected Area (MPA) in Antarctica' (PM21060) , funded by the Ministry of Oceans and Fisheries, and Korea Institute of Marine Science and Technology Promotion (20170336) .</t>
  </si>
  <si>
    <t>10.1016/j.dsr2.2022.105152</t>
  </si>
  <si>
    <t>4N9LN</t>
  </si>
  <si>
    <t>WOS:000854333600001</t>
  </si>
  <si>
    <t>Gu, XQ; Zhao, LY; Tan, JJ; Zhang, Q; Fu, LP; Li, J</t>
  </si>
  <si>
    <t>Gu, Xiaoqian; Zhao, Luying; Tan, Jiaojiao; Zhang, Qian; Fu, Liping; Li, Jiang</t>
  </si>
  <si>
    <t>Characterization of a novel β-agarase from Antarctic macroalgae-associated bacteria metagenomic library and anti-inflammatory activity of the enzymatic hydrolysates</t>
  </si>
  <si>
    <t>metagenomic; agarase; biochemical characterization; agaro-oligosaccharides; anti-inflammatory</t>
  </si>
  <si>
    <t>NEOAGARO-OLIGOSACCHARIDES; PURIFICATION; CYTOKINES; ALGINATE; SURFACE</t>
  </si>
  <si>
    <t>An agarase gene (aga1904) that codes a protein with 640 amino acids was obtained from the metagenomic library of macroalgae-associated bacteria collected from King George Island, Antarctica. Gene aga1904 was expressed in Escherichia coli BL21 (DE3) and recombinant Aga1904 was purified by His Bind Purification kit. The optimal temperature and pH for the activity of Aga1904 were 50 degrees C and 6.0, respectively. Fe3+ and Cu2+ significantly inhibited the activity of Aga1904. The V-max and K-m values of recombinant Aga1904 were 108.70 mg/ml min and 6.51 mg/ml, respectively. The degradation products of Aga1904 against agarose substrate were mainly neoagarobiose, neoagarotetraose, and neoagarohexaose analyzed by thin layer chromatography. The cellular immunoassay of enzymatic hydrolysates was subsequently carried out, and the results showed that agaro-oligosaccharides dominated by neoagarobiose significantly inhibited key pro-inflammatory markers including, nitric oxide (NO), interleukins 6 (IL-6), and tumor necrosis factor alpha (TNF-alpha). This work provides a promising candidate for development recombinant industrial enzyme to prepare agaro-oligosaccharides, and paved up a new path for the exploitation of natural anti-inflammatory agent in the future.</t>
  </si>
  <si>
    <t>[Gu, Xiaoqian; Zhao, Luying; Zhang, Qian; Fu, Liping; Li, Jiang] Minist Nat Resources, Inst Oceanog 1, Key Lab Ecol Environm Sci &amp; Technol, Qingdao, Peoples R China; [Gu, Xiaoqian; Tan, Jiaojiao] Chinese Acad Sci, Inst Oceanol, Ctr Ocean Mega Sci, CAS &amp; Shandong Prov Key Lab Expt Marine Biol, Qingdao, Peoples R China</t>
  </si>
  <si>
    <t>First Institute of Oceanography, Ministry of Natural Resources; Ministry of Natural Resources of the People's Republic of China; Chinese Academy of Sciences; Institute of Oceanology, CAS</t>
  </si>
  <si>
    <t>Li, J (corresponding author), Minist Nat Resources, Inst Oceanog 1, Key Lab Ecol Environm Sci &amp; Technol, Qingdao, Peoples R China.</t>
  </si>
  <si>
    <t>lijiang@fio.org.cn</t>
  </si>
  <si>
    <t>fu, liping/HGV-1950-2022</t>
  </si>
  <si>
    <t>SEP 2</t>
  </si>
  <si>
    <t>10.3389/fmicb.2022.972272</t>
  </si>
  <si>
    <t>5N2RL</t>
  </si>
  <si>
    <t>WOS:000871635900001</t>
  </si>
  <si>
    <t>Nizamutdinov, T; Mavlyudov, B; Wang, WJ; Abakumov, E</t>
  </si>
  <si>
    <t>Nizamutdinov, Timur; Mavlyudov, Bulat; Wang, Wenjuan; Abakumov, Evgeny</t>
  </si>
  <si>
    <t>The body of the Bellingshausen Ice Dome as a biogeochemical space</t>
  </si>
  <si>
    <t>SOLID EARTH SCIENCES</t>
  </si>
  <si>
    <t>Antarctic; Collins glacier; King George Island; Cryoconite; Soil-like bodies; Glacial sediments</t>
  </si>
  <si>
    <t>KING-GEORGE ISLAND; SOUTH SHETLAND ISLANDS; TRACE-ELEMENT CONTAMINATION; HEAVY-METAL CONTAMINATION; FILDES PENINSULA; BLACK-CARBON; CRYOCONITE HOLES; ARDLEY ISLAND; VOLCANIC ACTIVITY; DECEPTION ISLAND</t>
  </si>
  <si>
    <t>The investigation of glacial sediments has not received a lot of attention, but the processes in place on the surface of glaciers are quite interesting and multidirectional. In this article, we focused on glacial sediments material sampled from the surface of the Bellingshausen Ice Dome (King George Island, South Shetland Islands, Antarctica). These sediments have different genesis: material from cryoconite holes, denuded layers of volcanic ash, flushed ash and soils and soil-like bodies formed in the glacial zone. Chemical analysis of the samples showed that the bulk composition of sediments is as follows: SiO2 &gt; Fe2O3 &gt; Al2O3 &gt; SO3 &gt; CaO &gt; MgO &gt; Na2O &gt; TiO2 &gt; K2O &gt; P2O5 &gt; MnO (with SiO2 content 50-55%, Fe2O3 - 17-23%, Al2O3 - 6-12%). The loss on ignition was maximum (10-11%) for samples taken at the top of the dome. Calculation of geochemical indexes showed that the mineral part of the samples is a product of erosion and sedimentation processes and is less chemically weathered in the lower part of the ice dome. The weathering type is fersiallitic. The maximum content of organogenic compounds (Total organic carbon - up to 5%, ammonium nitrogen - up to 116 mg/kg and mobile potassium - up to 373 mg/kg) also recorded at the top of the glacial dome; this may be associated with microbiological activity in cryoconite holes and the penetration of organic material from bird fauna. The low content of organogenic compounds on the slopes is caused by the processes of their washout with melt water. The content of trace metals Zn, Ni, and Pb found at higher elevations and distribution of Cu and Cd have more a local character associated with tourism activities and anthropogenic influence from year-round scientific stations. Thus, a number of multidirectional processes take place in the glacial sediments on the Bellingshausen Ice Dome, these are not simple denuded layers of ancient volcanic ash. The glacier cover can be considered as a living biogeochemical shell, accumulating products of microbiological and anthropogenic activity, products of erosion and sedimentation and organic matter of ornithogenic origin. Copyright (C) 2022, Guangzhou Institute of Geochemistry. Production and hosting by Elsevier B.V.</t>
  </si>
  <si>
    <t>[Nizamutdinov, Timur; Wang, Wenjuan; Abakumov, Evgeny] St Petersburg State Univ, Fac Biol, Dept Appl Ecol, St Petersburg 199178, Russia; [Mavlyudov, Bulat] Russian Acad Sci, Inst Geog, Moscow 119017, Russia; [Nizamutdinov, Timur] St Petersburg State Univ, Fac Biol, Dept Appl Ecol, 16th Liniya VO 29, St Petersburg 199178, Russia</t>
  </si>
  <si>
    <t>Saint Petersburg State University; Institute of Geography, Russian Academy of Sciences; Russian Academy of Sciences; Saint Petersburg State University</t>
  </si>
  <si>
    <t>Nizamutdinov, T (corresponding author), St Petersburg State Univ, Fac Biol, Dept Appl Ecol, 16th Liniya VO 29, St Petersburg 199178, Russia.</t>
  </si>
  <si>
    <t>timur_nizam@mail.ru</t>
  </si>
  <si>
    <t>Wang, wenjuan/HIR-3631-2022; Abakumov, Evgeny/AAO-8580-2020; Abakumov, e_abakumov@mail.ru/ADJ-1297-2022; Nizamutdinov, Timur/AAA-9686-2021</t>
  </si>
  <si>
    <t>Wang, wenjuan/0000-0002-9173-3028; Abakumov, Evgeny/0000-0002-5248-9018; Abakumov, e_abakumov@mail.ru/0000-0002-5248-9018; Nizamutdinov, Timur/0000-0003-2600-5494</t>
  </si>
  <si>
    <t>Russian Foundation for Basic Research [19-05-50107]</t>
  </si>
  <si>
    <t>Russian Foundation for Basic Research(Russian Foundation for Basic Research (RFBR)Spanish Government)</t>
  </si>
  <si>
    <t>The article in honor of the 300th anniversary of St. Peters-burg State University. This work was supported by Russian Foundation for Basic Research, project No 19-05-50107 The role of microparticles of organic carbon in degradation of ice cover of polar regions of the Earths and in the process of soil-like bodies formation. We also acknowledge Russian Ant-arctic Expedition (Arctic and Antarctic Research Institute) for helping with organization of field work and logistic.</t>
  </si>
  <si>
    <t>2451-912X</t>
  </si>
  <si>
    <t>SOLID EARTH SCI</t>
  </si>
  <si>
    <t>Solid Earth Sci.</t>
  </si>
  <si>
    <t>10.1016/j.sesci.2022.05.002</t>
  </si>
  <si>
    <t>5A7PF</t>
  </si>
  <si>
    <t>WOS:000863074600004</t>
  </si>
  <si>
    <t>Gerhards, R; Seston, RM; Kozerski, GE; McNett, DA; Boehmer, T; Durham, JA; Xu, SH</t>
  </si>
  <si>
    <t>Gerhards, Reinhard; Seston, Rita M.; Kozerski, Gary E.; McNett, Debra A.; Boehmer, Thomas; Durham, Jeremy A.; Xu, Shihe</t>
  </si>
  <si>
    <t>Basic considerations to minimize bias in collection and analysis of volatile methyl siloxanes in environmental samples</t>
  </si>
  <si>
    <t>Volatile methyl siloxanes; Environmental monitoring; Quality control; Analytical methods; Equilibrium reactions; Gas -chromatography</t>
  </si>
  <si>
    <t>PERSONAL CARE PRODUCTS; WATER TREATMENT-PLANT; LONG-RANGE TRANSPORT; CYCLIC METHYLSILOXANES; UNEXPECTED OCCURRENCE; ANTARCTIC SOILS; TUBE SAMPLER; FOOD-WEB; FATE; AIR</t>
  </si>
  <si>
    <t>Monitoring studies that aim to quantify volatile methyl siloxanes (VMS) in environmental matrices may encounter a multitude of issues, most of which relate to the unique combination of physical-chemical characteristics of VMS that distinguish them from other classes of organic compounds. These properties, which are critical to their function in var-ious applications, also control their fate and distribution in the environment, as well as the analytical chemistry of their measurement. Polycondensation and rearrangement reactions of VMS oligomers are possible during sample storage and analysis. Thus, care should be exercised to suppress these types of reactions by avoiding any catalytic substances or surfaces in sample collection and analysis equipment. Another factor complicating sample integrity in the analysis of trace levels of VMS, is their ubiquitous presence in many common products and components of instrumentation in the laboratory. For example, some gas chromatography columns and inlet septa have been identified as sources of VMS due to surface-catalyzed transformation of silicones to VMS promoted by moisture under high temperature in some silicone-based GC columns. Possible chemical transformation of the analytes, contamination from other sources, and potential loss of analytes need to be assessed throughout all aspects of the study, from sample collection through anal-ysis, by establishing a rigorous quality assurance and quality control program. The implementation of such a robust QA/QC program facilitates the identification and minimization of potential analytical biases and ensures the validity and usability of data generated from environmental monitoring campaigns for VMS. The objective of this paper is to focus on aspects of collection, processing, and analysis of environmental samples that may influence the quality of the VMS analytical results. This information should then be employed in the design and implementation of future mon-itoring studies and can used to assess the validity of analytical results from VMS monitoring studies.</t>
  </si>
  <si>
    <t>[Gerhards, Reinhard] GerConsult, D-44892 Bochum, Germany; [Seston, Rita M.] Hyla Environm Consulting LLC, Midland, MI 48640 USA; [Kozerski, Gary E.; McNett, Debra A.; Durham, Jeremy A.; Xu, Shihe] Dow Chem Co USA, Toxicol &amp; Environm Res &amp; Consulting TERC, Midland, MI 48674 USA; [Boehmer, Thomas] Evon Operat GmbH, Analyt Lab, D-45127 Essen, Germany; [Xu, Shihe] Tridge Environm Consulting LLC, Midland, MI 48642 USA</t>
  </si>
  <si>
    <t>Dow Chemical Company</t>
  </si>
  <si>
    <t>Seston, RM (corresponding author), Hyla Environm Consulting LLC, Midland, MI 48640 USA.</t>
  </si>
  <si>
    <t>hyla.environmental@gmail.com</t>
  </si>
  <si>
    <t>DEC 10</t>
  </si>
  <si>
    <t>10.1016/j.scitotenv.2022.158275</t>
  </si>
  <si>
    <t>5B0KE</t>
  </si>
  <si>
    <t>WOS:000863264900002</t>
  </si>
  <si>
    <t>Lohmann, J; Svensson, A</t>
  </si>
  <si>
    <t>Lohmann, Johannes; Svensson, Anders</t>
  </si>
  <si>
    <t>Ice core evidence for major volcanic eruptions at the onset of Dansgaard-Oeschger warming events</t>
  </si>
  <si>
    <t>MERIDIONAL OVERTURNING CIRCULATION; ABRUPT CLIMATE-CHANGE; LAST GLACIAL PERIOD; ATLANTIC-OCEAN; GREENLAND; LATITUDE; RECORDS; IMPACT; INSTABILITY; MAGNITUDE</t>
  </si>
  <si>
    <t>While a significant influence of volcanic activity on Holocene climate is well-established, an equally prominent role of major eruptions in the climate variability and regime shifts during the Quaternary glacial cycles has been suggested. Previous statistical assessments of this were challenged by inaccurate synchronization of large volcanic eruptions to changes in past climate. Here, this is alleviated by combining a new record of bipolar volcanism from Greenland and Antarctic ice cores with records of abrupt climate change derived from the same ice cores. We show that bipolar volcanic eruptions occurred significantly more frequently than expected by chance just before the onset of Dansgaard-Oeschger events, which are the most prominent large-scale abrupt climate changes in the last glacial period. Out of 20 abrupt warming events in the 12-60 ka period, 5 (7) occur within 20 (50) years after a bipolar eruption. We hypothesize that this may be a result of the direct influence of volcanic cooling on the Atlantic meridional overturning circulation, which is widely regarded as the main climate subsystem involved in Dansgaard-Oeschger cycles. Transitions from a weak to a strong circulation mode may be triggered by cooling in the North Atlantic given that the circulation is close to a stability threshold. We illustrate this suggestion by simulations with an ocean-only general circulation model forced by short-term volcanic cooling. The analysis presented suggests that large eruptions may act as short-term triggers for large-scale abrupt climate change and may explain some of the variability of Dansgaard-Oeschger cycles. While we argue that the bipolar catalogue used here covers a sufficiently large portion of the eruptions with the strongest global climate impact, volcanic events restricted to either the Northern or Southern Hemisphere may likewise contribute to abrupt climate change.</t>
  </si>
  <si>
    <t>[Lohmann, Johannes; Svensson, Anders] Univ Copenhagen, Niels Bohr Inst, Phys Ice Climate &amp; Earth, Copenhagen, Denmark</t>
  </si>
  <si>
    <t>University of Copenhagen; Niels Bohr Institute</t>
  </si>
  <si>
    <t>Lohmann, J (corresponding author), Univ Copenhagen, Niels Bohr Inst, Phys Ice Climate &amp; Earth, Copenhagen, Denmark.</t>
  </si>
  <si>
    <t>johannes.lohmann@nbi.ku.dk</t>
  </si>
  <si>
    <t>Svensson, Anders/A-2643-2010</t>
  </si>
  <si>
    <t>Svensson, Anders/0000-0002-4364-6085</t>
  </si>
  <si>
    <t>Horizon 2020 [820970]</t>
  </si>
  <si>
    <t>Horizon 2020(Horizon 2020)</t>
  </si>
  <si>
    <t>This research has been supported by the Horizon 2020 (grant no. TiPES (820970)).</t>
  </si>
  <si>
    <t>10.5194/cp-18-2021-2022</t>
  </si>
  <si>
    <t>4I9HS</t>
  </si>
  <si>
    <t>WOS:000850884000001</t>
  </si>
  <si>
    <t>Tedersoo, L; Mikryukov, V; Zizka, A; Bahram, M; Hagh-Doust, N; Anslan, S; Prylutskyi, O; Delgado-Baquerizo, M; Maestre, FT; Pärn, J; Öpik, M; Moora, M; Zobel, M; Espenberg, M; Mander, Ü; Khalid, AN; Corrales, A; Agan, A; Vasco-Palacios, AM; Saitta, A; Rinaldi, AC; Verbeken, A; Sulistyo, BP; Tamgnoue, B; Furneaux, B; Ritter, CD; Nyamukondiwa, C; Sharp, C; Marín, C; Gohar, D; Klavina, D; Sharmah, D; Dai, DQ; Nouhra, E; Biersma, EM; Rähn, E; Cameron, EK; De Crop, E; Otsing, E; Davydov, EA; Albornoz, FE; Brearley, FQ; Buegger, F; Zahn, G; Bonito, G; Hiiesalu, I; Barrio, IC; Heilmann-Clausen, J; Ankuda, J; Kupagme, JY; Maciá-Vicente, JG; Fovo, JD; Geml, J; Alatalo, JM; Alvarez-Manjarrez, J; Poldmaa, K; Runnel, K; Adamson, K; Bråthen, KA; Pritsch, K; Tchan, K; Hyde, KD; Newsham, KK; Panksep, K; Lateef, AA; Tiirmann, L; Hansson, L; Lamit, LJ; Saba, M; Tuomi, M; Gryzenhout, M; Bauters, M; Piepenbring, M; Wijayawardene, N; Yorou, NS; Kurina, O; Mortimer, PE; Meidl, P; Kohout, P; Nilsson, RH; Puusepp, R; Drenkhan, R; Garibay-Orijel, R; Godoy, R; Alkahtani, S; Rahimlou, S; Dudov, S; Polme, S; Ghosh, S; Mundra, S; Ahmed, T; Netherway, T; Henkel, TW; Roslin, T; Nteziryayo, V; Fedosov, VE; Onipchenko, VG; Yasanthika, WAE; Lim, YW; Soudzilovskaia, NA; Antonelli, A; Koljalg, U; Abarenkov, K</t>
  </si>
  <si>
    <t>Tedersoo, Leho; Mikryukov, Vladimir; Zizka, Alexander; Bahram, Mohammad; Hagh-Doust, Niloufar; Anslan, Sten; Prylutskyi, Oleh; Delgado-Baquerizo, Manuel; Maestre, Fernando T.; Parn, Jaan; Opik, Maarja; Moora, Mari; Zobel, Martin; Espenberg, Mikk; Mander, Ulo; Khalid, Abdul Nasir; Corrales, Adriana; Agan, Ahto; Vasco-Palacios, Aida-M; Saitta, Alessandro; Rinaldi, Andrea C.; Verbeken, Annemieke; Sulistyo, Bobby P.; Tamgnoue, Boris; Furneaux, Brendan; Ritter, Camila Duarte; Nyamukondiwa, Casper; Sharp, Cathy; Marin, Cesar; Gohar, Daniyal; Klavina, Darta; Sharmah, Dipon; Dai, Dong Qin; Nouhra, Eduardo; Biersma, Elisabeth Machteld; Rahn, Elisabeth; Cameron, Erin K.; De Crop, Eske; Otsing, Eveli; Davydov, Evgeny A.; Albornoz, Felipe E.; Brearley, Francis Q.; Buegger, Franz; Zahn, Geoffrey; Bonito, Gregory; Hiiesalu, Inga; Barrio, Isabel C.; Heilmann-Clausen, Jacob; Ankuda, Jelena; Kupagme, John Y.; Macia-Vicente, Jose G.; Fovo, Joseph Djeugap; Geml, Jozsef; Alatalo, Juha M.; Alvarez-Manjarrez, Julieta; Poldmaa, Kadri; Runnel, Kadri; Adamson, Kalev; Brathen, Kari Anne; Pritsch, Karin; Tchan, Kassim, I; Hyde, Kevin D.; Newsham, Kevin K.; Panksep, Kristel; Lateef, Adebola A.; Tiirmann, Liis; Hansson, Linda; Lamit, Louis J.; Saba, Malka; Tuomi, Maria; Gryzenhout, Marieka; Bauters, Marijn; Piepenbring, Meike; Wijayawardene, Nalin; Yorou, Nourou S.; Kurina, Olavi; Mortimer, Peter E.; Meidl, Peter; Kohout, Petr; Nilsson, Rolf Henrik; Puusepp, Rasmus; Drenkhan, Rein; Garibay-Orijel, Roberto; Godoy, Roberto; Alkahtani, Saad; Rahimlou, Saleh; Dudov, Sergey, V; Polme, Sergei; Ghosh, Soumya; Mundra, Sunil; Ahmed, Talaat; Netherway, Tarquin; Henkel, Terry W.; Roslin, Tomas; Nteziryayo, Vincent; Fedosov, Vladimir E.; Onipchenko, Vladimir G.; Yasanthika, W. A. Erandi; Lim, Young Woon; Soudzilovskaia, Nadejda A.; Antonelli, Alexandre; Koljalg, Urmas; Abarenkov, Kessy</t>
  </si>
  <si>
    <t>Global patterns in endemicity and vulnerability of soil fungi</t>
  </si>
  <si>
    <t>biodiversity; biogeography; climate change; conservation priorities; global change vulnerability; global maps; mycorrhizal fungi; pathogens; saprotrophs</t>
  </si>
  <si>
    <t>CLIMATE-CHANGE MITIGATION; ECTOMYCORRHIZAL FUNGI; MICROBIAL COMMUNITIES; SPECIES RICHNESS; ADAPTATION; DIVERSITY; BIOGEOGRAPHY; TEMPERATURE; BACTERIA</t>
  </si>
  <si>
    <t>Fungi are highly diverse organisms, which provide multiple ecosystem services. However, compared with charismatic animals and plants, the distribution patterns and conservation needs of fungi have been little explored. Here, we examined endemicity patterns, global change vulnerability and conservation priority areas for functional groups of soil fungi based on six global surveys using a high-resolution, long-read metabarcoding approach. We found that the endemicity of all fungi and most functional groups peaks in tropical habitats, including Amazonia, Yucatan, West-Central Africa, Sri Lanka, and New Caledonia, with a negligible island effect compared with plants and animals. We also found that fungi are predominantly vulnerable to drought, heat and land-cover change, particularly in dry tropical regions with high human population density. Fungal conservation areas of highest priority include herbaceous wetlands, tropical forests, and woodlands. We stress that more attention should be focused on the conservation of fungi, especially root symbiotic arbuscular mycorrhizal and ectomycorrhizal fungi in tropical regions as well as unicellular early-diverging groups and macrofungi in general. Given the low overlap between the endemicity of fungi and macroorganisms, but high conservation needs in both groups, detailed analyses on distribution and conservation requirements are warranted for other microorganisms and soil organisms.</t>
  </si>
  <si>
    <t>[Tedersoo, Leho; Gohar, Daniyal; Otsing, Eveli; Kupagme, John Y.; Tiirmann, Liis; Puusepp, Rasmus; Rahimlou, Saleh; Polme, Sergei] Univ Tartu, Mycol &amp; Microbiol Ctr, Tartu, Estonia; [Mikryukov, Vladimir; Hagh-Doust, Niloufar; Anslan, Sten; Parn, Jaan; Opik, Maarja; Moora, Mari; Zobel, Martin; Espenberg, Mikk; Mander, Ulo; Hiiesalu, Inga; Poldmaa, Kadri; Runnel, Kadri; Koljalg, Urmas] Univ Tartu, Inst Ecol &amp; Earth Sci, Tartu, Estonia; [Zizka, Alexander] Philipps Univ, Dept Biol, Marburg, Germany; [Bahram, Mohammad; Netherway, Tarquin; Roslin, Tomas] Swedish Univ Agr Sci, Dept Ecol, Uppsala, Sweden; [Prylutskyi, Oleh] Kharkov Natl Univ, Sch Biol, Dept Mycol &amp; Plant Resistance, Kharkiv, Ukraine; [Delgado-Baquerizo, Manuel] Univ Pablo de Olavide, Inst Recursos Nat &amp; Agrobiol Sevilla IRNAS, Lab Biodiversidad &amp; Funcionamiento Ecosistem, CSIC, Seville, Spain; [Delgado-Baquerizo, Manuel] Univ Pablo de Olavide, Unidad Asociada CSIC UPO BioFun, Seville, Spain; [Maestre, Fernando T.] Univ Alicante, Inst Multidisciplinar Estudio Medio Ramon Margale, Dept Ecol, Alicante, Spain; [Khalid, Abdul Nasir] Univ Punjab, Inst Bot, Lahore, Pakistan; [Corrales, Adriana] Univ Rosario, Ctr Invest Microbiol &amp; Biotecnol UR CIMBIUR, Bogota, Colombia; [Agan, Ahto; Rahn, Elisabeth; Adamson, Kalev; Drenkhan, Rein] Estonian Univ Life Sci, Inst Forestry &amp; Engn, Tartu, Estonia; [Vasco-Palacios, Aida-M] Univ Antioquia UdeA, Escuela Microbiol, BioMicro, Medellin, Antioquia, Colombia; [Saitta, Alessandro] Univ Palermo, Dept Agr Food &amp; Forest Sci, Palermo, Italy; [Rinaldi, Andrea C.] Univ Cagliari, Dept Biomed Sci, Cagliari, Italy; [Verbeken, Annemieke; De Crop, Eske] Univ Ghent, Dept Biol, Ghent, Belgium; [Sulistyo, Bobby P.] Indonesia Int Inst Life Sci, Dept Biomed, Jakarta, Indonesia; [Tamgnoue, Boris; Fovo, Joseph Djeugap] Univ Dschang, Dept Crop Sci, Dschang, Cameroon; [Furneaux, Brendan] Uppsala Univ, Dept Ecol &amp; Genet, Uppsala, Sweden; [Ritter, Camila Duarte] Univ Fed Parana, Dept Zootecnia, Curitiba, Parana, Brazil; [Nyamukondiwa, Casper] Botswana Int Univ Sci &amp; Technol, Dept Biol Sci &amp; Biotechnol, Palapye, Botswana; [Sharp, Cathy] Nat Hist Museum Zimbabwe, Bulawayo, Zimbabwe; [Marin, Cesar] Univ SantoTomas, Ctr Invest &amp; Innovac Cambio Climat CIICC, Santiago, Chile; [Klavina, Darta] Latvian State Forest Res Inst Silava, Salaspils, Latvia; [Sharmah, Dipon] Pondicherry Univ, Dept Bot, Jawaharlal Nehru Rajkeeya Mahavidyalaya, Port Blair, India; [Dai, Dong Qin; Wijayawardene, Nalin] Qujing Normal Univ, Coll Biol Resource &amp; Food Engn, Qujing, Peoples R China; [Nouhra, Eduardo] Univ Nacl Cordoba, Inst Multidisciplinario Biol Vegetal CONICET, Cordoba, Argentina; [Biersma, Elisabeth Machteld] Nat Hist Museum Denmark, Copenhagen, Denmark; [Cameron, Erin K.] St Marys Univ, Dept Environm Sci, Halifax, NS, Canada; [Davydov, Evgeny A.] Altai State Univ, Barnaul, Russia; [Albornoz, Felipe E.] CSIRO Land &amp; Water, Wembley, WA, Australia; [Brearley, Francis Q.] Manchester Metropolitan Univ, Dept Nat Sci, Manchester, Lancs, England; [Buegger, Franz; Pritsch, Karin] Helmholtz Zentrum Munchen, Neuherberg, Germany; [Zahn, Geoffrey] Utah Valley Univ, Orem, UT USA; [Bonito, Gregory] Michigan State Univ, Plant Soil &amp; Microbial Sci, E Lansing, MI 48824 USA; [Barrio, Isabel C.] Agr Univ Iceland, Fac Nat &amp; Environm Sci, Hvanneyri, Iceland; [Heilmann-Clausen, Jacob] Univ Copenhagen, Ctr Macroecol Evolut &amp; Climate, Copenhagen, Denmark; [Ankuda, Jelena] Lithuanian Res Ctr Agr &amp; Forestry LAMMC, Dept Silviculture &amp; Ecol, Inst Forestry, Girionys, Lithuania; [Macia-Vicente, Jose G.] Wageningen Univ &amp; Res, Plant Ecol &amp; Nat Conservat, Wageningen, Netherlands; [Geml, Jozsef] Eszterhazy Karoly Catholic Univ, ELKH EKKE Lendulet Environm Microbiome Res Grp, Eger, Hungary; [Alatalo, Juha M.; Ahmed, Talaat] Qatar Univ, Environm Sci Ctr, Doha, Qatar; [Alvarez-Manjarrez, Julieta] Stanford Univ, Biol Dept, Stanford, CA 94305 USA; [Brathen, Kari Anne; Tuomi, Maria] Arctic Univ Norway, Dept Arctic &amp; Marine Biol, Tromso, Norway; [Tchan, Kassim, I; Yorou, Nourou S.] Univ Parakou, Res Unit Trop Mycol &amp; Plants Soil Fungi Interact, Parakou, Benin; [Hyde, Kevin D.; Yasanthika, W. A. Erandi] Mae Fah Luang Univ, Ctr Excellence Fungal Res, Chiang Rai, Thailand; [Newsham, Kevin K.] NERC British Antarctic Survey, Cambridge, England; [Panksep, Kristel] Estonian Univ Life Sci, Chair Hydrobiol &amp; Fishery, Tartu, Estonia; [Lateef, Adebola A.] Univ Ilorin, Dept Plant Biol, Ilorin, Nigeria; [Hansson, Linda] Gothenburg Ctr Sustainable Dev, Gothenburg, Sweden; [Lamit, Louis J.] Syracuse Univ, Dept Biol, Syracuse, NY 13244 USA; [Lamit, Louis J.] SUNY Coll Environm Sci &amp; Forestry, Dept Environm &amp; Forest Biol, Syracuse, NY 13210 USA; [Saba, Malka] Quaid I Azam Univ, Dept Plant Sci, Islamabad, Pakistan; [Gryzenhout, Marieka; Ghosh, Soumya] Univ Free State, Dept Genet, Bloemfontein, South Africa; [Bauters, Marijn] Univ Ghent, Dept Environm, Ghent, Belgium; [Piepenbring, Meike] Goethe Univ Frankfurt Main, Mycol Working Grp, Frankfurt, Germany; [Kurina, Olavi] Estonian Univ Life Sci, Inst Agr &amp; Environm Sci, Tartu, Estonia; [Mortimer, Peter E.] Chinese Acad Sci, Ctr Mt Futures, Kunming Inst Bot, Kunming, Yunnan, Peoples R China; [Meidl, Peter] Free Univ Berlin, Inst Biol, Berlin, Germany; [Kohout, Petr] Czech Acad Sci, Inst Microbiol, Prague, Czech Republic; [Nilsson, Rolf Henrik] Univ Gothenburg, Gothenburg Global Biodivers Ctr, Gothenburg, Sweden; [Garibay-Orijel, Roberto] Univ Nacl Autonoma Mexico, Inst Biol, Ciudad De Mexico, Mexico; [Godoy, Roberto] Univ Austral Chile, Inst Ciencias Ambientales &amp; Evolut, Valdivia, Chile; [Alkahtani, Saad] King Saud Univ, Coll Sci, Riyadh, Saudi Arabia; [Dudov, Sergey, V; Fedosov, Vladimir E.; Onipchenko, Vladimir G.] Moscow Lomonosov State Univ, Dept Ecol &amp; Plant Geog, Moscow, Russia; [Mundra, Sunil] United Arab Emirates Univ, Coll Sci, Dept Biol, Abu Dhabi, U Arab Emirates; [Henkel, Terry W.] Calif State Polytech Univ Arcata, Dept Biol Sci, Arcata, CA USA; [Nteziryayo, Vincent] Univ Burundi, Dept Food Sci &amp; Technol, Bujumbura, Burundi; [Lim, Young Woon] Seoul Natl Univ, Sch Biol Sci, Seoul, South Korea; [Lim, Young Woon] Seoul Natl Univ, Inst Microbiol, Seoul, South Korea; [Soudzilovskaia, Nadejda A.] Hasselt Univ, Ctr Environm Sci, Hasselt, Belgium; [Antonelli, Alexandre] Royal Bot Gardens, Richmond, England; [Abarenkov, Kessy] Univ Tartu, Nat Hist Museum, Tartu, Estonia</t>
  </si>
  <si>
    <t>University of Tartu; University of Tartu; Tartu University Institute of Ecology &amp; Earth Sciences; Philipps University Marburg; Swedish University of Agricultural Sciences; Ministry of Education &amp; Science of Ukraine; VN Karazin Kharkiv National University; Universidad Pablo de Olavide; Consejo Superior de Investigaciones Cientificas (CSIC); CSIC - Instituto de Recursos Naturales y Agrobiologia de Sevilla (IRNAS); Universidad Pablo de Olavide; Universitat d'Alacant; University of Punjab; Universidad del Rosario; Estonian University of Life Sciences; Universidad de Antioquia; University of Palermo; University of Cagliari; Ghent University; Indonesia International Institute for Life-Sciences (i3L); Universite de Dschang; Uppsala University; Universidade Federal do Parana; Latvian State Forest Research Institute Silava; Pondicherry University; Qujing Normal University; National University of Cordoba; Consejo Nacional de Investigaciones Cientificas y Tecnicas (CONICET); Saint Marys University - Canada; Altai State University; Commonwealth Scientific &amp; Industrial Research Organisation (CSIRO); Manchester Metropolitan University; Helmholtz Association; Helmholtz-Center Munich - German Research Center for Environmental Health; Utah System of Higher Education; Utah Valley University; Michigan State University; University of Copenhagen; Wageningen University &amp; Research; Eszterhazy Karoly Catholic University; Qatar University; Stanford University; UiT The Arctic University of Tromso; University of Parakou; Mae Fah Luang University; Estonian University of Life Sciences; University of Ilorin; University of Gothenburg; Syracuse University; State University of New York (SUNY) System; State University of New York (SUNY) College of Environmental Science &amp; Forestry; Quaid I Azam University; University of the Free State; Ghent University; Goethe University Frankfurt; Estonian University of Life Sciences; Chinese Academy of Sciences; Kunming Institute of Botany, CAS; Free University of Berlin; Czech Academy of Sciences; Institute of Microbiology of the Czech Academy of Sciences; University of Gothenburg; Universidad Nacional Autonoma de Mexico; Universidad Austral de Chile; King Saud University; Lomonosov Moscow State University; United Arab Emirates University; Seoul National University (SNU); Seoul National University (SNU); Hasselt University; Royal Botanic Gardens, Kew; University of Tartu</t>
  </si>
  <si>
    <t>Tedersoo, L (corresponding author), Univ Tartu, Mycol &amp; Microbiol Ctr, Tartu, Estonia.</t>
  </si>
  <si>
    <t>leho.tedersoo@ut.ee</t>
  </si>
  <si>
    <t>Prylutskyi, Oleh/AAX-7114-2020; Geml, Jozsef/C-2223-2018; Hyde, Kevin/F-7890-2010; Duarte Ritter, CAMILA/AFR-8742-2022; Abarenkov, Kessy/H-9611-2015; Anslan, Sten/AIC-0235-2022; Khalid, Abdul Nasir/AAD-9325-2020; Rinaldi, Andrea/N-1007-2019; Marín, César/B-3596-2018; Hagh Doust, Niloufar/IZP-7786-2023; Nilsson, R. Henrik/A-6062-2009; Onipchenko, Vladimir G./V-4244-2018; Pärn, Jaan/H-2638-2012; Barrio, Isabel C/F-8566-2010; Biersma, Elisabeth Machteld/JKI-1084-2023; Mikryukov, Vladimir/A-8369-2011; Hiiesalu, Inga/A-9313-2015; Fedosov, Vladimir E./P-7066-2014; Hagh Doust, Niloufar/HPG-4669-2023; Biersma, Elisabeth Machteld/AAL-9818-2020; Tedersoo, Leho/H-3541-2012; Zahn, Geoffrey/JFJ-2722-2023; Adamson, Kalev/H-3366-2016; Antonelli, Alexandre/A-5353-2011; Vasco, Aida/HJI-8776-2023; Gryzenhout, Marieka/C-5165-2008; Bråthen, Kari Anne/AAN-4666-2020; Moora, Mari/D-1961-2009; Macia-Vicente, Jose Gaspar/I-5665-2019; Delgado-Baquerizo, Manuel/L-3653-2017; Panksep, Kristel/H-3360-2016; Alvarez-Manjarrez, Julieta/KFB-6974-2024; Bahram, Mohammad/A-9766-2010; Davydov, Evgeny/K-4521-2013; Zizka, Alexander/V-5998-2019; Espenberg, Mikk/U-3118-2019; Zobel, Martin/H-1336-2015; Roslin, Tomas/E-8648-2016; Kurina, Olavi/A-8106-2013; Kohout, Petr/B-4975-2011; Mundra, Sunil/H-8642-2016; Ghosh, Soumya/B-1937-2019; Alatalo, Juha/C-1269-2018; garibay orijel, roberto/F-9360-2013</t>
  </si>
  <si>
    <t>Prylutskyi, Oleh/0000-0001-5730-517X; Geml, Jozsef/0000-0001-8745-0423; Duarte Ritter, CAMILA/0000-0002-3371-7425; Khalid, Abdul Nasir/0000-0002-5635-8031; Rinaldi, Andrea/0000-0002-9352-1037; Marín, César/0000-0002-2529-8929; Hagh Doust, Niloufar/0000-0003-0616-5829; Nilsson, R. Henrik/0000-0002-8052-0107; Barrio, Isabel C/0000-0002-8120-5248; Mikryukov, Vladimir/0000-0003-2786-2690; Hagh Doust, Niloufar/0000-0003-0616-5829; Biersma, Elisabeth Machteld/0000-0002-9877-2177; Zahn, Geoffrey/0000-0002-8691-692X; Adamson, Kalev/0000-0002-8810-8838; Antonelli, Alexandre/0000-0003-1842-9297; Bråthen, Kari Anne/0000-0003-0942-1074; Moora, Mari/0000-0002-4819-7506; Macia-Vicente, Jose Gaspar/0000-0002-7174-7270; Delgado-Baquerizo, Manuel/0000-0002-6499-576X; Panksep, Kristel/0000-0003-4743-6111; Alvarez-Manjarrez, Julieta/0000-0002-5581-7443; Bahram, Mohammad/0000-0002-9539-3307; Davydov, Evgeny/0000-0002-2316-8506; Zizka, Alexander/0000-0002-1680-9192; Espenberg, Mikk/0000-0003-0469-6394; Zobel, Martin/0000-0001-7957-6704; Roslin, Tomas/0000-0002-2957-4791; Kurina, Olavi/0000-0002-4858-4629; Sulistyo, Bobby/0000-0002-5203-4822; Netherway, Tarquin/0000-0002-9049-9225; Gohar, Daniyal/0000-0003-0312-1142; Kohout, Petr/0000-0002-3985-2310; Mundra, Sunil/0000-0002-0535-118X; Rahimlou, Saleh/0000-0003-0427-1329; Ghosh, Soumya/0000-0002-4945-3516; Ankuda, Jelena/0000-0002-9446-7802; Furneaux, Brendan/0000-0003-3522-7363; Alatalo, Juha/0000-0001-5084-850X; Gryzenhout, Marieka/0000-0002-9224-4277; Koljalg, Urmas/0000-0002-5171-1668; garibay orijel, roberto/0000-0002-6977-7550</t>
  </si>
  <si>
    <t>Estonian Science Foundation [PRG632, PRG1170, PRG1615, MOBTP198]; EEA Financial Mechanism Baltic Research Programme [EMP442]; Novo Nordisk Fonden [NNF20OC0059948]</t>
  </si>
  <si>
    <t>Estonian Science Foundation; EEA Financial Mechanism Baltic Research Programme; Novo Nordisk Fonden(Novo Nordisk Foundation)</t>
  </si>
  <si>
    <t>The full acknowledgements are provided in Table S6. The bulk of the funding is derived from the Estonian Science Foundation (grants PRG632, PRG1170, PRG1615, MOBTP198), EEA Financial Mechanism Baltic Research Programme (EMP442), and Novo Nordisk Fonden (NNF20OC0059948). All collected soil samples are preserved in collection of DNA and environmental samples of University of Tartu Natural History Museum.</t>
  </si>
  <si>
    <t>10.1111/gcb.16398</t>
  </si>
  <si>
    <t>WOS:000849544200001</t>
  </si>
  <si>
    <t>Trumhová, K; Klimesová, V; Pichrtová, M</t>
  </si>
  <si>
    <t>Trumhova, Katerina; Klimesova, Vanda; Pichrtova, Martina</t>
  </si>
  <si>
    <t>Seasonal Dynamics of Zygnema (Zygnematophyceae) Mats from the Austrian Alps</t>
  </si>
  <si>
    <t>MICROBIAL ECOLOGY</t>
  </si>
  <si>
    <t>Overwintering; Cryptic diversity; Chlorophyll fluorescence; Freezing; Hidden diversity</t>
  </si>
  <si>
    <t>GREEN-ALGA; PHENOLIC-COMPOUNDS; ANTARCTIC STRAINS; OSMOTIC-STRESS; STREPTOPHYTA; SPIROGYRA; PHOTOSYNTHESIS; CHLOROPHYTA; PHYLOGENY; ULTRASTRUCTURE</t>
  </si>
  <si>
    <t>Filamentous green algae of the genus Zygnema are an essential part of hydro-terrestrial ecosystems. Despite several studies on their resistance to natural stresses, little is known about the composition of their assemblages and the changes they undergo over time. Two sites at altitudes above 2200 m a.s.l. in the Austrian Alps were selected for a 2-year observation period and sampled five times. Molecular phylogenetic analysis of the 152 isolated strains of Zygnema sp. was performed based on the rbcL and trnG sequences. Seven genotypes were found at these sites during the samplings, but their proportion varied throughout the seasons. The site with a more stable water regime also had a more stable representation of genotypes, in contrast to the site with fluctuating water availability. The mats formed resistant pre-akinetes at the end of the season with reduced photosynthetic activity. Contrary to expectations, the mats were not exposed to extremely cold temperatures in winter due to snow cover. Some genotypes have been previously observed at this site, indicating that the population composition is stable. This work highlights the importance of resistant pre-akinetes in surviving winter conditions, the ability of algae to re-establish mats, and the need to address the hidden diversity of the genus Zygnema.</t>
  </si>
  <si>
    <t>[Trumhova, Katerina; Pichrtova, Martina] Charles Univ Prague, Fac Sci, Dept Bot, Benatska 2, Prague 12800, Czech Republic; [Klimesova, Vanda] Inst Criminalist Prague, Strojnicka 27, Prague 17089, Czech Republic</t>
  </si>
  <si>
    <t>Charles University Prague; Institute of Criminalistics Prague - Police of the Czech Republic</t>
  </si>
  <si>
    <t>Trumhová, K (corresponding author), Charles Univ Prague, Fac Sci, Dept Bot, Benatska 2, Prague 12800, Czech Republic.</t>
  </si>
  <si>
    <t>k.trumhova@gmail.com</t>
  </si>
  <si>
    <t>Pichrtova, Martina/N-1298-2014</t>
  </si>
  <si>
    <t>Pichrtova, Martina/0000-0002-6003-9666</t>
  </si>
  <si>
    <t>Charles University, project GAUK [980518]; Charles University Research Centre program [204069]</t>
  </si>
  <si>
    <t>Charles University, project GAUK; Charles University Research Centre program</t>
  </si>
  <si>
    <t>This study was supported by the Charles University, project GAUK no. 980518, and the Charles University Research Centre program no. 204069.</t>
  </si>
  <si>
    <t>0095-3628</t>
  </si>
  <si>
    <t>1432-184X</t>
  </si>
  <si>
    <t>MICROB ECOL</t>
  </si>
  <si>
    <t>Microb. Ecol.</t>
  </si>
  <si>
    <t>10.1007/s00248-022-02105-6</t>
  </si>
  <si>
    <t>Ecology; Marine &amp; Freshwater Biology; Microbiology</t>
  </si>
  <si>
    <t>Environmental Sciences &amp; Ecology; Marine &amp; Freshwater Biology; Microbiology</t>
  </si>
  <si>
    <t>M6EA7</t>
  </si>
  <si>
    <t>WOS:000849156900001</t>
  </si>
  <si>
    <t>Vargas, CA; Solano, JM; Gulisano, AM; Santillana, S; Casallas, EA</t>
  </si>
  <si>
    <t>Vargas, Carlos A.; Solano, Juan M.; Gulisano, Adriana M.; Santillana, Sergio; Casallas, Edwin A.</t>
  </si>
  <si>
    <t>Seismic properties of the permafrost layer using the HVSR method in Seymour-Marambio Island, Antarctica</t>
  </si>
  <si>
    <t>EARTH SCIENCES RESEARCH JOURNAL</t>
  </si>
  <si>
    <t>H/V spectral ratio; seismic response; permafrost; Marambio; Antartic; fluids' saturation</t>
  </si>
  <si>
    <t>SPECTRAL RATIO; WAVE-FIELD; AMBIENT VIBRATIONS; VELOCITY; OPENHVSR; NOISE; MODEL; TOOL</t>
  </si>
  <si>
    <t>Authors have calculated the H/V spectral ratios using seismic-noise recordings in the uppermost layers north of the Seymour-Marambio Island, Antarctic. Sixty-seven seismic site-response measurements near and far from the Argentinean Marambio Base runway suggest geotechnical works on the uppermost sedimentary layers due to maintenance, landing, and taxi of large loads and aircraft during decades could contribute to changes in their seismic dynamic response. Two horizontal images of V p, V s, and V p/ V s ratios at 1.0 m and 35.0 m depth show lateral variations in the permafrost properties. Authors interpret that permafrost is emplaced in rocks with different porosities and contrasting fluids saturation at those depths. In shallow strata, the saturation of gases affects mainly the elastic properties. In deeper strata, where the location of water reservoirs is detected, the primary mechanism of seismic dissipation is anelastic.</t>
  </si>
  <si>
    <t>[Vargas, Carlos A.; Solano, Juan M.] Univ Nacl Colombia, Dept Geociencias, Bogota, Colombia; [Gulisano, Adriana M.; Santillana, Sergio] Inst Antartico Argentino, Direcc Nacl Antartico, Buenos Aires, Argentina; [Gulisano, Adriana M.] Univ Buenos Aires, Inst Astron Fis Espacio, CONICET, Buenos Aires, Argentina; [Gulisano, Adriana M.] Univ Buenos Aires, Fac Ciencias Exactas Nat, Dept Fis, Buenos Aires, Argentina; [Casallas, Edwin A.] Fuerza Aerea Colombiana, Bogota, Colombia</t>
  </si>
  <si>
    <t>Universidad Nacional de Colombia; Instituto Antartico Argentino; Instituto de Astronomia y Fisica del Espacio (IAFE); University of Buenos Aires; Consejo Nacional de Investigaciones Cientificas y Tecnicas (CONICET); University of Buenos Aires</t>
  </si>
  <si>
    <t>Vargas, CA (corresponding author), Univ Nacl Colombia, Dept Geociencias, Bogota, Colombia.</t>
  </si>
  <si>
    <t>cavargasj@unal.edu.co</t>
  </si>
  <si>
    <t>Gulisano, AM/HTQ-2717-2023</t>
  </si>
  <si>
    <t>Universidad Nacional de Colombia, Departamento de Geociencias</t>
  </si>
  <si>
    <t>CAV and AMG thank Instituto Antartico Argentino and Comando Conjunto Antartico for the logistic support. CAV and JMS thank Universidad Nacional de Colombia, Departamento de Geociencias for helping support this research. The authors are grateful to staff members of the Laboratorio Antartico Multidisciplinario Marambio (LAMBI) for taking care of the permanent instrumentation. The authors also thank o.cers, crew, technicians, and the Fuerza Aerea Argentina science party that take care of the Marambio Station. AMG is a member of the Carrera del Investigador Cientifico, CONICET.</t>
  </si>
  <si>
    <t>UNIV NACIONAL DE COLOMBIA</t>
  </si>
  <si>
    <t>BOGOTA</t>
  </si>
  <si>
    <t>EDIFICIO MANUAL ANCIZAR AA, BOGOTA, 14490, COLOMBIA</t>
  </si>
  <si>
    <t>1794-6190</t>
  </si>
  <si>
    <t>2339-3459</t>
  </si>
  <si>
    <t>EARTH SCI RES J</t>
  </si>
  <si>
    <t>Earth Sci. Res. J.</t>
  </si>
  <si>
    <t>10.15446/esrj.v26n3.103981</t>
  </si>
  <si>
    <t>D9ES5</t>
  </si>
  <si>
    <t>WOS:000971691900001</t>
  </si>
  <si>
    <t>Cappell, R; MacFadyen, G; Constable, A</t>
  </si>
  <si>
    <t>Cappell, Rod; MacFadyen, Graeme; Constable, Andrew</t>
  </si>
  <si>
    <t>Research funding and economic aspects of the Antarctic krill fishery</t>
  </si>
  <si>
    <t>Krill; Antarctic; Fishery; Economics; Research; Funding; CCAMLR</t>
  </si>
  <si>
    <t>The Antarctic krill fishery has increased in recent years to more than two-thirds of an interim catch level of 620,000 tonnes in the Atlantic Sector, FAO Fishery Area 48. Members of the Commission for the Conservation of Antarctic Marine Living Resources (CCAMLR) have expressed concern that catches at these levels, if taken from small areas, could impact krill-dependent predators. In recent years, CCAMLR has been unable to agree on small-scale spatial management measures influencing the spatial distribution of krill catch. Some krill-fishing Members contend that more science is needed as CCAMLR is obliged to use the precautionary approach informed by the best available science. The availability of scientific information is dependent on funding and these considerations should be included in decision-making to ensure the costs for the necessary research to manage the fishery will be met. In this article we review the economics of the Antarctic krill fishery, the beneficiaries of the fishery, the costs of producing the scientific information currently available and the extent of current contributions. Based on this analysis, we propose that CCAMLR Scientific Committee designs a research strategy for the krill fishery in which research needs are identified, costed and implemented. This should include a funding mechanism to sustain these research activities and ensure appropriate contributions from those benefiting from the fishery.</t>
  </si>
  <si>
    <t>[Cappell, Rod; MacFadyen, Graeme] Poseidon Aquat Resource Management Ltd, Portmore, Lymington, England; [Constable, Andrew] Univ Tasmania, Ctr Marine Socioecol, Hobart, Tas, Australia</t>
  </si>
  <si>
    <t>Cappell, R (corresponding author), Poseidon Aquat Resource Management Ltd, Portmore, Lymington, England.</t>
  </si>
  <si>
    <t>rod@consult-poseidon.com</t>
  </si>
  <si>
    <t>Antarctic and Southern Oceans Coalition (ASOC)</t>
  </si>
  <si>
    <t>star This paper was prepared with funding from the Antarctic and Southern Oceans Coalition (ASOC). An earlier version of this article was presented as a white paper to the 40th annual meeting of the Commission for the Conservation of Antarctic Marine Living Resources (CCAMLR) in October 2021.</t>
  </si>
  <si>
    <t>10.1016/j.marpol.2022.105200</t>
  </si>
  <si>
    <t>4N5EO</t>
  </si>
  <si>
    <t>WOS:000854042400004</t>
  </si>
  <si>
    <t>Wilder, T; Zhai, XM; Munday, D; Joshi, M</t>
  </si>
  <si>
    <t>Wilder, Thomas; Zhai, Xiaoming; Munday, David; Joshi, Manoj</t>
  </si>
  <si>
    <t>The Response of a Baroclinic Anticyclonic Eddy to Relative Wind Stress Forcing</t>
  </si>
  <si>
    <t>Eddies; Ekman pumping/transport; Instability; Wind stress; Air-sea interaction; Energy budget/balance</t>
  </si>
  <si>
    <t>SATELLITE-OBSERVATIONS; OCEAN CIRCULATION; WESTERN BOUNDARY; GULF-STREAM; ENERGY; EDDIES; STABILITY; DYNAMICS; PHYTOPLANKTON; STABILIZATION</t>
  </si>
  <si>
    <t>Including the ocean surface current in the calculation of wind stress is known to damp mesoscale eddies through a negative wind power input and have potential ramifications for eddy longevity. Here, we study the spindown of a baroclinic anticyclonic eddy subject to absolute (no ocean surface current) and relative (including ocean surface current) wind stress forcing by employing an idealized high-resolution numerical model. Results from this study demonstrate that relative wind stress dissipates surface mean kinetic energy (MKE) and also generates additional vertical motions throughout the whole water column via Ekman pumping. Wind stress curl-induced Ekman pumping generates additional baroclinic conversion (mean potential to mean kinetic energy) that is found to offset the damping of surface MKE by increasing deep MKE. A scaling analysis of relative wind stress-induced baroclinic conversion and relative wind stress damping confirms these numerical findings, showing that additional energy conversion counteracts relative wind stress damping. What is more, wind stress curl-induced Ekman pumping is found to modify surface potential vorticity gradients that lead to an earlier destabilization of the eddy. Therefore, the onset of eddy instabilities and eventual eddy decay takes place on a shorter time scale in the simulation with relative wind stress.</t>
  </si>
  <si>
    <t>[Wilder, Thomas; Zhai, Xiaoming; Joshi, Manoj] Univ East Anglia, Sch Environm Sci, Norwich, Norfolk, England; [Munday, David] British Antarctic Survey, Cambridge, England</t>
  </si>
  <si>
    <t>University of East Anglia; UK Research &amp; Innovation (UKRI); Natural Environment Research Council (NERC); NERC British Antarctic Survey</t>
  </si>
  <si>
    <t>Wilder, T (corresponding author), Univ East Anglia, Sch Environm Sci, Norwich, Norfolk, England.</t>
  </si>
  <si>
    <t>t.wilder@uea.ac.uk</t>
  </si>
  <si>
    <t>Munday, David R/R-1986-2016; Joshi, Manoj/C-1795-2008; Wilder, Thomas/ITU-7821-2023; Zhai, Xiaoming/AAB-7129-2021</t>
  </si>
  <si>
    <t>Munday, David R/0000-0003-1920-708X; Joshi, Manoj/0000-0002-2948-2811; Wilder, Thomas/0000-0002-1108-4655; Zhai, Xiaoming/0000-0003-4519-1931</t>
  </si>
  <si>
    <t>Natural Environment Research Council [NE/L002582/1]</t>
  </si>
  <si>
    <t>Natural Environment Research Council(UK Research &amp; Innovation (UKRI)Natural Environment Research Council (NERC))</t>
  </si>
  <si>
    <t>This work was supported by the Natural Environment Research Council through the EnvEast Doctoral Training Partnership (Grant NE/L002582/1). T. Wilder would like to thank X. Zhai, D. Munday, and M. Joshi for their advice and guidance throughout this study. The authors are also grateful for the additional reviewer comments that have further enhanced the message and readability of this study.</t>
  </si>
  <si>
    <t>10.1175/JPO-D-22-0044.1</t>
  </si>
  <si>
    <t>6W5DX</t>
  </si>
  <si>
    <t>WOS:000895750400010</t>
  </si>
  <si>
    <t>Chouksey, A; Griesel, A; Chouksey, M; Eden, C</t>
  </si>
  <si>
    <t>Chouksey, Ashwita; Griesel, Alexa; Chouksey, Manita; Eden, Carsten</t>
  </si>
  <si>
    <t>Changes in Global Ocean Circulation due to Isopycnal Diffusion</t>
  </si>
  <si>
    <t>Meridional overturning circulation; Ocean circulation; Isopycnal mixing</t>
  </si>
  <si>
    <t>LATERAL EDDY DIFFUSIVITY; SOUTHERN-OCEAN; THERMOHALINE CIRCULATION; MESOSCALE EDDIES; MODEL; TRANSPORTS; TRACER; CLIMATOLOGY; SENSITIVITY; STABILITY</t>
  </si>
  <si>
    <t>We investigate changes in the ocean circulation due to the variation of isopycnal diffusivity (k(iso)) in a global non-eddy-resolving model. Although isopycnal diffusion is thought to have minor effects on interior density gradients, the model circulation shows a surprisingly large sensitivity to the changes: with increasing k(iso), the strength of the Atlantic residual overturning circulation (AMOC) and the Antarctic Circumpolar Current (ACC) transport weaken. At high latitudes, the isopycnal diffusion diffuses temperature and salinity upward and poleward, and at low latitudes downward close to the surface. Increasing isopycnal diffusivity increases the meridional isopycnal fluxes whose meridional gradient is equatorward, hence leading to a negative contribution to the flux divergence in the tracer equations and predominant cooling and freshening equatorward of 40 degrees. The effect on temperature overcompensates the countering effect of salinity diffusion, such that the meridional density differences decrease, along with which ACC and AMOC decrease. We diagnose the adjustment process to the new equilibrium with increased isopycnal diffusion to assess how the other terms in the tracer equations react to the increased k(iso). It reveals that around +/- 40 degrees latitude, the cooling induced by the increased isopycnal flux is only partly compensated by warming by advection, explaining the net cooling. Overall, the results emphasize the importance of isopycnal diffusion on ocean circulation and dynamics, and hence the necessity of its careful representation in models. SIGNIFICANCE STATEMENT: The effect of mixing by mesoscale eddies, represented as diffusion along surfaces of constant density in models, on the ocean circulation is not well understood. Here, we show that an increase in the eddy diffusivity in different setups of a global ocean model leads to a surprisingly large change of the ocean circulation. The strength of the Atlantic overturning circulation and the Antarctic Circumpolar Current decrease. We find that the interior ocean becomes cooler and fresher and that the temperature effect on density dominates over salinity, resulting in a decrease in the density gradients. Our results point out the importance of eddy diffusion on ocean circulation, and hence the necessity of its correct representation in ocean and climate models.</t>
  </si>
  <si>
    <t>[Chouksey, Ashwita; Griesel, Alexa; Chouksey, Manita; Eden, Carsten] Univ Hamburg, Inst Meereskunde, Hamburg, Germany; [Chouksey, Ashwita] Univ Brest, CNRS, Lab Oceanog Phys &amp; Spatiale, IUEM, Brest, France; [Chouksey, Manita] Univ Bremen, Inst Umweltphys, Bremen, Germany; [Chouksey, Manita] Univ Bremen, MARUM, Bremen, Germany</t>
  </si>
  <si>
    <t>University of Hamburg; Ifremer; Universite de Bretagne Occidentale; Institut Universitaire Europeen de la Mer (IUEM); Centre National de la Recherche Scientifique (CNRS); University of Bremen; University of Bremen</t>
  </si>
  <si>
    <t>Chouksey, A (corresponding author), Univ Hamburg, Inst Meereskunde, Hamburg, Germany.;Chouksey, A (corresponding author), Univ Brest, CNRS, Lab Oceanog Phys &amp; Spatiale, IUEM, Brest, France.</t>
  </si>
  <si>
    <t>ashwita.chouksey@univ-brest.fr</t>
  </si>
  <si>
    <t>Atmosphere and Ocean, Collaborative Research Center TRR 181- Energy Transfers in/AAY-2721-2020</t>
  </si>
  <si>
    <t>Chouksey, Manita/0000-0001-7161-9116</t>
  </si>
  <si>
    <t>Deutsche Forschungsgemeinschaft (DFG, German Research Foundation) [TRR 181, 274762653]; DFG [165632899]</t>
  </si>
  <si>
    <t>Deutsche Forschungsgemeinschaft (DFG, German Research Foundation)(German Research Foundation (DFG)); DFG(German Research Foundation (DFG))</t>
  </si>
  <si>
    <t>We acknowledge the comments of the anonymous reviewers that helped to improve the manuscript. This paper is a contribution to the Collaborative Research Centre TRR 181 Energy Transfer in Atmosphere and Ocean funded by the Deutsche Forschungsgemeinschaft (DFG, German Research Foundation), Project 274762653. We acknowledge funding from the project C_ant (Changes in anthropogenic carbon inventories and formation rates of intermediate, deep, and bottom water in the global ocean) funded by the DFG, Project 165632899. The numerical calculations have been performed on the High Performance Computing system for Earth system research (HLRE-3) at the Deutsches Klimarechenzentrum (DKRZ), Hamburg, Germany.</t>
  </si>
  <si>
    <t>10.1175/JPO-D-21-0205.1</t>
  </si>
  <si>
    <t>WOS:000895750400015</t>
  </si>
  <si>
    <t>Demidov, V; Demidov, N; Verkulich, S; Wetterich, S</t>
  </si>
  <si>
    <t>Demidov, Vasiliy; Demidov, Nikita; Verkulich, Sergey; Wetterich, Sebastian</t>
  </si>
  <si>
    <t>Distribution of pingos on Svalbard</t>
  </si>
  <si>
    <t>GEOMORPHOLOGY</t>
  </si>
  <si>
    <t>Pingo; Massive ice; permafrost; Svalbard; Spatial distribution; Thermokarst</t>
  </si>
  <si>
    <t>OPEN-SYSTEM PINGOS; PERMAFROST; ICE; ADVENTDALEN; SPITSBERGEN; HISTORY; GROWTH; LAND</t>
  </si>
  <si>
    <t>The present study explores the formation, preservation and degradation of pingos in High Arctic environments, which are controlled by the interplay of permafrost, hydrology and climate conditions. The analysis of aerial and satellite images and digital elevation model data revealed 136 pingo mounds on Svalbard Archipelago. The pingos are distributed at elevations from 0 to 201 m above sea level (asl) with a median of 42 m asl. Of those, 44 pingos are found above and 92 below the maximum level of the respective local Holocene transgressions. All pingos were found in terrain favorable for the formation of hydrologically sourced open-system pingos. Based on published geological data, at least 55 pingos locate near geological faults that presumably allocate subpermafrost waterflow feeding the pingos. With maximum and mean heights of 40 m and 9.4 m, respectively, Svalbard pingos generally have larger diameters and reach mean heights twice those found in other Arctic regions, such as the predominately closed-system pingos of Northern Alaska and the North-east Siberian lowlands. The comparison of aerial photographs of 1936-1938 with aerial photographs of 2008-2012 of Svalbard pingos exhibit no change in the general morphology of the pingos during the last about seven decades. There are exceptions - four pingos have formed on Little-Ice-Age (LIA) moraines following the local retreat of glaciers, and one pingo - the Riverbed pingo - formed in Adventdalen after 1936. The pingo growth once initiated is dynamic with height gains of up to 1 m annually, but obviously stops within several years or decades. Today, 21 pingos continue to show activity by the outflow at perennial subpermafrost springs. Dried thermokarst craters were found on top of 19 pingos of all sizes and geomorphological positions, while 11 water-filled craters were found only on large pingos with heights exceeding 12 m. Transitional landforms (flattop pingos and platforms) were identified. These landforms may point to underground ice intrusions that do not reveal themselves as classical pingo mounds.</t>
  </si>
  <si>
    <t>[Demidov, Vasiliy; Demidov, Nikita; Verkulich, Sergey] Arctic &amp; Antarctic Res Inst, Bering St 38, St Petersburg 199397, Russia; [Wetterich, Sebastian] Helmholtz Ctr Polar &amp; Marine Res, Alfred Wegener Inst, Permafrost Res, Potsdam, Germany; [Wetterich, Sebastian] Tech Univ Dresden, Heisenberg Chair Phys Geog Focus Paleoenvironm Re, Inst Geog, Dresden, Germany</t>
  </si>
  <si>
    <t>Arctic &amp; Antarctic Research Institute; Helmholtz Association; Alfred Wegener Institute, Helmholtz Centre for Polar &amp; Marine Research; Technische Universitat Dresden</t>
  </si>
  <si>
    <t>Demidov, V (corresponding author), Arctic &amp; Antarctic Res Inst, Bering St 38, St Petersburg 199397, Russia.</t>
  </si>
  <si>
    <t>vasdemidov@mail.ru</t>
  </si>
  <si>
    <t>Wetterich, Sebastian/0000-0001-9234-1192</t>
  </si>
  <si>
    <t>Russian Science Foundation [19-77-10066]</t>
  </si>
  <si>
    <t>This work is supported by the Russian Science Foundation (grant no. 19-77-10066). We acknowledge support for field logistics from the Russian Scientific Arctic Expedition on Spitsbergen Archipelago (RAE-S) , Barentsburg.</t>
  </si>
  <si>
    <t>0169-555X</t>
  </si>
  <si>
    <t>1872-695X</t>
  </si>
  <si>
    <t>Geomorphology</t>
  </si>
  <si>
    <t>SEP 1</t>
  </si>
  <si>
    <t>10.1016/j.geomorph.2022.108326</t>
  </si>
  <si>
    <t>5V9ZL</t>
  </si>
  <si>
    <t>WOS:000877582000004</t>
  </si>
  <si>
    <t>Hou, MQ; Zhuang, GS; Ellwood, BB; Liu, XL; Wu, MH</t>
  </si>
  <si>
    <t>Hou, Mingqiu; Zhuang, Guangsheng; Ellwood, Brooks B.; Liu, Xiao-lei; Wu, Minghao</t>
  </si>
  <si>
    <t>Enhanced precipitation in the Gulf of Mexico during the Eocene-Oligocene transition driven by interhemispherical temperature asymmetry</t>
  </si>
  <si>
    <t>GEOLOGICAL SOCIETY OF AMERICA BULLETIN</t>
  </si>
  <si>
    <t>MERIDIONAL OVERTURNING CIRCULATION; ANTARCTIC GLACIATION; TIBETAN PLATEAU; CARBON-DIOXIDE; LEAF WAXES; CLIMATE; OCEAN; ONSET; TERRESTRIAL; RECORD</t>
  </si>
  <si>
    <t>Studies reveal that the sea-surface temperature (SST) of the Northern Hemisphere decreased at a smaller amplitude than that of the Southern Hemisphere during the Eocene-Oligocene transition (EOT). This interhemispheric temperature asymmetry has been associated with intensified Atlantic Meridional Overturning Circulation (AMOC) that may have driven enhanced precipitation and weathering in low latitudes and the subsequent drawdown of atmospheric carbon dioxide. However, no quantitative constraints on paleo-precipitation have been reported in low latitudes to characterize the AMOC effect across the EOT. Here, we present the results of high-resolution (ca. 6 k.y. per sample) isotopic and biomarker records from the Gulf of Mexico. Reconstructed precipitation using leaf wax carbon isotopes shows an increase of 44% across the EOT (34.1-33.6 Ma), which is accompanied by a secular increase in SST of similar to 2 degrees C during the latest Eocene. We attribute the enhanced precipitation in the Gulf of Mexico to the northward shift of the Intertropical Convergence Zone that was driven by an enlarged polar-tropic temperature gradient in the Southern Hemisphere and an invigorated AMOC. Our findings link changes in meridional temperature gradient and large-scale oceanic circulation to the low-latitude terrestrial hydroclimate and provide paleohydrological evidence that supports CO2-weathering feedback during the EOT greenhouse to icehouse transition.</t>
  </si>
  <si>
    <t>[Hou, Mingqiu; Zhuang, Guangsheng; Ellwood, Brooks B.; Wu, Minghao] Louisiana State Univ, Dept Geol &amp; Geophys, Baton Rouge, LA 70803 USA; [Liu, Xiao-lei] Univ Oklahoma, Sch Geosci, Norman, OK 73019 USA</t>
  </si>
  <si>
    <t>Louisiana State University System; Louisiana State University; University of Oklahoma System; University of Oklahoma - Norman</t>
  </si>
  <si>
    <t>Zhuang, GS (corresponding author), Louisiana State Univ, Dept Geol &amp; Geophys, Baton Rouge, LA 70803 USA.</t>
  </si>
  <si>
    <t>gzhuang@lsu.edu</t>
  </si>
  <si>
    <t>Hou, Mingqiu/HGU-1847-2022; Hou, Mingqiu/HSG-0079-2023; zhuang, guangsheng/L-8135-2017</t>
  </si>
  <si>
    <t>Hou, Mingqiu/0000-0002-8296-318X; zhuang, guangsheng/0000-0002-7024-1446</t>
  </si>
  <si>
    <t>U.S. National Science Foundation [EAR 2022282]</t>
  </si>
  <si>
    <t>U.S. National Science Foundation(National Science Foundation (NSF))</t>
  </si>
  <si>
    <t>We thank the GSA Bulletin editor, associate editor, and anonymous reviewers for thorough and constructive comments that significantly improved the quality of the paper. We thank Zhonghui Liu and Feng Cheng for very helpful discussions and Hui Yang and Clay Doremus for their assistance in the laboratory. We acknowledge financial support from U.S. National Science Foundation Grant EAR 2022282 (to G. Zhuang).</t>
  </si>
  <si>
    <t>GEOLOGICAL SOC AMER, INC</t>
  </si>
  <si>
    <t>BOULDER</t>
  </si>
  <si>
    <t>PO BOX 9140, BOULDER, CO 80301-9140 USA</t>
  </si>
  <si>
    <t>0016-7606</t>
  </si>
  <si>
    <t>1943-2674</t>
  </si>
  <si>
    <t>GEOL SOC AM BULL</t>
  </si>
  <si>
    <t>Geol. Soc. Am. Bull.</t>
  </si>
  <si>
    <t>9-10</t>
  </si>
  <si>
    <t>10.1130/B36103.1</t>
  </si>
  <si>
    <t>6M0VL</t>
  </si>
  <si>
    <t>WOS:000888596100003</t>
  </si>
  <si>
    <t>Rudolph, EM; Hedding, DW; De Bruyn, PJN; Nel, W</t>
  </si>
  <si>
    <t>Rudolph, Elizabeth M.; Hedding, David W.; De Bruyn, P. J. Nico; Nel, Werner</t>
  </si>
  <si>
    <t>An open access geospatial database for the sub-Antarctic Prince Edward Islands</t>
  </si>
  <si>
    <t>SOUTH AFRICAN JOURNAL OF SCIENCE</t>
  </si>
  <si>
    <t>Prince Edward Island; Marion Island; geospatial database; open access; data sharing</t>
  </si>
  <si>
    <t>Researchers of projects at the sub-Antarctic Prince Edward Islands are increasingly considering geospatial data as an essential component in answering scientific questions. A need exists for high-resolution geospatial data in both multi- and transdisciplinary research to better analyse fine-scale biotic-abiotic interactions of the Islands' landscape and ecosystems within the context of climate change and the impacts of invasive species. However, much of the geospatial data that currently exist have limitations in spatial coverage and/or resolution, are outdated, or are not readily available. To address these issues, we present an online geospatial database for the Prince Edward Islands (both islands) produced from a high-resolution digital surface model and satellite imagery. This database contains vector files, raster data sets, and maps of topographical and hydrological parameters. It is freely available to download from Figshare - an open access data repository. We encourage the South African polar science community to make use of similar platforms for improved data sharing practices. Significance: A topographical and hydrological geospatial database - produced from a 1 m x 1 m digital surface model of the Prince Edward Islands - is provided. These fine-scale geospatial data allow for a more comprehensive assessment of biotic-abiotic interactions at an island scale. Also included are locality maps specifying place names and established long-term marine mammal monitoring beaches and coastal zones for improved cross-referencing. The dataset is downloadable from an open access data repository and intended to promote open science and data sharing practices.</t>
  </si>
  <si>
    <t>[Rudolph, Elizabeth M.] Univ Free State, Afromontane Res Unit, Dept Geog, Bloemfontein, South Africa; [Hedding, David W.] Univ South Africa, Dept Geog, Johannesburg, South Africa; [De Bruyn, P. J. Nico] Univ Pretoria, Mammal Res Inst, Dept Zool &amp; Entomol, Pretoria, South Africa; [Nel, Werner] Univ Ft Hare, Dept Geog &amp; Environm Sci, Alice, South Africa</t>
  </si>
  <si>
    <t>University of the Free State; University of South Africa; University of Pretoria; University of Fort Hare</t>
  </si>
  <si>
    <t>Rudolph, EM (corresponding author), Univ Free State, Afromontane Res Unit, Dept Geog, Bloemfontein, South Africa.</t>
  </si>
  <si>
    <t>rudolphem@ufs.ac.za</t>
  </si>
  <si>
    <t>Hedding, David William/F-3044-2011; de Bruyn, P. J. Nico/E-4176-2010</t>
  </si>
  <si>
    <t>Hedding, David William/0000-0002-9748-4499; de Bruyn, P. J. Nico/0000-0002-9114-9569; Rudolph, Elizabeth M./0000-0002-3823-3278; Nel, Werner/0000-0002-3769-4937</t>
  </si>
  <si>
    <t>South African National Research Foundation [SANAP-NRF: 129235, 129228]</t>
  </si>
  <si>
    <t>South African National Research Foundation(National Research Foundation - South Africa)</t>
  </si>
  <si>
    <t>South African National Research Foundation (SANAP-NRF: 129235; 129228)</t>
  </si>
  <si>
    <t>ACAD SCIENCE SOUTH AFRICA A S S AF</t>
  </si>
  <si>
    <t>LYNWOOD RIDGE</t>
  </si>
  <si>
    <t>PO BOX 72135, LYNWOOD RIDGE 0040, SOUTH AFRICA</t>
  </si>
  <si>
    <t>0038-2353</t>
  </si>
  <si>
    <t>1996-7489</t>
  </si>
  <si>
    <t>S AFR J SCI</t>
  </si>
  <si>
    <t>S. Afr. J. Sci.</t>
  </si>
  <si>
    <t>10.17159/sajs.2022/12302</t>
  </si>
  <si>
    <t>6I4HR</t>
  </si>
  <si>
    <t>WOS:000886088500022</t>
  </si>
  <si>
    <t>Zeng, XP; Heymsfield, AJ; Ulanowski, Z; Neely, RR; Li, XW; Gong, J; Wu, DL</t>
  </si>
  <si>
    <t>Zeng, Xiping; Heymsfield, Andrew J. J.; Ulanowski, Zbigniew; Neely, Ryan R. R.; Li, Xiaowen; Gong, Jie; Wu, Dong L. L.</t>
  </si>
  <si>
    <t>The Radiative Effect on Cloud Microphysics from the Arctic to the Tropics</t>
  </si>
  <si>
    <t>BULLETIN OF THE AMERICAN METEOROLOGICAL SOCIETY</t>
  </si>
  <si>
    <t>Arctic; Clouds; Drizzle; Ice crystals; Radiative transfer; Cloud -parameterizations</t>
  </si>
  <si>
    <t>SIMULATED MARINE STRATOCUMULUS; GENERAL-CIRCULATION MODEL; ATMOSPHERIC ICE CRYSTALS; CIRRUS CLOUDS; OPTICAL-PROPERTIES; DROPLET GROWTH; BOUNDARY-LAYER; HEAT BUDGETS; PARTICLES; PHASE</t>
  </si>
  <si>
    <t>Cloud representation is one of the largest uncertainties in the current weather and climate models. In this article, the observations and modeling of the radiative effect on (cloud) microphysics (REM) from the Arctic to the tropics are overviewed, providing a new direction to meet the challenge of cloud representation. REM deals with the radiation-induced temperature difference between cloud particles and air. It leads to two common phenomena observed at the surface-dew and frost-and impacts clouds aloft significantly, which is noticed via the wide occurrence of horizontally oriented ice crystals (HOICs). However, REM has been overlooked by all of the operational weather and climate models. Based on the bin model of REM and the global distribution of radiative cooling/warming, the observations of REM from several platforms (e.g., aircrafts, field campaigns, and satellites) are coordinated in this article, yielding a global picture on REM. As a result, the picture is compatible with the global distribution of HOICs and other ice crystal characteristics obtained from various clouds on the globe, such as diamond dust (or clear-sky precipitation) in the Arctic, subvisual cirrus clouds in the tropical tropopause layer, and other cirrus clouds from the low to high latitudes. In addition, ice crystals possess relatively strong REM compared to liquid drops because their aspect ratio is usually not one. The global picture on REM can be used by the weather and climate modelers to diagnose their cloud representation biases. It can also be used to improve the atmospheric ice retrieval algorithm from satellite observations.</t>
  </si>
  <si>
    <t>[Zeng, Xiping] US Army, Res Lab, Adelphi, MD 20783 USA; [Heymsfield, Andrew J. J.] Natl Ctr Atmospher Res, Boulder, CO USA; [Ulanowski, Zbigniew] British Antarctic Survey, Cambridge, England; [Ulanowski, Zbigniew] Univ Manchester, Manchester, England; [Neely, Ryan R. R.] Univ Leeds, Natl Ctr Atmospher Sci, Leeds, England; [Li, Xiaowen; Gong, Jie; Wu, Dong L. L.] NASA, Goddard Space Flight Ctr, Greenbelt, MD USA; [Li, Xiaowen] Morgan State Univ, Baltimore, MD USA; [Gong, Jie] Univ Space Res Assoc, Columbia, MD USA; [Gong, Jie] Univ Maryland Baltimore Cty, Baltimore, MD USA</t>
  </si>
  <si>
    <t>United States Department of Defense; US Army Research, Development &amp; Engineering Command (RDECOM); US Army Research Laboratory (ARL); National Center Atmospheric Research (NCAR) - USA; UK Research &amp; Innovation (UKRI); Natural Environment Research Council (NERC); NERC British Antarctic Survey; University of Manchester; UK Research &amp; Innovation (UKRI); Natural Environment Research Council (NERC); NERC National Centre for Atmospheric Science; University of Leeds; National Aeronautics &amp; Space Administration (NASA); NASA Goddard Space Flight Center; Morgan State University; Universities Space Research Association (USRA); University System of Maryland; University of Maryland Baltimore County</t>
  </si>
  <si>
    <t>Zeng, XP (corresponding author), US Army, Res Lab, Adelphi, MD 20783 USA.</t>
  </si>
  <si>
    <t>xiping.zeng.civ@army.mil</t>
  </si>
  <si>
    <t>Neely III, Ryan R./F-8702-2010</t>
  </si>
  <si>
    <t>Neely III, Ryan R./0000-0003-4560-4812; Heymsfield, Andrew/0000-0003-4107-7533; Ulanowski, Zbigniew/0000-0003-4761-6980</t>
  </si>
  <si>
    <t>NERC [NE/S00906X/1, NE/X002403/1] Funding Source: UKRI</t>
  </si>
  <si>
    <t>NERC(UK Research &amp; Innovation (UKRI)Natural Environment Research Council (NERC))</t>
  </si>
  <si>
    <t>0003-0007</t>
  </si>
  <si>
    <t>1520-0477</t>
  </si>
  <si>
    <t>B AM METEOROL SOC</t>
  </si>
  <si>
    <t>Bull. Amer. Meteorol. Soc.</t>
  </si>
  <si>
    <t>E2108</t>
  </si>
  <si>
    <t>E2129</t>
  </si>
  <si>
    <t>10.1175/BAMS-D-21-0039.1</t>
  </si>
  <si>
    <t>6I3RU</t>
  </si>
  <si>
    <t>Green Accepted, Bronze</t>
  </si>
  <si>
    <t>WOS:000886046300008</t>
  </si>
  <si>
    <t>Zeng, ZL; Wang, X; Wang, ZM; Zhang, WQ; Zhang, DQ; Zhu, KJ; Mai, XP; Cheng, W; Ding, MH</t>
  </si>
  <si>
    <t>Zeng, Zhaoliang; Wang, Xin; Wang, Zemin; Zhang, Wenqian; Zhang, Dongqi; Zhu, Kongju; Mai, Xiaoping; Cheng, Wei; Ding, Minghu</t>
  </si>
  <si>
    <t>A 35-year daily global solar radiation dataset reconstruction at the Great Wall Station, Antarctica: First results and comparison with ERA5, CRA40 reanalysis, and ICDR (AVHRR) satellite products</t>
  </si>
  <si>
    <t>DGSR; empirical formula; machine learning; CRA40 reanalysis product; ICDR (AVHRR) satellite product</t>
  </si>
  <si>
    <t>METEOROLOGICAL DATA; BRIGHT SUNSHINE; MODEL; TEMPERATURE; CLARA-A2; REVISIT; TRENDS; CHINA; CLOUD</t>
  </si>
  <si>
    <t>Solar radiation drives many geophysical and biological processes in Antarctica, such as sea ice melting, ice sheet mass balance, and photosynthetic processes of phytoplankton in the polar marine environment. Although reanalysis and satellite products can provide important insight into the global scale of solar radiation in a seamless way, the ground-based radiation in the polar region remains poorly understood due to the harsh Antarctic environment. The present study attempted to evaluate the estimation performance of empirical models and machine learning models, and use the optimal model to establish a 35-year daily global solar radiation (DGSR) dataset at the Great Wall Station, Antarctica using meteorological observation data during 1986-2020. In addition, it then compared against the DGSR derived from ERA5, CRA40 reanalysis, and ICDR (AVHRR) satellite products. For the DGSR historical estimation performance, the machine learning method outperforms the empirical formula method overall. Among them, the Mutli2 model (hindcast test R ( 2 ), RMSE, and MAE are 0.911, 1.917 MJ/m(2), and 1.237 MJ/m(2), respectively) for the empirical formula model and XGBoost model (hindcast test R ( 2 ), RMSE, and MAE are 0.938, 1.617 MJ/m(2), and 1.030 MJ/m(2), respectively) for the machine learning model were found with the highest accuracy. For the austral summer half-year, the estimated DGSR agrees very well with the observed DGSR, with a mean bias of only -0.47 MJ/m(2). However, other monthly DGSR products differ significantly from observations, with mean bias of 1.05 MJ/m(2), 3.27 MJ/m(2), and 6.90 MJ/m(2) for ICDR (AVHRR) satellite, ERA5, and CRA40 reanalysis products, respectively. In addition, the DGSR of the Great Wall Station, Antarctica followed a statistically significant increasing trend at a rate of 0.14 MJ/m(2)/decade over the past 35 years. To our best knowledge, this study presents the first reconstruction of the Antarctica Great Wall Station DGSR spanning 1986-2020, which will contribute to the research of surface radiation balance in Antarctic Peninsula.</t>
  </si>
  <si>
    <t>[Zeng, Zhaoliang; Wang, Xin; Zhang, Wenqian; Zhang, Dongqi; Zhu, Kongju; Ding, Minghu] Chinese Acad Meteorol Sci, State Key Lab Severe Weather, Beijing, Peoples R China; [Zeng, Zhaoliang; Wang, Zemin] Wuhan Univ, Chinese Antarctic Ctr Surveying &amp; Mapping, Wuhan, Peoples R China; [Mai, Xiaoping] Minist Nat Resources, Natl Marine Environm Forecasting Ctr, Key Lab Marine Hazards Forecasting, Beijing, Peoples R China; [Cheng, Wei] Beijing Inst Appl Meteorol, Beijing, Peoples R China</t>
  </si>
  <si>
    <t>China Meteorological Administration; Chinese Academy of Meteorological Sciences (CAMS); Wuhan University; Ministry of Natural Resources of the People's Republic of China; National Marine Environmental Forecasting Center</t>
  </si>
  <si>
    <t>Wang, X; Ding, MH (corresponding author), Chinese Acad Meteorol Sci, State Key Lab Severe Weather, Beijing, Peoples R China.</t>
  </si>
  <si>
    <t>xwang@cma.gov.cn; dingminghu@foxmail.com</t>
  </si>
  <si>
    <t>Ding, Minghu/AFU-3600-2022</t>
  </si>
  <si>
    <t>Ding, Minghu/0000-0002-1142-6598; Zeng, Zhaoliang/0000-0002-9108-8575</t>
  </si>
  <si>
    <t>National Natural Science Foundation of China; National Basic Research Program of China; Basic Fund of the Chinese Academy of Meteorological Sciences; [42122047]; [41941012]; [2021YFC2802504]; [2021Z006]</t>
  </si>
  <si>
    <t>National Natural Science Foundation of China(National Natural Science Foundation of China (NSFC)); National Basic Research Program of China(National Basic Research Program of China); Basic Fund of the Chinese Academy of Meteorological Sciences; ; ; ;</t>
  </si>
  <si>
    <t>Funding This work was supported by the National Natural Science Foundation of China (Nos 42122047 and 41941012), the National Basic Research Program of China (No. 2021YFC2802504), and the Basic Fund of the Chinese Academy of Meteorological Sciences (No. 2021Z006).</t>
  </si>
  <si>
    <t>10.3389/feart.2022.961799</t>
  </si>
  <si>
    <t>6I3WX</t>
  </si>
  <si>
    <t>WOS:000886059700001</t>
  </si>
  <si>
    <t>Nardelli, SC; Gray, PC; Schofield, O</t>
  </si>
  <si>
    <t>Nardelli, Schuyler C.; Gray, Patrick C.; Schofield, Oscar</t>
  </si>
  <si>
    <t>A Convolutional Neural Network to Classify Phytoplankton Images Along the West Antarctic Peninsula</t>
  </si>
  <si>
    <t>MARINE TECHNOLOGY SOCIETY JOURNAL</t>
  </si>
  <si>
    <t>machine learning; convolutional neural network; polar science; phytoplankton ecology; West Antarctic Peninsula</t>
  </si>
  <si>
    <t>ICE-ZONE WEST; CLIMATE-CHANGE; SEA-ICE; SUMMER; VARIABILITY; ASSEMBLAGES</t>
  </si>
  <si>
    <t>High-resolution optical imaging systems are quickly becoming universal tools to characterize and quantify microbial diversity in marine ecosystems. Automated classification systems such as convolutional neural networks (CNNs) are often developed to identify species within the immense number of images (e.g., millions per month) collected. The goal of our study was to develop a CNN to classify phytoplankton images collected with an Imaging FlowCytobot for the Palmer Antarctica Long-Term Ecological Research project. A relatively small CNN (similar to 2 million parameters) was developed and trained using a subset of manually identified images, resulting in an overall test accuracy, recall, and f1-score of 93.8, 93.7, and 93.7%, respectively, on a balanced dataset. However, the f1-score dropped to 46.5% when tested on a dataset of 10,269 new images drawn from the natural environment without balancing classes. This decrease is likely due to highly imbalanced class distributions dominated by smaller, less differentiable cells, high intraclass variance, and interclass morphological similarities of cells in naturally occurring phytoplankton assemblages. As a case study to illustrate the value of the model, it was used to predict taxonomic classifications (ranging from genus to class) of phytoplankton at Palmer Station, Antarctica, from late austral spring to early autumn in 2017-2018 and 2018-2019. The CNN was generally able to identify important seasonal dynamics such as the shift from large centric diatoms to small pennate diatoms in both years, which is thought to be driven by increases in glacial meltwater from January to March. This shift in particle size distribution has significant implications for the ecology and biogeochemistry of these waters. Moving forward, we hope to further increase the accuracy of our model to better characterize coastal phytoplankton communities threatened by rapidly changing environmental conditions.</t>
  </si>
  <si>
    <t>[Nardelli, Schuyler C.; Schofield, Oscar] Rutgers State Univ, Ctr Ocean Observing Leadership, New Brunswick, NJ 08901 USA; [Gray, Patrick C.] Duke Univ, Marine Lab, Durham, NC USA</t>
  </si>
  <si>
    <t>Rutgers University System; Rutgers University New Brunswick; Duke University</t>
  </si>
  <si>
    <t>Nardelli, SC (corresponding author), Rutgers State Univ, Ctr Ocean Observing Leadership, New Brunswick, NJ 08901 USA.</t>
  </si>
  <si>
    <t>scn50@scarletmail.rutgers.edu</t>
  </si>
  <si>
    <t>National Science Foundation Antarctic Organisms and Ecosystems Program as part of the PALLTER program [PLR-1440435, OPP-2026045]; Rutgers Institute of Earth, Ocean, and Atmospheric Sciences graduate fellowship; NASA Future Investigators in NASA Earth and Space Science and Technology [80NSSC19K1366]; Ocean Biology and Biogeochemistry program</t>
  </si>
  <si>
    <t>National Science Foundation Antarctic Organisms and Ecosystems Program as part of the PALLTER program; Rutgers Institute of Earth, Ocean, and Atmospheric Sciences graduate fellowship; NASA Future Investigators in NASA Earth and Space Science and Technology; Ocean Biology and Biogeochemistry program</t>
  </si>
  <si>
    <t>This work was supported by the National Science Foundation Antarctic Organisms and Ecosystems Program (PLR-1440435 and OPP-2026045) as part of the PAL-LTER program. Additionally, S.N. acknowledges support from the Rutgers Institute of Earth, Ocean, and Atmospheric Sciences graduate fellowship, and P.G. acknowledges support from NASA Future Investigators in NASA Earth and Space Science and Technology (80NSSC19K1366) in conjunction with the Ocean Biology and Biogeochemistry program. Thank you to Alison Chase and Sasha Kramer for help with taxonomic identifications, and to Emmett Culhane for helpful discussions regarding the challenges of building a CNN for IFCB data. This work would not be possible without the PAL-LTER field teams who aided in data collection and the Palmer Station and Laurence M. Gould personnel who provided logistical support.</t>
  </si>
  <si>
    <t>MARINE TECHNOLOGY SOC INC</t>
  </si>
  <si>
    <t>COLUMBIA</t>
  </si>
  <si>
    <t>5565 STERRETT PLACE, STE 108, COLUMBIA, MD 21044 USA</t>
  </si>
  <si>
    <t>0025-3324</t>
  </si>
  <si>
    <t>1948-1209</t>
  </si>
  <si>
    <t>MAR TECHNOL SOC J</t>
  </si>
  <si>
    <t>Mar. Technol. Soc. J.</t>
  </si>
  <si>
    <t>Engineering, Ocean; Oceanography</t>
  </si>
  <si>
    <t>Engineering; Oceanography</t>
  </si>
  <si>
    <t>5Z9UP</t>
  </si>
  <si>
    <t>WOS:000880310500007</t>
  </si>
  <si>
    <t>Chor, T; Wenegrat, JO; Taylor, J</t>
  </si>
  <si>
    <t>Chor, Tomas; Wenegrat, Jacob O.; Taylor, John</t>
  </si>
  <si>
    <t>Insights into the Mixing Efficiency of Submesoscale Centrifugal-Symmetric Instabilities</t>
  </si>
  <si>
    <t>Ocean; Ocean dynamics; Turbulence; Ocean models</t>
  </si>
  <si>
    <t>TURBULENT PRANDTL NUMBER; SECONDARY INSTABILITIES; DIAPYCNAL DIFFUSIVITY; OCEAN; SIMULATION; ENERGY; FLOW; DISSIPATION; CONVECTION; STABILITY</t>
  </si>
  <si>
    <t>Submesoscale processes provide a pathway for energy to transfer from the balanced circulation to turbulent dissipation. One class of submesoscale phenomena that has been shown to be particularly effective at removing energy from the balanced flow is centrifugal-symmetric instabilities (CSIs), which grow via geostrophic shear production. CSIs have been observed to generate significant mixing in both the surface boundary layer and bottom boundary layer flows along bathymetry, where they have been implicated in the mixing and water mass transformation of Antarctic Bottom Water. However, the mixing efficiency (i.e., the fraction of the energy extracted from the flow used to irreversibly mix the fluid) of these instabilities remains uncertain, making estimates of mixing and energy dissipation due to CSI difficult. In this work we use large-eddy simulations to investigate the mixing efficiency of CSIs in the submesoscale range. We find that centrifugally dominated CSIs (i.e., CSI mostly driven by horizontal shear production) tend to have a higher mixing efficiency than symmetrically dominated ones (i.e., driven by vertical shear production). The mixing efficiency associated with CSIs can therefore alternately be significantly higher or significantly lower than the canonical value used by most studies. These results can be understood in light of recent work on stratified turbulence, whereby CSIs control the background state of the flow in which smaller-scale secondary overturning instabilities develop, thus actively modifying the characteristics of mixing by Kelvin-Helmholtz instabilities. Our results also suggest that it may be possible to predict the mixing efficiency with more readily measurable parameters (viz., the Richardson and Rossby numbers), which would allow for parameterization of this effect.</t>
  </si>
  <si>
    <t>[Chor, Tomas; Wenegrat, Jacob O.] Univ Maryland, Dept Atmospher &amp; Ocean Sci, College Pk, MD 20742 USA; [Taylor, John] Univ Cambridge, Dept Appl Math &amp; Theoret Phys, Cambridge, England</t>
  </si>
  <si>
    <t>University System of Maryland; University of Maryland College Park; University of Cambridge</t>
  </si>
  <si>
    <t>Chor, T (corresponding author), Univ Maryland, Dept Atmospher &amp; Ocean Sci, College Pk, MD 20742 USA.</t>
  </si>
  <si>
    <t>tchor@umd.edu</t>
  </si>
  <si>
    <t>Taylor, John A/E-5894-2010</t>
  </si>
  <si>
    <t>Chor, Tomas/0000-0003-0854-3803</t>
  </si>
  <si>
    <t>10.1175/JPO-D-21-0259.1</t>
  </si>
  <si>
    <t>5O3PR</t>
  </si>
  <si>
    <t>WOS:000872390100002</t>
  </si>
  <si>
    <t>Leistenschneider, C; Le Bohec, C; Eisen, O; Houstin, A; Neff, S; Primpke, S; Zitterbart, DP; Burkhardt-Holm, P; Gerdts, G</t>
  </si>
  <si>
    <t>Leistenschneider, Clara; Le Bohec, Celine; Eisen, Olaf; Houstin, Aymeric; Neff, Simon; Primpke, Sebastian; Zitterbart, Daniel P.; Burkhardt-Holm, Patricia; Gerdts, Gunnar</t>
  </si>
  <si>
    <t>No evidence of microplastic ingestion in emperor penguin chicks (Aptenodytes forsteri) from the Atka Bay colony (Dronning Maud Land, Antarctica)</t>
  </si>
  <si>
    <t>Aptenodytes forsteri; Microplastics; ATR-FTIR; Stomach content; Antarctica; Weddell Sea &amp; Dronning Maud Land</t>
  </si>
  <si>
    <t>EASTERN WEDDELL SEA; ROSS SEA; FORAGING ECOLOGY; PROTECTED AREA; CLIMATE-CHANGE; MAWSON COAST; DIET; CONTAMINATION; POLLUTION; BIOACCUMULATION</t>
  </si>
  <si>
    <t>Microplastic (&lt;5 mm; MP) pollution has been an emerging threat for marine ecosystems around the globe with increas-ing evidence that even the world's most remote areas, including Antarctica, are no longer unaffected. Few studies how-ever, have examined MP in Antarctic biota, and especially those from Antarctic regions with low human activity, meaning little is known about the extent to which biota are affected. The aim of this study was to investigate, for the first time, the occurrence of MP in the emperor penguin (Aptenodytes forsteri), the only penguin species breeding around Antarctica during the austral winter, and an endemic apex predator in the Southern Ocean. To assess MP inges-tion, the gizzards of 41 emperor penguin chicks from Atka Bay colony (Dronning Maud Land, Antarctica), were dis-sected and analyzed for MP &gt;500 mu m using Attenuated Total Reflection Fourier-transform Infrared (ATR-FTIR) spectroscopy. A total of 85 putative particles, mostly in the shape of fibers (65.9 %), were sorted. However, none of the particles were identified as MP applying state-of-the-art methodology. Sorted fibers were further evidenced to orig-inate from contamination during sample processing and analyses. We find that MP concentrations in the local food web of the Weddell Sea and Dronning Maud Land coastal and marginal sea-ice regions; the feeding grounds to chick-rearing emperor penguin adults, are currently at such low levels that no detectable biomagnification is occurring via trophic transfer. Being in contrast to MP studies on other Antarctic and sub-Antarctic penguin species, our compar-ative discussion including these studies, highlights the importance for standardized procedures for sampling, sample processing and analyses to obtain comparable results. We further discuss other stomach contents and their potential role for MP detection, as well as providing a baseline for the long-term monitoring of MP in apex predator species from this region.</t>
  </si>
  <si>
    <t>[Leistenschneider, Clara; Burkhardt-Holm, Patricia] Univ Basel, Dept Environm Sci, Man Soc Environm Program, Vesalgasse 1, CH-4051 Basel, Switzerland; [Leistenschneider, Clara; Primpke, Sebastian; Gerdts, Gunnar] Alfred Wegener Inst Helmholtz, Biol Anstalt Helgoland, Zentrum Polar &amp; Meeresforsch, Dept Microbial Ecol, Helgoland, Germany; [Le Bohec, Celine; Houstin, Aymeric] Univ Strasbourg, Ctr Natl Rech Sci, IPHC UMR, Strasbourg, France; [Le Bohec, Celine] Ctr Sci Monaco, Dept Biol Polaire, Monaco, Monaco; [Eisen, Olaf] Glaciol Alfred Wegener Inst Helmholtz, Zent Polar &amp; Meeresforschung, Bremerhaven, Germany; [Eisen, Olaf] Univ Bremen, Dept Geosci, Bremen, Germany; [Neff, Simon] Univ Cologne, Fac Math &amp; Nat Sci, Dept Biol, Zulpicher Str 47b, D-50674 Cologne, Germany; [Zitterbart, Daniel P.] Woods Hole Oceanog Inst, Appl Ocean Phys &amp; Engn Dept, Woods Hole, MA USA; [Zitterbart, Daniel P.] Friedrich Alexander Univ Erlangen Nurnberg, Dept Phys, Erlangen, Germany</t>
  </si>
  <si>
    <t>University of Basel; Helmholtz Association; Alfred Wegener Institute, Helmholtz Centre for Polar &amp; Marine Research; Centre National de la Recherche Scientifique (CNRS); Universites de Strasbourg Etablissements Associes; Universite de Strasbourg; University of Bremen; University of Cologne; Woods Hole Oceanographic Institution; University of Erlangen Nuremberg</t>
  </si>
  <si>
    <t>Leistenschneider, C (corresponding author), Univ Basel, Dept Environm Sci, Man Soc Environm Program, Vesalgasse 1, CH-4051 Basel, Switzerland.</t>
  </si>
  <si>
    <t>clara.leistenschneider@unibas.ch</t>
  </si>
  <si>
    <t>Leistenschneider, Clara/AAS-2933-2020; Primpke, Sebastian/Q-5606-2016; Zitterbart, Daniel P/N-7489-2013</t>
  </si>
  <si>
    <t>Leistenschneider, Clara/0000-0002-2350-5939; Primpke, Sebastian/0000-0001-7633-8524; Zitterbart, Daniel/0000-0001-9429-4350</t>
  </si>
  <si>
    <t>Alfred Wegner Institute (AWI; Germany); Ricola Foundation (Switzerland); Freiwillige Akademische Gesellschaft Basel (FAG; Switzerland); CNRS-France; RTPI-NUTRESS (CSM Monaco); RTPI-NUTRESS (CNRS University of Strasbourg France)</t>
  </si>
  <si>
    <t>Alfred Wegner Institute (AWI; Germany); Ricola Foundation (Switzerland); Freiwillige Akademische Gesellschaft Basel (FAG; Switzerland); CNRS-France(Centre National de la Recherche Scientifique (CNRS)); RTPI-NUTRESS (CSM Monaco); RTPI-NUTRESS (CNRS University of Strasbourg France)</t>
  </si>
  <si>
    <t>This study was supported by the Alfred Wegner Institute (AWI; Germany), the Ricola Foundation (Switzerland), the Freiwillige Akademische Gesellschaft Basel (FAG; Switzerland), the CNRS-France and the RTPI-NUTRESS (CSM Monaco &amp; CNRS University of Strasbourg France).</t>
  </si>
  <si>
    <t>10.1016/j.scitotenv.2022.158314</t>
  </si>
  <si>
    <t>5A7VK</t>
  </si>
  <si>
    <t>WOS:000863090700007</t>
  </si>
  <si>
    <t>Da Silva, RRP; White, CA; Bowman, JP; Bodrossy, L; Bissett, A; Revill, A; Eriksen, R; Ross, DJ</t>
  </si>
  <si>
    <t>Da Silva, R. R. P.; White, C. A.; Bowman, J. P.; Bodrossy, L.; Bissett, A.; Revill, A.; Eriksen, R.; Ross, D. J.</t>
  </si>
  <si>
    <t>Network and machine learning analyses of estuarine microbial communities along a freshwater-marine mixed gradient</t>
  </si>
  <si>
    <t>ESTUARINE COASTAL AND SHELF SCIENCE</t>
  </si>
  <si>
    <t>WGCNA; PLS; Microbial ecology; Environmental gradient; Estuary; Nutrients</t>
  </si>
  <si>
    <t>RIBOSOMAL-RNA SEQUENCES; BACTERIAL COMMUNITIES; NITRIFYING ARCHAEA; SALINITY GRADIENT; MACQUARIE HARBOR; ORGANIC-CARBON; PHYTOPLANKTON; PHOSPHORUS; OXYGEN; DIVERSITY</t>
  </si>
  <si>
    <t>Microbial communities are important elements in the marine environment, contributing to nutrient cycling and biogeochemical processes. Estuaries comprise environments exhibiting characteristics from freshwater to marine, leading to distinct microbial communities across this environmental gradient. Here, we examine the spatial dynamics of microbial communities in Macquarie Harbour, an estuarine system on the West coast of Tasmania, Australia. Water was sampled along the estuary to explore the structure and composition of the microbial communities using 16S/18S rRNA gene amplicon sequencing. Multivariate analyses showed environmental variables and community compositions varying along a longitudinal (river to adjacent ocean) gradient at the surface. In the Harbour, differences in the microbial community were observed between surface (0-1 m) and intermediate depths (4.5-11 m depth). The results of differential abundance, network and Partial Least Square analyses suggest that Macquarie Harbour is a mixing zone, where the distributions of archaeal, bacterial and eukaryotic communities are influenced by oceanic and riverine inputs. These results provide critical insights into the Macquarie Harbour environment and the importance of understanding the role of microbial communities for similar systems elsewhere.</t>
  </si>
  <si>
    <t>[Da Silva, R. R. P.; White, C. A.; Ross, D. J.] Inst Marine &amp; Antarctic Studies IMAS, Taroona, Tas 7053, Australia; [Bowman, J. P.] Univ Tasmania, Tasmanian Inst Agr TIA, Hobart, Tas 7001, Australia; [Bodrossy, L.; Bissett, A.; Revill, A.; Eriksen, R.] CSIRO, Oceans &amp; Atmosphere, Hobart, Tas 7004, Australia</t>
  </si>
  <si>
    <t>University of Tasmania; University of Tasmania; Commonwealth Scientific &amp; Industrial Research Organisation (CSIRO)</t>
  </si>
  <si>
    <t>Da Silva, RRP (corresponding author), Inst Marine &amp; Antarctic Studies IMAS, Taroona, Tas 7053, Australia.</t>
  </si>
  <si>
    <t>ricardo.silva@utas.edu.au</t>
  </si>
  <si>
    <t>Rocha Pavan da Silva, Ricardo/Q-5502-2017; Eriksen, Ruth/J-7760-2014</t>
  </si>
  <si>
    <t>Rocha Pavan da Silva, Ricardo/0000-0002-7878-2861; Eriksen, Ruth/0000-0002-5184-2465</t>
  </si>
  <si>
    <t>0272-7714</t>
  </si>
  <si>
    <t>1096-0015</t>
  </si>
  <si>
    <t>ESTUAR COAST SHELF S</t>
  </si>
  <si>
    <t>Estuar. Coast. Shelf Sci.</t>
  </si>
  <si>
    <t>OCT 31</t>
  </si>
  <si>
    <t>10.1016/j.ecss.2022.108026</t>
  </si>
  <si>
    <t>4W6YT</t>
  </si>
  <si>
    <t>WOS:000860306400002</t>
  </si>
  <si>
    <t>Guo, PY; Xue, ML; Teng, XY; Wang, YH; Ren, R; Han, JM; Zhang, HQ; Tian, YJ; Liang, H</t>
  </si>
  <si>
    <t>Guo, Peiyu; Xue, Meilan; Teng, Xiangyun; Wang, Yanhui; Ren, Rong; Han, Jianmin; Zhang, Huaqi; Tian, Yingjie; Liang, Hui</t>
  </si>
  <si>
    <t>Antarctic krill oil ameliorates liver injury in rats exposed to alcohol by regulating bile acids metabolism and gut microbiota</t>
  </si>
  <si>
    <t>JOURNAL OF NUTRITIONAL BIOCHEMISTRY</t>
  </si>
  <si>
    <t>Antarctic kill oil; alcoholic liver disease; bile acids; intestinal microbiota; farnesoid X receptor</t>
  </si>
  <si>
    <t>FARNESOID X RECEPTOR; SALT BIOTRANSFORMATIONS; OXIDATIVE STRESS; DNA-DAMAGE; ETHANOL; HEALTH; FXR; ACTIVATION; INDUCTION; DYSBIOSIS</t>
  </si>
  <si>
    <t>Bile acids (BAs) metabolism plays an important role in alcohol liver disease through the gut microflora-bile acids-liver axis. Antarctic Krill Oil (AKO) has protective effects on the liver, while whether AKO can protect against liver injury caused by alcohol is unclear. This study investigated the effects of AKO on BAs metabolism and intestinal microbiota in a rat model of alcohol-induced liver disease. Sprague-Dawley rats were randomly divided into five groups: control group, model group, low-dose AKO-treatment group (100 mg/kg/d), high-dose AKO-treatment group (200 mg/kg/d), and AKO control group (200 mg/kg/d). Administration of alcohol (8 to 10 mL/kg/d) for 16 weeks induced liver injury in rats. We found that AKO supplementation significantly protected the liver against alcohol-induced injury, evidenced by allayed hepatic histopathological changes, and inhibited the alcohol-induced elevation of serum biochemical indices. Furthermore, AKO could regulate BAs metabolism by activating the intestinal-hepatic FXR-FGF15-FGFR4 signaling axis with subsequently decreased cholesterol 7 alpha-hydroxylase (CYP7A1) and sterol 12 alpha-hydroxylase (CYP8B1) levels, reduced hepatic BAs production, decreased serum BAs level and increased fecal excretion of BAs. Additionally, 16S rDNA sequencing revealed that the gut microbiome richness and composition were altered in alcohol-treated rats in comparison to the control and AKO-administrated rats. Spearman's correlation analysis showed that differential gut bacterial genera correlated with the levels of BAs profiles in the serum, liver, and feces. These findings suggested that AKO dietary supplementation may protect against alcohol-induced liver injury through modulating BAs metabolism and altering the gut microbiome. (C) 2022 Elsevier Inc. All rights reserved.</t>
  </si>
  <si>
    <t>[Guo, Peiyu; Teng, Xiangyun; Wang, Yanhui; Han, Jianmin; Zhang, Huaqi; Tian, Yingjie; Liang, Hui] Qingdao Univ, Dept Human Nutr, 308 Ningxia Rd, Qingdao 266071, Shandong, Peoples R China; [Xue, Meilan] Qingdao Univ, Basic Med Coll, Qingdao, Shandong, Peoples R China; [Ren, Rong] Qingdao Chengyang Peoples Hosp, Dept Tradit Chinese Med, Qingdao, Shandong, Peoples R China</t>
  </si>
  <si>
    <t>Qingdao University; Qingdao University</t>
  </si>
  <si>
    <t>Liang, H (corresponding author), Qingdao Univ, Dept Human Nutr, 308 Ningxia Rd, Qingdao 266071, Shandong, Peoples R China.</t>
  </si>
  <si>
    <t>qdlianghui@126.com</t>
  </si>
  <si>
    <t>Chen, Feng/JQW-8742-2023; Tan, Wei/KBB-7333-2024; Han, Jian/ABZ-1060-2022; wang, yanhui/HPG-3348-2023</t>
  </si>
  <si>
    <t>Han, Jian/0000-0002-0647-4050; Guo, Peiyu/0000-0002-1130-2034</t>
  </si>
  <si>
    <t>National Natural Science Foundation of China [81872605]; Natural Science Foun-dation of Shandong Province [ZR2020MH215]; Major Scien-tific and Technological Innovation Project of Shandong Province [2019JZZY010818]</t>
  </si>
  <si>
    <t>National Natural Science Foundation of China(National Natural Science Foundation of China (NSFC)); Natural Science Foun-dation of Shandong Province(Natural Science Foundation of Shandong Province); Major Scien-tific and Technological Innovation Project of Shandong Province</t>
  </si>
  <si>
    <t>This work was funded and supported by National Natural Science Foundation of China (81872605) , Natural Science Foun-dation of Shandong Province (ZR2020MH215) and Major Scien-tific and Technological Innovation Project of Shandong Province (2019JZZY010818) .</t>
  </si>
  <si>
    <t>ELSEVIER SCIENCE INC</t>
  </si>
  <si>
    <t>STE 800, 230 PARK AVE, NEW YORK, NY 10169 USA</t>
  </si>
  <si>
    <t>0955-2863</t>
  </si>
  <si>
    <t>1873-4847</t>
  </si>
  <si>
    <t>J NUTR BIOCHEM</t>
  </si>
  <si>
    <t>J. Nutr. Biochem.</t>
  </si>
  <si>
    <t>10.1016/j.jnutbio.2022.109061</t>
  </si>
  <si>
    <t>Biochemistry &amp; Molecular Biology; Nutrition &amp; Dietetics</t>
  </si>
  <si>
    <t>4Y6TU</t>
  </si>
  <si>
    <t>WOS:000861658800003</t>
  </si>
  <si>
    <t>Huang, LQ; Hajnsek, I; Nghiem, SV</t>
  </si>
  <si>
    <t>Huang, Lanqing; Hajnsek, Irena; Nghiem, Son, V</t>
  </si>
  <si>
    <t>Sea Ice Elevation in the Western Weddell Sea, Antarctica: Observations From Field campaign</t>
  </si>
  <si>
    <t>EARTH AND SPACE SCIENCE</t>
  </si>
  <si>
    <t>POLARIMETRIC SIGNATURES; SURFACE-TOPOGRAPHY; TANDEM-X; IN-SITU; ROUGHNESS; ALTIMETRY; VARIABILITY</t>
  </si>
  <si>
    <t>Sea ice elevation is crucial in the characterization of three-dimensional (3D) sea ice patterns, providing physical insights to advance sea ice dynamic models. Moreover, how sea ice elevation may be related to the ocean geophysical environment is still a significant knowledge gap, especially in Antarctica. A radar theory relating electromagnetic scattering mechanisms to sea ice elevation over old and deformed rough ice has been reported in a prior companion paper. This follow-up paper presents the validated model function and synthetic aperture radar (SAR)-retrieved sea ice elevations based on the field data acquired during the Operation IceBridge and TanDEM-X Antarctic Science Campaign. A high-resolution sea ice digital elevation model (DEM) is generated extensively over a 19 x 450 km sector in the Western Weddell Sea, achieving a good accuracy with a low root-mean-square error of 0.23 m. From the SAR-retrieved sea ice DEM, 3D sea ice patterns including roughness height, auto-correlation lengths, correlation ellipticity, and orientation angles are calculated over the old and deformed rough sea ice. The 3D sea ice patterns give a comprehensive characterization of sea ice topography in the Western Weddell Sea and show the potential to be used for understanding sea ice formation processes in the Antarctic. Plain Language Summary Sea ice elevation provides essential information on characterizing sea ice features in three dimensions (3D) and relates to the ocean geophysical environment in the Antarctic. Synthetic aperture radar (SAR) provides a novel capability to characterize sea ice in 3D over a large coverage area across the ocean surface regardless of weather and darkness. This paper presents a method to retrieve sea ice elevations based on SAR imagery. A high-resolution map of sea ice elevation for old and rough ice is generated extensively over a wide sector in the Western Weddell Sea. Numerous sea ice 3D features are derived from the sea ice elevation map and show potential to provide geophysical insights into sea ice formation processes in the Antarctic.</t>
  </si>
  <si>
    <t>[Huang, Lanqing; Hajnsek, Irena] Swiss Fed Inst Technol Zurich, Inst Environm Engn, Zurich, Switzerland; [Hajnsek, Irena] Jerman Aerosp Ctr DLR, Microwaves &amp; Radar Inst, Wessling, Germany; [Nghiem, Son, V] CALTECH, Jet Prop Lab, Pasadena, CA USA</t>
  </si>
  <si>
    <t>Swiss Federal Institutes of Technology Domain; ETH Zurich; National Aeronautics &amp; Space Administration (NASA); NASA Jet Propulsion Laboratory (JPL); California Institute of Technology</t>
  </si>
  <si>
    <t>Huang, LQ (corresponding author), Swiss Fed Inst Technol Zurich, Inst Environm Engn, Zurich, Switzerland.</t>
  </si>
  <si>
    <t>huang@ifu.baug.ethz.ch</t>
  </si>
  <si>
    <t>Huang, Lanqing/ACF-9185-2022</t>
  </si>
  <si>
    <t>Huang, Lanqing/0000-0002-5180-7491; Hajnsek, Irena/0000-0002-0926-3283</t>
  </si>
  <si>
    <t>OTASC; NASA Cryosphere Science Program</t>
  </si>
  <si>
    <t>The research carried out at ETH Zurich was supported by the data obtained from OTASC efforts with participations and collaborations by the German Aerospace Center in Germany (in particular the strong support of Prof. Alberto Moreira for OTASC), NASA Goddard Space Flight Center in USA, University of Texas at San Antonio in USA, Woods Hole Oceanographic Institution in USA, Columbia University in USA, University of Canterbury in New Zealand, York University in Canada, the Alfred Wegener Institute in Germany, the U.S. National Ice Center in USA, University of Washington in USA, and University of Minnesota in USA. The research carried out at the Jet Propulsion Laboratory (JPL), California Institute of Technology, was supported by the NASA Cryosphere Science Program. We thank Shanghai Jiao Tong University in China for the promotion of Postdoctoral Program. Specifically for the English proofreading of this paper, we thank Mr. David Lee and Ms. Allyson Beatrice, who are professional Technical Writer Editor at JPL.</t>
  </si>
  <si>
    <t>2333-5084</t>
  </si>
  <si>
    <t>EARTH SPACE SCI</t>
  </si>
  <si>
    <t>Earth Space Sci.</t>
  </si>
  <si>
    <t>e2022EA002472</t>
  </si>
  <si>
    <t>10.1029/2022EA002472</t>
  </si>
  <si>
    <t>Astronomy &amp; Astrophysics; Geosciences, Multidisciplinary</t>
  </si>
  <si>
    <t>Astronomy &amp; Astrophysics; Geology</t>
  </si>
  <si>
    <t>4Y9SC</t>
  </si>
  <si>
    <t>WOS:000861860200001</t>
  </si>
  <si>
    <t>Gillett, ZE; Hendon, HH; Arblaster, JM; Lin, H; Fuchs, D</t>
  </si>
  <si>
    <t>Gillett, Z. E.; Hendon, H. H.; Arblaster, J. M.; Lin, H.; Fuchs, D.</t>
  </si>
  <si>
    <t>On the Dynamics of Indian Ocean Teleconnections into the Southern Hemisphere during Austral Winter</t>
  </si>
  <si>
    <t>JOURNAL OF THE ATMOSPHERIC SCIENCES</t>
  </si>
  <si>
    <t>Atmospheric circulation; Planetary waves; Stationary waves; Jets; Climate variability; Cool season</t>
  </si>
  <si>
    <t>ROSSBY-WAVE PROPAGATION; STEADY LINEAR-RESPONSE; MEAN-FLOW; STATIONARY; ATMOSPHERE; OSCILLATION; CIRCULATION; TEMPERATURE; VARIABILITY; SENSITIVITY</t>
  </si>
  <si>
    <t>Stationary Rossby waves, forced by the Indian Ocean dipole (IOD), have an important role in Southern Hemisphere (SH) weather and climate, including promoting Australian drought and driving Antarctic sea ice variations. However, the dynamics of these teleconnections are not fully understood. During winter, the subtropical jet (STJ) should prohibit continuous propagation of a stationary Rossby wave into the SH extratropics due to the negative meridional gradient of absolute vorticity (beta*) on its poleward flank. The mechanisms that enable this teleconnection are investigated using observational and reanalysis datasets, a hierarchy of atmospheric model experiments and Rossby wave diagnostics. We conduct 90-member simulations using the Community Atmosphere Model, version 5, with an imposed local diabatic heating anomaly over the eastern Indian Ocean. We find an initial zonal propagation along the STJ waveguide, but after about 10 days, a poleward-arcing wave train appears in the extratropics that has the characteristics of the observed IOD teleconnection. Our results suggest that the Rossby wave can overcome the negative beta* barrier by (i) propagating directly poleward in the midtroposphere and thus avoiding this evanescent region in the upper troposphere, (ii) partly propagating directly through this barrier, and (iii) propagating around this barrier farther upstream to the west. A transient eddy feedback, previously postulated to be the key mechanism to allow the stationary Rossby wave to appear on the poleward side of the negative beta* region, reinforces the response but is not a requisite, which we confirm through comparison with a simplified linear model.</t>
  </si>
  <si>
    <t>[Gillett, Z. E.; Hendon, H. H.; Arblaster, J. M.] Monash Univ, Sch Earth Atmosphere &amp; Environm, Melbourne, Vic, Australia; [Gillett, Z. E.; Fuchs, D.] Univ New South Wales, Climate Change Res Ctr, Sydney, NSW, Australia; [Gillett, Z. E.; Hendon, H. H.; Arblaster, J. M.; Fuchs, D.] Univ New South Wales, ARC Ctr Excellence Climate Extremes, Sydney, NSW, Australia; [Hendon, H. H.] Bur Meteorol, Melbourne, Vic, Australia; [Arblaster, J. M.] Natl Ctr Atmospher Res, Boulder, CO USA; [Lin, H.] Environm &amp; Climate Change Canada, Rech Previs Numer Atmospher, Dorval, PQ, Canada</t>
  </si>
  <si>
    <t>Monash University; Melbourne Genomics Health Alliance; University of New South Wales Sydney; University of New South Wales Sydney; Bureau of Meteorology - Australia; National Center Atmospheric Research (NCAR) - USA; Environment &amp; Climate Change Canada; Meteorological Service of Canada; Recherche en Prevision Numerique (RPN)</t>
  </si>
  <si>
    <t>Gillett, ZE (corresponding author), Monash Univ, Sch Earth Atmosphere &amp; Environm, Melbourne, Vic, Australia.;Gillett, ZE (corresponding author), Univ New South Wales, Climate Change Res Ctr, Sydney, NSW, Australia.;Gillett, ZE (corresponding author), Univ New South Wales, ARC Ctr Excellence Climate Extremes, Sydney, NSW, Australia.</t>
  </si>
  <si>
    <t>zoe.gillett@unsw.edu.au</t>
  </si>
  <si>
    <t>Gillett, Zoe/HKV-0587-2023; Arblaster, Julie/C-1342-2010</t>
  </si>
  <si>
    <t>Gillett, Zoe/0000-0002-8368-4094; Fuchs, David/0000-0001-8943-2149; Arblaster, Julie/0000-0002-4287-2363</t>
  </si>
  <si>
    <t>Australian Research Council [1947282]; Australian Government Research Training Program Scholarship; CLEX/Australian Bureau of Meteorology PhD Top-up scholarship; Regional and Global Model Analysis component of the Earth and Environmental System Modeling Program of the U.S. Department of Energy's Office of Biological and Environmental Research via National Science Foundation; Australian government; [CE170100023]; Australian Research Council [CE170100023] Funding Source: Australian Research Council</t>
  </si>
  <si>
    <t>Australian Research Council(Australian Research Council); Australian Government Research Training Program Scholarship(Australian GovernmentDepartment of Industry, Innovation and Science); CLEX/Australian Bureau of Meteorology PhD Top-up scholarship; Regional and Global Model Analysis component of the Earth and Environmental System Modeling Program of the U.S. Department of Energy's Office of Biological and Environmental Research via National Science Foundation; Australian government(Australian Government); ; Australian Research Council</t>
  </si>
  <si>
    <t>We acknowledge support from the Australian Research Council through the Centre of Excellence for Climate Extremes (CLEX; CE170100023). Z.E.G. was supported by an Australian Government Research Training Program Scholarship and a CLEX/Australian Bureau of Meteorology PhD Top-up scholarship. J.M.A. was partially supported by the Regional and Global Model Analysis component of the Earth and Environmental System Modeling Program of the U.S. Department of Energy's Office of Bio-logical and Environmental Research via National Science Foundation IA 1947282. Computing resources and services were provided by the National Computational Infrastructure, which is supported by the Australian government. The NCAR Command Language (http://www.ncl.ucar.edu) version 6.6.2was used for data analysis and visualization. Z.E.G. thanks Vishal Dixit for providing the code to implement the heating in CAM5, and Deepashree Dutta for assistance in setting upCESM. The authors thank Steven Sherwood for discussions about experiment design, and Brian Hoskins and Isaac Held for insightful discussions about the results. We also thank Irina Rudeva and Matthew Wheeler for their comments on the first draft</t>
  </si>
  <si>
    <t>0022-4928</t>
  </si>
  <si>
    <t>1520-0469</t>
  </si>
  <si>
    <t>J ATMOS SCI</t>
  </si>
  <si>
    <t>J. Atmos. Sci.</t>
  </si>
  <si>
    <t>10.1175/JAS-D-21-0206.1</t>
  </si>
  <si>
    <t>4W7EA</t>
  </si>
  <si>
    <t>WOS:000860320200016</t>
  </si>
  <si>
    <t>Pavia, FJ; Jones, CS; Hines, SK</t>
  </si>
  <si>
    <t>Pavia, Frank J.; Jones, C. Spencer; Hines, Sophia K.</t>
  </si>
  <si>
    <t>Geometry of the Meridional Overturning Circulation at the Last Glacial Maximum</t>
  </si>
  <si>
    <t>Diapycnal mixing; Meridional overturning circulation; Ocean circulation</t>
  </si>
  <si>
    <t>OCEAN THERMOHALINE CIRCULATION; WATER-MASS DISTRIBUTIONS; ANTARCTIC SEA-ICE; SOUTHERN-OCEAN; DEEP-WATER; ATMOSPHERIC CO2; CARBON-ISOTOPE; HORIZONTAL RESOLUTION; NUTRIENT UTILIZATION; ATLANTIC-OCEAN</t>
  </si>
  <si>
    <t>Understanding the contribution of ocean circulation to glacial-interglacial climate change is a major focus of paleoceanography. Specifically, many have tried to determine whether the volumes and depths of Antarctic- and North Atlantic-sourced waters in the deep ocean changed at the Last Glacial Maximum (LGM; similar to 22-18 kyr BP) when atmospheric pCO(2) concentrations were 100 ppm lower than the preindustrial. Measurements of sedimentary geochemical proxies are the primary way that these deep ocean structural changes have been reconstructed. However, the main proxies used to reconstruct LGM Atlantic water mass geometry provide conflicting results as to whether North Atlantic-sourced waters shoaled during the LGM. Despite this, a number of idealized modeling studies have been advanced to describe the physical processes resulting in shoaled North Atlantic waters. This paper aims to critically assess the approaches used to determine LGM Atlantic circulation geometry and lay out best practices for future work. We first compile existing proxy data and paleoclimate model output to deduce the processes responsible for setting the ocean distributions of geochemical proxies in the LGM Atlantic Ocean. We highlight how small-scale mixing processes in the ocean interior can decouple tracer distributions from the large-scale circulation, complicating the straightforward interpretation of geochemical tracers as proxies for water mass structure. Finally, we outline promising paths toward ascertaining the LGM circulation structure more clearly and deeply.</t>
  </si>
  <si>
    <t>[Pavia, Frank J.] Caltech, Dept Geol &amp; Planetary Sci, Pasadena, CA 91125 USA; [Jones, C. Spencer] Texas A&amp;M Univ, College Stn, TX USA; [Jones, C. Spencer] Columbia Univ, Lamont Doherty Earth Observ, Palisades, NY USA; [Hines, Sophia K.] Woods Hole Oceanog Inst, Dept Marine Chem &amp; Geochem, Woods Hole, MA USA</t>
  </si>
  <si>
    <t>California Institute of Technology; Texas A&amp;M University System; Texas A&amp;M University College Station; Columbia University; Woods Hole Oceanographic Institution</t>
  </si>
  <si>
    <t>Pavia, FJ (corresponding author), Caltech, Dept Geol &amp; Planetary Sci, Pasadena, CA 91125 USA.</t>
  </si>
  <si>
    <t>fjpavia@caltech.edu</t>
  </si>
  <si>
    <t>Jones, C Spencer/0000-0003-1094-0306</t>
  </si>
  <si>
    <t>Investment in Science Fund at WHOI; John E. and Anne W. Sawyer Endowed Fund; Stanback Postdoctoral Fellowship at Caltech</t>
  </si>
  <si>
    <t>The authors thank Esther Brady, who provided data from the extended CCSM model run, together with Alan Seltzer, Kassandra Costa, Shantong Sun, and Andrew Thompson, who all read the manuscript and provided valuable feedback. Two anonymous reviewers and Andreas Schmittner contributed thorough and insightful reviews that improved the paper. S.K.H. was supported by the Investment in Science Fund at WHOI and the John E. and Anne W. Sawyer Endowed Fund in Support of Scientific Staff. F.J.P. was supported by a Stanback Postdoctoral Fellowship at Caltech.</t>
  </si>
  <si>
    <t>10.1175/JCLI-D-21-0671.1</t>
  </si>
  <si>
    <t>4X2TW</t>
  </si>
  <si>
    <t>WOS:000860701300001</t>
  </si>
  <si>
    <t>Zhang, XY; Dong, X; Zeng, J; Hou, SG; Smeets, PCJP; Reijmer, CH; Wang, YT</t>
  </si>
  <si>
    <t>Zhang, Xueying; Dong, Xu; Zeng, Jing; Hou, Shugui; Smeets, Paul C. J. P.; Reijmer, Carleen H.; Wang, Yetang</t>
  </si>
  <si>
    <t>Spatiotemporal Reconstruction of Antarctic Near-Surface Air Temperature from MODIS Observations</t>
  </si>
  <si>
    <t>Atmosphere; Antarctica; Neural networks</t>
  </si>
  <si>
    <t>GLOBAL ATMOSPHERIC REANALYSES; HEMISPHERE ANNULAR MODE; NEURAL-NETWORKS; POLAR WRF; IN-SITU; CLIMATE; ICE; WIND; VARIABILITY; VALIDATION</t>
  </si>
  <si>
    <t>MODIS (Moderate Resolution Imaging Spectroradiometer) land surface temperature measurements in combination with in situ air temperature records from 119 meteorological stations are used to reconstruct a monthly near-surface air temperature product over the Antarctic Ice Sheet (AIS) by means of a neural network model. The product is generated on a regular grid of 0.05 degrees x 0.05 degrees, spanning from 2001 to 2018. Comparison with independent in situ air temperature measurements shows low uncertainty, with a mean bias of 0.09 degrees C, a mean absolute error of 2.23 degrees C, and a correlation coefficient of 97%. Furthermore, the performance of the reconstruction is better than ERA5 (the fifth-generation ECMWF reanalysis model) against in situ measurements. For the 2001-18 period, the MODIS-based near-surface air temperature product yields annual warming in the East Antarctica, but cooling in the Antarctic Peninsula and West Antarctica. However, they are not statistically significant. This product can also be used to investigate the impact of the Southern Hemisphere annual mode (SAM) on year-to-year variability of air temperature. The enhanced positive phase of SAM in recent decades in austral summer has a cooling effect on East and West Antarctica. In addition, the dataset has the potential application for climate model validation and data assimilation due to the independence of the input of a numerical weather prediction model.</t>
  </si>
  <si>
    <t>[Zhang, Xueying; Dong, Xu; Zeng, Jing; Wang, Yetang] Shandong Normal Univ, Coll Geog &amp; Environm, Jinan, Peoples R China; [Hou, Shugui] Shanghai Jiao Tong Univ, Sch Oceanog, Shanghai, Peoples R China; [Smeets, Paul C. J. P.; Reijmer, Carleen H.] Univ Utrecht, Inst Marine &amp; Atmospher Res Utrecht, Utrecht, Netherlands; [Zeng, Jing] Shandong Inst Food &amp; Drug Control, Jinan, Peoples R China</t>
  </si>
  <si>
    <t>Shandong Normal University; Shanghai Jiao Tong University; Utrecht University</t>
  </si>
  <si>
    <t>Wang, YT (corresponding author), Shandong Normal Univ, Coll Geog &amp; Environm, Jinan, Peoples R China.</t>
  </si>
  <si>
    <t>yetangwang@sdnu.edu.cn</t>
  </si>
  <si>
    <t>zhang, jiayue/JUF-0129-2023; LI, SHA/JNR-9956-2023; zhang, xueying/JMB-7808-2023; zeng, jing/JDW-4350-2023</t>
  </si>
  <si>
    <t>Hou, Shugui/0000-0002-0905-3542</t>
  </si>
  <si>
    <t>National Natural Science Foundation of China [41971081, 42122047]; National Key Research and Development Program of China [2020YFA0608202]; Strategic Priority Research Program of the Chinese Academy of Sciences [XAD19070103]; Project for Outstanding Youth Innovation Team in the Universities of Shandong Province [2019KJH011]; Basic Research Fund of the Chinese Academy of Meteorological Sciences [2021Y021, 2021Z006]</t>
  </si>
  <si>
    <t>National Natural Science Foundation of China(National Natural Science Foundation of China (NSFC)); National Key Research and Development Program of China; Strategic Priority Research Program of the Chinese Academy of Sciences(Chinese Academy of Sciences); Project for Outstanding Youth Innovation Team in the Universities of Shandong Province; Basic Research Fund of the Chinese Academy of Meteorological Sciences</t>
  </si>
  <si>
    <t>Funding this work was the National Natural Science Foundation of China (41971081, 42122047), the National Key Research and Development Program of China (2020YFA0608202), the Strategic Priority Research Program of the Chinese Academy of Sciences (XAD19070103), the Project for Outstanding Youth Innovation Team in the Universities of Shandong Province (2019KJH011), and the Basic Research Fund of the Chinese Academy of Meteorological Sciences (Grant 2021Y021 and 2021Z006).</t>
  </si>
  <si>
    <t>10.1175/JCLI-D-21-0786.1</t>
  </si>
  <si>
    <t>WOS:000860701300005</t>
  </si>
  <si>
    <t>Guo, YY; Wen, ZP; Zhu, Y; Chen, XD</t>
  </si>
  <si>
    <t>Guo, Yuanyuan; Wen, Zhiping; Zhu, Yu; Chen, Xiaodan</t>
  </si>
  <si>
    <t>Effect of the Late-1990s Change in Tropical Forcing on Teleconnections to the Amundsen-Bellingshausen Seas Region during Austral Autumn</t>
  </si>
  <si>
    <t>Antarctica; ENSO; Teleconnections; Interdecadal variability; Tropical variability</t>
  </si>
  <si>
    <t>SOUTH AMERICAN MODES; EL-NINO; GLOBAL PRECIPITATION; SURFACE TEMPERATURE; WAVE-PROPAGATION; HEMISPHERE; ICE; VARIABILITY; CIRCULATION; CLIMATE</t>
  </si>
  <si>
    <t>Tropical sea surface temperature (SST) and associated precipitation, acting as diabatic heat forcing, has far-reaching climatic impacts across the globe through exciting poleward-propagating Rossby waves. It is found that the leading mode of tropical Pacific forcing in austral autumn experiences a significant interdecadal shift from an eastern Pacific (EP) to a central Pacific (CP) type around the late 1990s. More specifically, the EP-type precipitation anomaly mode before 1998 drives a quadrupole-like teleconnection pathway emanating from the tropical Pacific to the Ross Sea and Amundsen-Bellingshausen Seas (ABS) region, whereas the CP-type mode after 1999 excites a Pacific-South American (PSA)-like teleconnection orienting along a great circle. Divergent flows induced by different precipitation anomaly modes primarily determine the generation of Rossby waves by means of the vortex stretching and vorticity advection processes. Furthermore, the synoptic high-frequency transient eddy activity along with its dynamic forcing effect differs greatly before and after 1998/99, contributing to different locations of the teleconnection lobes at mid- to high latitudes. In contrast, the subseasonal low-frequency transient eddy activity exerts a limited influence. Our findings also indicate that the EP-type (CP-type) tropical forcing mode could significantly modulate the zonal displacement (strength) of the Amundsen Sea low, which could lead to distinct climate responses of West Antarctica and the Antarctic Peninsula in austral autumn.</t>
  </si>
  <si>
    <t>[Guo, Yuanyuan; Wen, Zhiping; Chen, Xiaodan] Fudan Univ, Dept Atmospher &amp; Ocean Sci, Shanghai, Peoples R China; [Guo, Yuanyuan; Wen, Zhiping; Chen, Xiaodan] Fudan Univ, Inst Atmospher Sci, Shanghai, Peoples R China; [Guo, Yuanyuan] CMA FDU Joint Lab Marine Meteorol, Shanghai, Peoples R China; [Wen, Zhiping] Zhuhai Fudan Innovat Res Inst, Innovat Ctr Ocean &amp; Atmosphere Syst, Zhuhai, Peoples R China; [Wen, Zhiping] Jiangsu Collaborat Innovat Ctr Climate Change, Nanjing, Peoples R China; [Zhu, Yu] Chinese Meteorol Adm, Inst Trop &amp; Marine Meteorol, Guangzhou, Peoples R China</t>
  </si>
  <si>
    <t>Fudan University; Fudan University; China Meteorological Administration</t>
  </si>
  <si>
    <t>Guo, YY (corresponding author), Fudan Univ, Dept Atmospher &amp; Ocean Sci, Shanghai, Peoples R China.;Guo, YY (corresponding author), Fudan Univ, Inst Atmospher Sci, Shanghai, Peoples R China.</t>
  </si>
  <si>
    <t>guoyyuan@fudan.edu.cn</t>
  </si>
  <si>
    <t>Guo, Yuan/HKV-9606-2023; Chen, Xiaodan/ABH-3659-2022</t>
  </si>
  <si>
    <t>National Natural Science Foundation of China; [41905072]; [42030601]; [41875087]</t>
  </si>
  <si>
    <t>National Natural Science Foundation of China(National Natural Science Foundation of China (NSFC)); ; ;</t>
  </si>
  <si>
    <t>Acknowledgments. The authors thank the constructive suggestions from three anonymous reviewers, which helped greatly to improve the manuscript. This research is supported by the National Natural Science Foundation of China (41905072, 42030601, and 41875087).</t>
  </si>
  <si>
    <t>10.1175/JCLI-D-21-0965.1</t>
  </si>
  <si>
    <t>WOS:000860701300014</t>
  </si>
  <si>
    <t>Jochum, M; Chase, Z; Nuterman, R; Pedro, J; Rasmussen, S; Vettoretti, G; Zheng, PS</t>
  </si>
  <si>
    <t>Jochum, Markus; Chase, Zanna; Nuterman, Roman; Pedro, Joel; Rasmussen, Sune; Vettoretti, Guido; Zheng, Peisong</t>
  </si>
  <si>
    <t>Carbon Fluxes during Dansgaard-Oeschger Events as Simulated by an Earth System Model</t>
  </si>
  <si>
    <t>Ocean; Ice age; Climate variability</t>
  </si>
  <si>
    <t>ABRUPT CLIMATE-CHANGE; DEEP SOUTHERN-OCEAN; ATMOSPHERIC CO2; GLACIAL CLIMATE; NORTH-ATLANTIC; MARINE PRODUCTIVITY; CIRCULATION; PACIFIC; IRON; VARIABILITY</t>
  </si>
  <si>
    <t>The Community Earth System Model with marine and terrestrial biogeochemistry is configured to simulate glacial climate. The integration shows transitions from warm to cold states-interstadials to stadials-and back. The amplitude of the associated Greenland and Antarctica temperature changes and the atmospheric CO2 signal are consistent with ice-core reconstructions, and so are the time lags between termination of a stadial, Antarctic temperature reversal, and the decline of the atmospheric CO2 concentration (for brevity's sake simply referred to as CO2 from here on). The present model results stand out because the transitions occur spontaneously (without forcing changes like hosing) and because they reproduce the observed features above in a configuration that uses the same parameterizations as climate simulations for the present day (i.e., no retuning has been done). During stadials, precipitation shifts lead to reduced growth on land, which dominates the CO2 increase; the ocean acts as a minor carbon sink during the stadials. After the end of the stadials, however, the sudden reversal of the stadial anomalies in temperature, wind, and precipitation turns the ocean into a carbon source, which accounts for the continued rise of CO2 for several hundred years into the interstadial. The simulations also provide a novel possible interpretation for the observed correlation between CO2 and Antarctic temperature: rather than both being controlled by Southern Ocean processes, they are both controlled by the North Atlantic Ocean, and most of the extra CO2 may not be of Southern Hemisphere origin. If the stadials are prolonged through North Atlantic hosing, the upper ocean comes to an equilibrium, and the CO2 response is dominated by a single process: reduced export production in the North Atlantic as result of the collapsed overturning circulation. This is in contrast to the unforced simulation where the net ocean carbon flux anomaly is the sum of several regional responses of both signs and similar magnitudes. Reducing the aeolian iron deposition by half, to account for the observed reduction of Southern Hemisphere dust fluxes during stadials, reduces biological productivity and export production so that the Southern Ocean emerges as an important carbon source, at least for the three centuries up until a new equilibrium for the upper ocean is reached. Significance StatementThe last ice age featured millennial-scale oscillations in CO2 and temperature, the latter being anticorrelated between Greenland and Antarctica. This is often referred to as the bipolar seesaw. Here, an Earth system model is described that reproduces these signals, and its results are used to explain the observed correlation between temperature and CO2. In contrast to previous idealized studies it is found that all ocean basins and the land each contribute equally to the CO2 signal.</t>
  </si>
  <si>
    <t>[Jochum, Markus; Nuterman, Roman; Rasmussen, Sune; Vettoretti, Guido] Niels Bohr Inst, Copenhagen, Denmark; [Chase, Zanna; Pedro, Joel] Univ Tasmania, Hobart, Australia; [Zheng, Peisong] Shantou Univ, Shantou, Peoples R China</t>
  </si>
  <si>
    <t>University of Copenhagen; Niels Bohr Institute; University of Tasmania; Shantou University</t>
  </si>
  <si>
    <t>Jochum, M (corresponding author), Niels Bohr Inst, Copenhagen, Denmark.</t>
  </si>
  <si>
    <t>mjochum@nbi.dk</t>
  </si>
  <si>
    <t>Rasmussen, Sune/B-5560-2008; jochum, markus/F-8237-2013; Chase, Zanna/E-9232-2013</t>
  </si>
  <si>
    <t>jochum, markus/0000-0003-2690-3139; Vettoretti, Guido/0000-0002-0272-0488</t>
  </si>
  <si>
    <t>Copenhagen University; VILLUM Foundation through IceFlow; Australian Government Department of Industry, Science, Energy and Resources [ASCI000002]; Carlsberg Foundation through ChronoClimate; Australian Government through the Australian Research Council's Discovery Projects funding scheme [DP180102357]</t>
  </si>
  <si>
    <t>Copenhagen University; VILLUM Foundation through IceFlow; Australian Government Department of Industry, Science, Energy and Resources; Carlsberg Foundation through ChronoClimate(Carlsberg Foundation); Australian Government through the Australian Research Council's Discovery Projects funding scheme</t>
  </si>
  <si>
    <t>We are grateful to Matthew Long and David Lawrence for their patience in explaining the details of the CESM biogeochemistry. The manuscript was improved greatly by the suggestions of one anonymous referee, Julia Gottschalk, Thomas Bauska, and the editor Shawn Marshall. The computations were done at the Danish Center of Climate Computing at the Niels Bohr Institute, Copenhagen. MJ and RN were supported by Copenhagen University, SOR by the VILLUM Foundation through IceFlow, JP received support from the Australian Government Department of Industry, Science, Energy and Resources (Grant ASCI000002). GV by the Carlsberg Foundation through ChronoClimate, and ZC was partially supported by the Australian Government through the Australian Research Council's Discovery Projects funding scheme (project DP180102357).</t>
  </si>
  <si>
    <t>10.1175/JCLI-D-21-0713.1</t>
  </si>
  <si>
    <t>WOS:000860701300017</t>
  </si>
  <si>
    <t>Ross, JPJ; Glauert, SA; Horne, RB; Meredith, NP</t>
  </si>
  <si>
    <t>Ross, J. P. J.; Glauert, S. A.; Horne, R. B.; Meredith, N. P.</t>
  </si>
  <si>
    <t>The Importance of Ion Composition for Radiation Belt Modeling</t>
  </si>
  <si>
    <t>radiation belts; ion composition</t>
  </si>
  <si>
    <t>EMIC WAVES; ELECTRONS; DENSITY</t>
  </si>
  <si>
    <t>The banded structure of electromagnetic ion cyclotron (EMIC) wave spectra and their resonant interactions with radiation belt electrons depend on the cold ion composition. However, there is a great deal of uncertainty in the composition in the inner magnetosphere due to difficulties in direct flux measurements. Here, we show that the hydrogen and helium band wave spectra are most consistent with a helium and oxygen composition of a few percent. Less than 10% of hydrogen band wave intensity is consistent with a high helium fraction of similar to 20%. Similarly, only similar to 20% helium band wave intensity is consistent with an oxygen torus ion composition. Furthermore, we find that the decay of the ultra-relativistic electrons in the radiation belts by EMIC waves depends on the ion composition. The decay is most sensitive to the helium fraction, and the strongest agreement with Van Allen Probes data is found when the helium fraction is a few percent. We suggest that more observations of the cold ion composition would significantly help understand and set constraints on the decay of ultrarelativistic electrons in the radiation belts.</t>
  </si>
  <si>
    <t>[Ross, J. P. J.; Glauert, S. A.; Horne, R. B.; Meredith, N. P.] British Antarctic Survey, Nat Environm Res Council, Cambridge, England</t>
  </si>
  <si>
    <t>Ross, JPJ (corresponding author), British Antarctic Survey, Nat Environm Res Council, Cambridge, England.</t>
  </si>
  <si>
    <t>johros@bas.ac.uk</t>
  </si>
  <si>
    <t>Horne, Richard B/U-3764-2019</t>
  </si>
  <si>
    <t>Horne, Richard B/0000-0002-0412-6407; Ross, Johnathan/0000-0001-5282-3293</t>
  </si>
  <si>
    <t>Natural Environment Research Council (NERC) Highlight Topic grant [NE/P01738X/1]; NERC grants [NE/V00249X/1, NE/R016038/1]; NERC [NE/R016038/1, NE/P01738X/1] Funding Source: UKRI; SPF [NE/V00249X/1] Funding Source: UKRI</t>
  </si>
  <si>
    <t>Natural Environment Research Council (NERC) Highlight Topic grant(UK Research &amp; Innovation (UKRI)Natural Environment Research Council (NERC)); NERC grants(UK Research &amp; Innovation (UKRI)Natural Environment Research Council (NERC)); NERC(UK Research &amp; Innovation (UKRI)Natural Environment Research Council (NERC)); SPF</t>
  </si>
  <si>
    <t>The authors also acknowledge the Radiation Belt Storm Probes ECT Science Operations and Data Center for the provision of the electron flux measurements and magnetic ephemeris data, available from . The authors thank the NSSDC Omniweb for the provision of the activity indices used in this paper. The research leading to these results has received funding from the Natural Environment Research Council (NERC) Highlight Topic grant NE/P01738X/1 (Rad-Sat) and the NERC grants NE/V00249X/1(Sat-Risk) and NE/R016038/1.</t>
  </si>
  <si>
    <t>e2022JA030680</t>
  </si>
  <si>
    <t>10.1029/2022JA030680</t>
  </si>
  <si>
    <t>4X1OG</t>
  </si>
  <si>
    <t>WOS:000860618700001</t>
  </si>
  <si>
    <t>Li, YY; Huang, LY; Wang, G; Xu, QC; Jia, MX</t>
  </si>
  <si>
    <t>Li, Yuyan; Huang, Liuyi; Wang, Gang; Xu, Qingchang; Jia, Mingxiu</t>
  </si>
  <si>
    <t>Study of the Structural Effects on the Hydrodynamics of a Hollow Rectangular Cambered Otter Board Using the CFD Method</t>
  </si>
  <si>
    <t>INTERNATIONAL JOURNAL OF OFFSHORE AND POLAR ENGINEERING</t>
  </si>
  <si>
    <t>Otter board; hydrodynamics; structural effects; CFD mod-eling</t>
  </si>
  <si>
    <t>ASPECT RATIO; PERFORMANCE; BOTTOM; LIFT</t>
  </si>
  <si>
    <t>In this study, hydrodynamic analyses were numerically performed for a hollow rectangular cambered otter board, which is adopted in Antarctic krill trawl fisheries. The Reynolds-averaged Navier-Stokes model was utilized in the CFD modeling. Its accuracy is validated by comparing its prediction with the experimental data. The results show that the lift coefficient and lift-to-drag ratio reach their maxima when the angles of attack are 25 degrees and 10 degrees, respectively. The lift coefficient increases with increasing aspect ratio and relative camber, whereas the lift-to-drag ratio increases with increasing aspect ratio. However, as the relative camber increases, the lift-to-drag ratio increases first and then decreases. Finally, minimizing the drag coefficient and maximizing the lift coefficient and lift-to-drag ratio are selected as the targets for the study, aiming to improve the hydrodynamic efficiency of the otter board during operations. The result indicates that the otter board has the best working efficiency when the aspect ratio is 2.06 and the relative camber is 0.10. Compared to the prototype otter board, the maximum lift coefficient and lift-to-drag ratio of the otter board with the best hydrodynamic properties in the investigated regions increase by 7% and 11%, respectively. This research has provided the scientific reference for the predesign and optimization of the hollow rectangular cambered otter board.</t>
  </si>
  <si>
    <t>[Li, Yuyan; Huang, Liuyi; Wang, Gang] Ocean Univ China Qingdao, Fisheries Coll, Qingdao, Shandong, Peoples R China; [Xu, Qingchang] China Acad Fishery Sci, Yellow Sea Fisheries Res Inst, Qingdao, Shandong, Peoples R China; [Jia, Mingxiu] China Natl Fisheries Corp, Beijing, Peoples R China</t>
  </si>
  <si>
    <t>Ocean University of China; Chinese Academy of Fishery Sciences; Yellow Sea Fisheries Research Institute, CAFS</t>
  </si>
  <si>
    <t>Huang, LY (corresponding author), Ocean Univ China Qingdao, Fisheries Coll, Qingdao, Shandong, Peoples R China.</t>
  </si>
  <si>
    <t>National K &amp; D Program of China [2020YFD0901205]</t>
  </si>
  <si>
    <t>National K &amp; D Program of China</t>
  </si>
  <si>
    <t>The present work was supported by the National K &amp; D Program of China (No. 2020YFD0901205) . The numerical simulation was conducted on the Linux cluster in the Lab of Marine Fishery Techniques, Ocean University of China, Qingdao.</t>
  </si>
  <si>
    <t>INT SOC OFFSHORE POLAR ENGINEERS</t>
  </si>
  <si>
    <t>CUPERTINO</t>
  </si>
  <si>
    <t>PO BOX 189, CUPERTINO, CA 95015-0189 USA</t>
  </si>
  <si>
    <t>1053-5381</t>
  </si>
  <si>
    <t>INT J OFFSHORE POLAR</t>
  </si>
  <si>
    <t>Int. J. Offshore Polar Eng.</t>
  </si>
  <si>
    <t>10.17736/ijope.2022.ak47</t>
  </si>
  <si>
    <t>Engineering, Civil; Engineering, Ocean; Engineering, Mechanical</t>
  </si>
  <si>
    <t>4X7LJ</t>
  </si>
  <si>
    <t>WOS:000861018900001</t>
  </si>
  <si>
    <t>Lin, Y; Cai, MG; Chen, M; Huang, P; Lei, RB; Chen, M; Gui, DW; Ke, HW</t>
  </si>
  <si>
    <t>Lin, Yan; Cai, Minggang; Chen, Min; Huang, Peng; Lei, Ruibo; Chen, Meng; Gui, Dawei; Ke, Hongwei</t>
  </si>
  <si>
    <t>Evidence for the growing importance of Eurasian local source to PAHs in the Arctic central basin</t>
  </si>
  <si>
    <t>Arctic Ocean; Margin source; Fresh water; Mass balance; Climate change</t>
  </si>
  <si>
    <t>POLYCYCLIC AROMATIC-HYDROCARBONS; PERSISTENT ORGANIC POLLUTANTS; ATMOSPHERE-OCEAN EXCHANGE; POLYCHLORINATED-BIPHENYLS; NORTH PACIFIC; SEA-ICE; PHYTOPLANKTON BLOOMS; FRESH-WATER; ATLANTIC; FATE</t>
  </si>
  <si>
    <t>Polycyclic aromatic hydrocarbons (PAHs) are traditionally considered to enter the Arctic Ocean through long-range transport. Arctic warming, especially sea ice retreat, will certainly increase the contribution from local source (such as river input and ice melting). However, this hypothesis remains poorly constrained for lack of quantitative evidence. Here PAHs in surface seawater (67 degrees N-89 degrees N, 152 degrees E-177 degrees E) and sea ice (82 degrees N-89 degrees N) were collected in the western Arctic in 2010. Dissolved concentrations of 15 PAHs (sigma 15PAHs) in surface layer ice (26.2 to 49.8 ng/L) were one order of magnitude higher than the underlying seawater. The content of dissolved sigma 15PAHs was significantly higher in the marginal ice zone than those in the Chukchi Sea shelf, and the dissolved sigma 15PAHs concentration differed by nearly an order of magnitude in two closely adjacent sections in the basin area, which both showed high fraction of river water and sea ice meltwater. This pattern could be explained by the different local inputs from Eurasia and North America. This scenario was further visualized by ice back trajectories capturing significantly higher PAH signals from the Eurasian margin than those from North America and stable oxygen isotopic data finding a positive correlation of PAH levels with the fractions of river runoff and ice-melting water coming from the Eurasia. The PAHs budget of the Arctic Ocean was also dominated by local sources (river and ice melting) as inputs (76 %) and volatilization as outputs (47 %). This study reveals the importance of Eurasian local inputs in supplying PAHs to the central Arctic Ocean. Those processes, which have not been well recognized for PAHs previously, are expected to increase and will undermine global efforts to reduce exposure by remobilizing PAHs stored in permafrost and ice.</t>
  </si>
  <si>
    <t>[Lin, Yan] Xiamen Univ Technol, Coll Environm Sci &amp; Engn, Xiamen 361002, Peoples R China; [Lin, Yan; Cai, Minggang] Xiamen Univ, State Key Lab Marine Environm Sci, Xiamen 361002, Peoples R China; [Lin, Yan; Cai, Minggang; Chen, Min; Huang, Peng; Ke, Hongwei] Xiamen Univ, Coll Ocean &amp; Earth Sci, Xiamen 361002, Peoples R China; [Huang, Peng] Guangdong Ocean Univ, Coll Ocean &amp; Meteorol, Zhanjiang 524088, Peoples R China; [Lei, Ruibo; Gui, Dawei] Polar Res Inst China, Shanghai 200136, Peoples R China; [Chen, Meng] Xiamen Univ, Coll Environm &amp; Ecol, Xiamen 361102, Peoples R China; [Gui, Dawei] Wuhan Univ, Chinese Antarctic Ctr Surveying &amp; Mapping, Wuhan 430079, Peoples R China</t>
  </si>
  <si>
    <t>Xiamen University of Technology; Xiamen University; Xiamen University; Guangdong Ocean University; Polar Research Institute of China; Xiamen University; Wuhan University</t>
  </si>
  <si>
    <t>Cai, MG (corresponding author), Xiamen Univ, Coll Ocean &amp; Earth Sci, Xiamen 361002, Peoples R China.</t>
  </si>
  <si>
    <t>mgcai@xmu.edu.cn</t>
  </si>
  <si>
    <t>National Natural Science Foundation of China (NSFC) [41976216, 41776088, 40776040, 41576180, 41076133, 42106224, J1210050]; Natural Science Foundation of Fujian Province, China [2014J06014, 2022I0046]; National Social Science Fund of China [17VHQ012]; China Scholarship Council (CSC) program [201806310097]</t>
  </si>
  <si>
    <t>National Natural Science Foundation of China (NSFC)(National Natural Science Foundation of China (NSFC)); Natural Science Foundation of Fujian Province, China(Natural Science Foundation of Fujian Province); National Social Science Fund of China; China Scholarship Council (CSC) program(China Scholarship Council)</t>
  </si>
  <si>
    <t>This work was fi nancially supported by the National Natural Science Foundation of China (NSFC) (41976216, 41776088, 40776040, 41576180, 41076133, 42106224 and J1210050) , the Natural Science Foundation of Fujian Province, China (2014J06014, 2022I0046) , National Social Science Fund of China (17VHQ012) and China Scholarship Council (CSC) program (No. 201806310097) making the present study possible. The authors are thankful for the Chinese Arctic and Antarctic Administration offering the crew of Xuelong, thus the present study is possibly conducted. We also thank Mengshan Duan, Shuiying Huang, Mian Chen, Xuehong Zheng for their assistance for chemical and data analysis.</t>
  </si>
  <si>
    <t>10.1016/j.scitotenv.2022.158373</t>
  </si>
  <si>
    <t>4X1FF</t>
  </si>
  <si>
    <t>WOS:000860595200005</t>
  </si>
  <si>
    <t>Azzaro, M; Papale, M; Rizzo, C; Forte, E; Lenaz, D; Guglielmin, M; Lo Giudice, A</t>
  </si>
  <si>
    <t>Azzaro, Maurizio; Papale, Maria; Rizzo, Carmen; Forte, Emanuele; Lenaz, Davide; Guglielmin, Mauro; Lo Giudice, Angelina</t>
  </si>
  <si>
    <t>Antarctic Salt-Cones: An Oasis of Microbial Life? The Example of Boulder Clay Glacier (Northern Victoria Land)</t>
  </si>
  <si>
    <t>extremophiles; salt cone; mirabilite; thenardite; prokaryotic diversity; supraglacial systems</t>
  </si>
  <si>
    <t>SP-NOV.; FAMILY FLAVOBACTERIACEAE; TAYLOR GLACIER; GEN.-NOV.; PERMAFROST; DIVERSITY; DEPOSITS; SEA; ICE; BRINE</t>
  </si>
  <si>
    <t>The evaporation of a localized, highly saline water body of the Boulder Clay debris-covered glacier, in the Northern Victoria Land, probably generated the accumulation of mirabilite (Na2SO4 x 10H(2)O) and thenardite (Na2SO4) in a glacier salt-cone. Such an extremely cold and salty environment resembles the conditions on Mars, so it can be considered a terrestrial analog. The study was aimed at gaining a first glimpse at the prokaryotic community associated with Antarctic mirabilite and thenardite minerals and also to find clues about the origin of the salts. For this purpose, samples were analyzed by a next generation approach to investigate the prokaryotic (Bacteria and Archaea) diversity. Phylogenetic analysis allowed the identification of Bacteroidota, Actinobacteriota, Firmicutes, and Gammaproteobacteria as the main bacterial lineages, in addition to Archaea in the phylum Halobacterota. The genera Arthrobacter, Rhodoglobus, Gillisia, Marinobacter and Psychrobacter were particularly abundant. Interestingly, several bacterial and archaeal sequences were related to halotolerant and halophilic genera, previously reported in a variety of marine environments and saline habitats, also in Antarctica. The analyzed salt community also included members that are believed to play a major role in the sulfur cycle.</t>
  </si>
  <si>
    <t>[Azzaro, Maurizio; Papale, Maria; Rizzo, Carmen; Guglielmin, Mauro; Lo Giudice, Angelina] Natl Res Council CNR ISP, Inst Polar Sci, I-98122 Messina, Italy; [Rizzo, Carmen] Sicily Marine Ctr, Marine Biotechnol Dept, Stn Zool Anton Dohrn, I-98168 Messina, Italy; [Forte, Emanuele; Lenaz, Davide] Trieste Univ, Dept Math &amp; Geosci, I-34128 Trieste, Italy; [Guglielmin, Mauro] Insubria Univ, Dept Theoret &amp; Appl Sci, I-21100 Varese, Italy</t>
  </si>
  <si>
    <t>Consiglio Nazionale delle Ricerche (CNR); Istituto di Scienze Polari (ISP-CNR); Stazione Zoologica Anton Dohrn di Napoli; University of Trieste; University of Insubria</t>
  </si>
  <si>
    <t>Lo Giudice, A (corresponding author), Natl Res Council CNR ISP, Inst Polar Sci, I-98122 Messina, Italy.</t>
  </si>
  <si>
    <t>azzaro, Maurizio/AAE-6784-2019</t>
  </si>
  <si>
    <t>azzaro, Maurizio/0000-0001-7885-2340; Lenaz, Davide/0000-0002-8498-8225; Papale, Maria/0000-0002-6013-4436; Rizzo, Carmen/0000-0002-4340-3833; Forte, Emanuele/0000-0002-5995-9254</t>
  </si>
  <si>
    <t>National Antarctic Research Program (PNRA); Italian Ministry of Education and Research [PNRA 2013/AZ1.05, PNRA 2016_00194-A1, PNRA 2018_00186-E]</t>
  </si>
  <si>
    <t>National Antarctic Research Program (PNRA); Italian Ministry of Education and Research(Ministry of Education, Universities and Research (MIUR))</t>
  </si>
  <si>
    <t>This research was funded by grants from the National Antarctic Research Program (PNRA), the Italian Ministry of Education and Research (Research Projects PNRA 2013/AZ1.05, PNRA 2016_00194-A1, and PNRA 2018_00186-E).</t>
  </si>
  <si>
    <t>10.3390/microorganisms10091753</t>
  </si>
  <si>
    <t>4V7DS</t>
  </si>
  <si>
    <t>WOS:000859635400001</t>
  </si>
  <si>
    <t>Hinke, JT; Giuseffi, LM; Hermanson, VR; Woodman, SM; Krause, DJ</t>
  </si>
  <si>
    <t>Hinke, Jefferson T.; Giuseffi, Louise M.; Hermanson, Victoria R.; Woodman, Samuel M.; Krause, Douglas J.</t>
  </si>
  <si>
    <t>Evaluating Thermal and Color Sensors for Automating Detection of Penguins and Pinnipeds in Images Collected with an Unoccupied Aerial System</t>
  </si>
  <si>
    <t>DRONES</t>
  </si>
  <si>
    <t>automated detection; Antarctica; drone; census; image analysis</t>
  </si>
  <si>
    <t>UNMANNED AIRCRAFT SYSTEMS; UASS</t>
  </si>
  <si>
    <t>Estimating seabird and pinniped abundance is central to wildlife management and ecosystem monitoring in Antarctica. Unoccupied aerial systems (UAS) can collect images to support monitoring, but manual image analysis is often impractical. Automating target detection using deep learning techniques may improve data acquisition, but different image sensors may affect target detectability and model performance. We compared the performance of automated detection models based on infrared (IR) or color (RGB) images and tested whether IR images, or training data that included annotations of non-target features, improved model performance. For this assessment, we collected paired IR and RGB images of nesting penguins (Pygoscelis spp.) and aggregations of Antarctic fur seals (Arctocephalus gazella) with a small UAS at Cape Shirreff, Livingston Island (60.79 degrees W, 62.46 degrees S). We trained seven independent classification models using the Video and Image Analytics for Marine Environments (VIAME) software and created an open-access R tool, vvipr, to standardize the assessment of VIAME-based model performance. We found that the IR images and the addition of non-target annotations had no clear benefits for model performance given the available data. Nonetheless, the generally high performance of the penguin models provided encouraging results for further improving automated image analysis from UAS surveys.</t>
  </si>
  <si>
    <t>[Hinke, Jefferson T.; Giuseffi, Louise M.; Hermanson, Victoria R.; Woodman, Samuel M.; Krause, Douglas J.] NOAA, Natl Marine Fisheries Serv, Antarctic Ecosyst Res Div, Southwest Fisheries Sci Ctr, La Jolla, CA 92037 USA</t>
  </si>
  <si>
    <t>Hinke, JT (corresponding author), NOAA, Natl Marine Fisheries Serv, Antarctic Ecosyst Res Div, Southwest Fisheries Sci Ctr, La Jolla, CA 92037 USA.</t>
  </si>
  <si>
    <t>jefferson.hinke@noaa.gov</t>
  </si>
  <si>
    <t>Hinke, Jefferson/0000-0002-3600-1414; Hermanson, Victoria/0000-0001-9834-1003; Woodman, Samuel/0000-0001-6071-8186</t>
  </si>
  <si>
    <t>National Oceanic and Atmospheric Administration, Oceanic and Atmospheric Research, Uncrewed Systems Research Transition Office [2019-01]</t>
  </si>
  <si>
    <t>National Oceanic and Atmospheric Administration, Oceanic and Atmospheric Research, Uncrewed Systems Research Transition Office</t>
  </si>
  <si>
    <t>This research was funded by the National Oceanic and Atmospheric Administration, Oceanic and Atmospheric Research, Uncrewed Systems Research Transition Office, grant #2019-01.</t>
  </si>
  <si>
    <t>2504-446X</t>
  </si>
  <si>
    <t>DRONES-BASEL</t>
  </si>
  <si>
    <t>Drones-Basel</t>
  </si>
  <si>
    <t>10.3390/drones6090255</t>
  </si>
  <si>
    <t>Remote Sensing</t>
  </si>
  <si>
    <t>4V4KW</t>
  </si>
  <si>
    <t>WOS:000859448300001</t>
  </si>
  <si>
    <t>Zammit, R; Lear, CH; Samankassou, E; Lourens, LJ; Micallef, A; Pearson, PN; Bialik, OM</t>
  </si>
  <si>
    <t>Zammit, R.; Lear, C. H.; Samankassou, E.; Lourens, L. J.; Micallef, A.; Pearson, P. N.; Bialik, O. M.</t>
  </si>
  <si>
    <t>Early Miocene Intensification of the North African Hydrological Cycle: Multi-Proxy Evidence From the Shelf Carbonates of Malta</t>
  </si>
  <si>
    <t>PALEOCEANOGRAPHY AND PALEOCLIMATOLOGY</t>
  </si>
  <si>
    <t>ANTARCTIC ICE-SHEET; SOUTH CHINA SEA; INTEGRATED STRATIGRAPHY; CLIMATIC TRANSITION; SILICEOUS ROCKS; RICH SEDIMENTS; SAPROPEL S1; OLIGOCENE; MARINE; OCEAN</t>
  </si>
  <si>
    <t>During the Miocene (23.0-5.3 Ma) North Africa experienced both humid and arid intervals, but the underlying cause of these transitions is unknown. Earth's climate was characterized by a unipolar icehouse with a dynamic Antarctic ice sheet, which may have influenced regional hydrology through atmospheric teleconnections. However, the Miocene also witnessed the restriction of the Mesopotamian Seaway, which may have had significant climatic impacts. The Maltese il-Blata section (Central Mediterranean) comprises Late Oligocene to Early Miocene marine deposits previously used to constrain the timing of the Mesopotamian Seaway restriction using the epsilon Nd tracer. The location of this section also makes it sensitive to climatic changes in the North African region, and biogeochemical changes in the central Mediterranean. Here, we present lithological and geochemical records of the il-Blata section. We find a marked shift in lithology and an increase in sedimentation rate coeval with the Early Miocene (similar to 19-20 Ma) restriction of the Mesopotamian Seaway. Concomitant changes in bulk sediment CaCO3, Sr/Ca, K/Al, Ti/Al, Zr/Al, and Si/Ti support a major humid climate transition and associated intensification of river systems over western North Africa. We propose that these changes in North African hydroclimate reflect either a tipping point effect in a gradually warming global climate, or are the result of the initial restriction of the Mesopotamian Seaway, perhaps through consequent changes in Atlantic Meridional Overturning Circulation and the West African Monsoon. We also suggest the restriction of the Mesopotamian Seaway inhibited phosphorite deposition at low latitudes. Plain Language Summary The climate over the densely populated areas of North Africa and the Central Mediterranean is influenced by the West African Monsoon system. Climate data from the region is limited and models fail to make consistent predictions in the context of Anthropogenic global warming. Therefore, it is important to examine the geological past when atmospheric carbon dioxide levels were similar to values predicted for the end of the century. The il-Blata section in Malta (central Mediterranean) holds a geological record from 25 to 18 million years ago. This time interval is not well represented elsewhere in the region. Geological records from this section indicate a large increase in regional humidity around 19 million years ago. This humid transition followed a tectonic event that resulted in the closure of the Mesopotamian Seaway which connected the Indian Ocean with the Mediterranean Sea. This may reflect an important role for tectonic forcing in the evolution of the West African Monsoon system through changes in ocean circulation patterns. The change to a wetter climate also occurred against a backdrop of gradually warming global climate, so an alternative interpretation is that it reflects a regional tipping point in the climate system.</t>
  </si>
  <si>
    <t>[Zammit, R.; Lear, C. H.; Pearson, P. N.] Cardiff Univ, Sch Earth &amp; Environm Sci, Cardiff, Wales; [Samankassou, E.] Univ Geneva, Dept Earth Sci, Geneva, Switzerland; [Lourens, L. J.] Univ Utrecht, Fac Geosci, Utrecht, Netherlands; [Micallef, A.; Bialik, O. M.] Univ Malta, Dept Geosci, Msida, Malta; [Micallef, A.] Helmholtz Ctr Ocean Res Kiel, Kiel, Germany</t>
  </si>
  <si>
    <t>Cardiff University; University of Geneva; Utrecht University; University of Malta; Helmholtz Association; GEOMAR Helmholtz Center for Ocean Research Kiel</t>
  </si>
  <si>
    <t>Zammit, R (corresponding author), Cardiff Univ, Sch Earth &amp; Environm Sci, Cardiff, Wales.</t>
  </si>
  <si>
    <t>zammitR2@cardiff.ac.uk</t>
  </si>
  <si>
    <t>Micallef, Aaron/C-8274-2012; Lear, Caroline H/D-2582-2009; Pearson, Paul N/B-2276-2009</t>
  </si>
  <si>
    <t>Micallef, Aaron/0000-0002-9330-0648; Lear, Caroline/0000-0002-7533-4430; Zammit, Ray/0000-0002-8629-3793; Bialik, Or M./0000-0003-1915-7297; Samankassou, Elias/0000-0003-0385-7686; Lourens, Lucas/0000-0002-3815-7770</t>
  </si>
  <si>
    <t>Open University Geological Society-Ian Gass bursary; NERC [NE/P019102/1]; Marie Skodowska Curie Fellowship [101003394-RhodoMalta]; ENDEAVOUR Scholarships Scheme (Group B) Malta, Cardiff University</t>
  </si>
  <si>
    <t>Open University Geological Society-Ian Gass bursary; NERC(UK Research &amp; Innovation (UKRI)Natural Environment Research Council (NERC)); Marie Skodowska Curie Fellowship; ENDEAVOUR Scholarships Scheme (Group B) Malta, Cardiff University</t>
  </si>
  <si>
    <t>This work was funded by the ENDEAVOUR Scholarships Scheme (Group B) Malta, Cardiff University, and The Open University Geological Society-Ian Gass bursary (RZ) and NERC grant NE/P019102/1 (CHL). Support is given by Marie Skodowska Curie Fellowship (101003394-RhodoMalta) (OMB). The Superintendence of Cultural Heritage Malta is thanked for granting permission to collect samples (SCH 213/16). Alexandra Nederbragt, Iain Macdonald and Anthony Oldroyd are thanked for laboratory assistance. John MacArthur is thanked for providing the LOWES-FIT 5 model and useful discussion. This manuscript was improved by the careful comments of two anonymous reviewers and the editor Ursula Rohl.</t>
  </si>
  <si>
    <t>2572-4517</t>
  </si>
  <si>
    <t>2572-4525</t>
  </si>
  <si>
    <t>PALEOCEANOGR PALEOCL</t>
  </si>
  <si>
    <t>Paleoceanogr. Paleoclimatology</t>
  </si>
  <si>
    <t>2022PA004414</t>
  </si>
  <si>
    <t>10.1029/2022PA004414</t>
  </si>
  <si>
    <t>Geosciences, Multidisciplinary; Oceanography; Paleontology</t>
  </si>
  <si>
    <t>Geology; Oceanography; Paleontology</t>
  </si>
  <si>
    <t>4W1KH</t>
  </si>
  <si>
    <t>Green Accepted, hybrid, Green Published</t>
  </si>
  <si>
    <t>WOS:000859923900001</t>
  </si>
  <si>
    <t>Li, L; Chen, T; Ti, S; Wang, SH; Song, JJ; Cai, CL; Liu, YH; Li, W; Luo, J</t>
  </si>
  <si>
    <t>Li, Lei; Chen, Tao; Ti, Shuo; Wang, Shi-Han; Song, Jia-Jun; Cai, Chun-Lin; Liu, Yong-Hua; Li, Wen; Luo, Jing</t>
  </si>
  <si>
    <t>Fair-Weather Near-Surface Atmospheric Electric Field Measurements at the Zhongshan Chinese Station in Antarctica</t>
  </si>
  <si>
    <t>APPLIED SCIENCES-BASEL</t>
  </si>
  <si>
    <t>atmospheric electric field; Zhongshan Chinese Antarctic station; fair weather</t>
  </si>
  <si>
    <t>DIURNAL-VARIATIONS; KAMCHATKA; CLOUDS; SOLAR</t>
  </si>
  <si>
    <t>The variability in the atmospheric electric field is modulated by a combination of solar activities, meteorological activities, and geological conditions. A foundational dataset of the daily variations in the fair-weather atmospheric electric field is established in this study, and several examinations are conducted into the details of these variations in particular regions. This paper is organized as follows. First, the researchers count the datasets of daily variations to the atmospheric electric field on fair-weather days from 1 March-1 August 2022 at Zhongshan Chinese Station in Antarctica and Changping Station in Beijing. Then, the average daily variation in the atmospheric electric field on 40 fair-weather days in Antarctica is shown and the variations are compared with the average curve of 37 fair-weather days in Beijing during the same time period. Finally, the three main differences between these variations, their possible reasons, and a reasonable error analysis are clarified and discussed at the end of this paper.</t>
  </si>
  <si>
    <t>[Li, Lei; Chen, Tao; Ti, Shuo; Wang, Shi-Han; Cai, Chun-Lin; Li, Wen; Luo, Jing] Chinese Acad Sci, Natl Space Sci Ctr, State Key Lab Space Weather, Beijing 100190, Peoples R China; [Li, Lei; Wang, Shi-Han] Univ Chinese Acad Sci, Sch Earth &amp; Planetary, Beijing 100049, Peoples R China; [Song, Jia-Jun] Chinese Acad Sci, Inst Elect Engn, Beijing 100190, Peoples R China; [Liu, Yong-Hua] Polar Res Inst China, Polar Atmospher Sci &amp; Space Phys, Shanghai 200136, Peoples R China</t>
  </si>
  <si>
    <t>Chinese Academy of Sciences; National Space Science Center, CAS; Chinese Academy of Sciences; University of Chinese Academy of Sciences, CAS; Chinese Academy of Sciences; Institute of Electrical Engineering, CAS; Polar Research Institute of China</t>
  </si>
  <si>
    <t>Chen, T (corresponding author), Chinese Acad Sci, Natl Space Sci Ctr, State Key Lab Space Weather, Beijing 100190, Peoples R China.</t>
  </si>
  <si>
    <t>tchen@nssc.ac.cn</t>
  </si>
  <si>
    <t>Ti, Shuo/KHX-0111-2024; Li, Lei/JBS-2912-2023</t>
  </si>
  <si>
    <t>Li, Lei/0000-0002-9435-893X; Chen, Tao/0000-0001-9790-2358</t>
  </si>
  <si>
    <t>Strategic Pioneer Program on Space Science, Chinese Academy of Sciences [XDA17010301, XDA15052500, XDA15350201]; National Natural Science Foundation of China [41874175, 41931073]; Ministry of Science and Technology, PRC [2021YFE0106400]</t>
  </si>
  <si>
    <t>Strategic Pioneer Program on Space Science, Chinese Academy of Sciences; National Natural Science Foundation of China(National Natural Science Foundation of China (NSFC)); Ministry of Science and Technology, PRC</t>
  </si>
  <si>
    <t>This research was funded by the Strategic Pioneer Program on Space Science, Chinese Academy of Sciences, Grant No. XDA17010301, XDA15052500, and XDA15350201, and by the National Natural Science Foundation of China, Grant No. 41874175 and 41931073. The authors thank the Chinese Meridian Project, Ground-Based Space Environment Monitoring Network (Meridian Project II), Specialized Research Fund for State Key Laboratories, and the Pandeng Program of NSSC. The study was supported by the international cooperation project (No. 2021YFE0106400) between the governments from the Ministry of Science and Technology, PRC.</t>
  </si>
  <si>
    <t>2076-3417</t>
  </si>
  <si>
    <t>APPL SCI-BASEL</t>
  </si>
  <si>
    <t>Appl. Sci.-Basel</t>
  </si>
  <si>
    <t>10.3390/app12189248</t>
  </si>
  <si>
    <t>Chemistry, Multidisciplinary; Engineering, Multidisciplinary; Materials Science, Multidisciplinary; Physics, Applied</t>
  </si>
  <si>
    <t>Chemistry; Engineering; Materials Science; Physics</t>
  </si>
  <si>
    <t>4U1BN</t>
  </si>
  <si>
    <t>WOS:000858538300001</t>
  </si>
  <si>
    <t>Laukert, G; Grasse, P; Novikhin, A; Povazhnyi, V; Doering, K; Hoelemann, J; Janout, M; Bauch, D; Kassens, H; Frank, M</t>
  </si>
  <si>
    <t>Laukert, G.; Grasse, P.; Novikhin, A.; Povazhnyi, V; Doering, K.; Holemann, J.; Janout, M.; Bauch, D.; Kassens, H.; Frank, M.</t>
  </si>
  <si>
    <t>Nutrient and Silicon Isotope Dynamics in the Laptev Sea and Implications for Nutrient Availability in the Transpolar Drift</t>
  </si>
  <si>
    <t>GLOBAL BIOGEOCHEMICAL CYCLES</t>
  </si>
  <si>
    <t>RADIOGENIC NEODYMIUM ISOTOPES; LENA RIVER ESTUARY; ARCTIC-OCEAN; BIOGENIC SILICA; FRESH-WATER; KARA SEA; MARINE DIATOMS; MAJOR ELEMENTS; ORGANIC-CARBON; SI CYCLE</t>
  </si>
  <si>
    <t>Realistic prediction of the near-future response of Arctic Ocean primary productivity to ongoing warming and sea ice loss requires a mechanistic understanding of the processes controlling nutrient bioavailability. To evaluate continental nutrient inputs, biological utilization, and the influence of mixing and winter processes in the Laptev Sea, the major source region of the Transpolar Drift (TPD), we compare observed with preformed concentrations of dissolved inorganic nitrogen (DIN) and phosphorus (DIP), silicic acid (DSi), and silicon isotope compositions of DSi (delta Si-30(DSi)) obtained for two summers (2013 and 2014) and one winter (2012). In summer, preformed nutrient concentrations persisted in the surface layer of the southeastern Laptev Sea, while diatom-dominated utilization caused intense northward drawdown and a pronounced shift in delta Si-30(DSi) from +0.91 to +3.82 parts per thousand. The modeled Si isotope fractionation suggests that DSi in the northern Laptev Sea originated from the Lena River and was supplied during the spring freshet, while riverine DSi in the southeastern Laptev Sea was continuously supplied during the summer. Primary productivity fueled by river-borne nutrients was enhanced by admixture of DIN- and DIP-rich Atlantic-sourced waters to the surface, either by convective mixing during the previous winter or by occasional storm-induced stratification breakdowns in late summer. Substantial enrichments of DSi (+240%) and DIP (+90%) beneath the Lena River plume were caused by sea ice-driven redistribution and remineralization. Predicted weaker stratification on the outer Laptev Shelf will enhance DSi utilization and removal through greater vertical DIN supply, which will limit DSi export and reduce diatom-dominated primary productivity in the TPD. Plain Language Summary Ongoing warming and sea ice loss in the Arctic Ocean may significantly impact biological productivity, which is mainly controlled by light and nutrient availability. To investigate nutrient inputs from land, biological utilization, and the influence of water mass mixing and winter processes on the nutrient distributions, we measured nutrient concentrations and silicon isotopes in the Laptev Sea. We found high concentrations in the southeastern Laptev Sea in agreement with nutrient inputs from the Lena River. Toward the northern Laptev Sea, nutrient concentrations decreased in the surface layer and the silicon isotope signatures shifted to heavier values, consistent with nutrient utilization by phytoplankton. In contrast to the depleted surface layer, the bottom layer beneath the Lena River plume was strongly enriched in some nutrients, which we attribute to different physical and biogeochemical processes. These observations are important for our understanding of nutrient bioavailability in the Laptev Sea and the Transpolar Drift (TPD), which is a surface current that connects the Laptev Sea with the central Arctic Ocean and the Fram Strait. The changing hydrography of the Laptev Sea will likely cause a decrease in silicic acid concentrations and thus a reduction in nutrient export and diatom-dominated primary productivity in the TPD.</t>
  </si>
  <si>
    <t>[Laukert, G.; Grasse, P.; Doering, K.; Bauch, D.; Kassens, H.; Frank, M.] GEOMAR Helmholtz Ctr Ocean Res, Kiel, Germany; [Laukert, G.] Dalhousie Univ, Dept Oceanog, Halifax, NS, Canada; [Laukert, G.] Woods Hole Oceanog Inst, Woods Hole, MA 02543 USA; [Grasse, P.] German Ctr Integrat Biodivers Res iDiv, Leipzig, Germany; [Novikhin, A.; Povazhnyi, V] Arctic &amp; Antarctic Res Inst, AARI, St Petersburg, Russia; [Doering, K.] Lund Univ, Dept Geol, Lund, Sweden; [Holemann, J.; Janout, M.] Alfred Wegener Inst, Helmholtz Ctr Polar &amp; Marine Res, Bremerhaven, Germany; [Bauch, D.] Christian Albrecht Univ Kiel, Kiel, Germany</t>
  </si>
  <si>
    <t>Helmholtz Association; GEOMAR Helmholtz Center for Ocean Research Kiel; Dalhousie University; Woods Hole Oceanographic Institution; Arctic &amp; Antarctic Research Institute; Lund University; Helmholtz Association; Alfred Wegener Institute, Helmholtz Centre for Polar &amp; Marine Research; University of Kiel</t>
  </si>
  <si>
    <t>Laukert, G (corresponding author), GEOMAR Helmholtz Ctr Ocean Res, Kiel, Germany.;Laukert, G (corresponding author), Dalhousie Univ, Dept Oceanog, Halifax, NS, Canada.;Laukert, G (corresponding author), Woods Hole Oceanog Inst, Woods Hole, MA 02543 USA.</t>
  </si>
  <si>
    <t>georgi.laukert@dal.ca</t>
  </si>
  <si>
    <t>Novikhin, Andrey/J-6005-2016; Doering, Kristin/ABD-4916-2020; Grasse, Patricia/AAJ-6483-2020; Hoelemann, Jens/N-3608-2016</t>
  </si>
  <si>
    <t>Doering, Kristin/0000-0002-7900-2169; Grasse, Patricia/0000-0002-1745-4418; Hoelemann, Jens/0000-0001-5102-4086; Laukert, Georgi/0000-0002-8209-763X; Janout, Markus/0000-0003-4908-2855; Bauch, Dorothea/0000-0002-1419-9714</t>
  </si>
  <si>
    <t>German Federal Ministry of Education and Research [BMBF 03F0776, 03G0833]; Ministry of Education and Science of the Russian Federation; Ocean Frontier Institute through Canada First Research Excellence Fund; Projekt DEAL</t>
  </si>
  <si>
    <t>German Federal Ministry of Education and Research(Federal Ministry of Education &amp; Research (BMBF)); Ministry of Education and Science of the Russian Federation(Ministry of Education and Science, Russian Federation); Ocean Frontier Institute through Canada First Research Excellence Fund; Projekt DEAL</t>
  </si>
  <si>
    <t>We like to thank the Captain and Crew of the RV Viktor Buynitskiy and all members of the project Laptev Sea System for their help in collecting and transporting the samples. We also acknowledge Jutta Heinze and Andre Mutzberg (GEOMAR) for laboratory assistance and DSi analysis in the isotope samples, respectively. Financial support for the Laptev Sea System project was provided by the German Federal Ministry of Education and Research (Grant BMBF 03F0776 and 03G0833) and the Ministry of Education and Science of the Russian Federation. G. L. also acknowledges financial support through the Ocean Frontier Institute through an award from the Canada First Research Excellence Fund. Open Access funding enabled and organized by Projekt DEAL.</t>
  </si>
  <si>
    <t>0886-6236</t>
  </si>
  <si>
    <t>1944-9224</t>
  </si>
  <si>
    <t>GLOBAL BIOGEOCHEM CY</t>
  </si>
  <si>
    <t>Glob. Biogeochem. Cycle</t>
  </si>
  <si>
    <t>e2022GB007316</t>
  </si>
  <si>
    <t>10.1029/2022GB007316</t>
  </si>
  <si>
    <t>4V8VZ</t>
  </si>
  <si>
    <t>WOS:000859750900001</t>
  </si>
  <si>
    <t>Wallschuss, S; Mdutyana, M; Parrott, RG; Forrer, HJ; Roman, R; Walker, DR; Ansorge, IJ; Fawcett, SE</t>
  </si>
  <si>
    <t>Wallschuss, Sina; Mdutyana, Mhlangabezi; Parrott, Ruan G.; Forrer, Heather J.; Roman, Raymond; Walker, David R.; Ansorge, Isabelle J.; Fawcett, Sarah E.</t>
  </si>
  <si>
    <t>The Influence of Agulhas Leakage on Primary Production and Nitrogen Cycling in the Southeastern Atlantic Ocean</t>
  </si>
  <si>
    <t>eddies and mesoscale processes; carbon cycling; nutrients and nutrient cycling; primary productivity; South Atlantic Ocean; nitrification</t>
  </si>
  <si>
    <t>WARM-CORE RING; NORTH-ATLANTIC; SOUTH-ATLANTIC; NITRIFICATION RATES; NITRITE OXIDATION; AMMONIA OXIDATION; SPRING BLOOM; COMMUNITY COMPOSITION; INTEROCEAN EXCHANGE; ISOTOPIC ANALYSIS</t>
  </si>
  <si>
    <t>The well-established importance of Agulhas Current leakage for Indian-Atlantic Ocean exchange of heat and salt raises the question of the relevance of Agulhas eddies for carbon and nitrogen cycling. We measured net primary production (NPP), nitrate and ammonium uptake, and nitrification along a transect of the Cape Basin (CB) in winter 2017, including across an anticyclonic Agulhas eddy sampled at high-resolution. Euphotic zone-integrated rates of NPP and nitrogen uptake were more than three-fold lower at the eddy center than at its edges, with intermediate rates measured outside the eddy. Additionally, proportionally more nitrate was consumed at the eddy edges than at its center. Mixed-layer integrated nitrification rates were highest at the eddy-center, with lower rates at the edges and in the surrounding basin. Accounting for phytoplankton consumption of newly nitrified nitrate in the eddy decreased the carbon export potential inferred from nitrate uptake (i.e., the f-ratio) by 66% +/- 37% (vs. a 14% +/- 22% decrease across the rest of the transect). At most stations, NPP and total measured nitrogen uptake were decoupled relative to stoichiometric expectations, with roughly a third of NPP possibly supported by regenerated dissolved organic nitrogen (DON). Accounting for DON uptake decreased the average f-ratio from 0.28 +/- 0.26 to 0.22 +/- 0.21, with the highest f-ratio estimated for an eddy-edge station (0.64) and the lowest for its center (0.00). While the low productivity metrics measured in the eddy-center could imply that Agulhas leakage decreases carbon export potential in the CB, enhanced nutrient supply and consumption at eddy edges may (partly) offset this reduction.</t>
  </si>
  <si>
    <t>[Wallschuss, Sina; Mdutyana, Mhlangabezi; Parrott, Ruan G.; Roman, Raymond; Ansorge, Isabelle J.; Fawcett, Sarah E.] Univ Cape Town, Dept Oceanog, Cape Town, South Africa; [Mdutyana, Mhlangabezi] CSIR, Southern Ocean Carbon &amp; Climate Observ SOCCO, Cape Town, South Africa; [Forrer, Heather J.] Florida State Univ, Dept Earth Ocean &amp; Atmospher Sci, Tallahassee, FL 32306 USA; [Walker, David R.] Cape Peninsula Univ Technol, Dept Conservat &amp; Marine Sci, Cape Town, South Africa; [Fawcett, Sarah E.] Univ Cape Town, Marine &amp; Antarctic Res Ctr Innovat &amp; Sustainabil, Cape Town, South Africa</t>
  </si>
  <si>
    <t>University of Cape Town; Council for Scientific &amp; Industrial Research (CSIR) - South Africa; State University System of Florida; Florida State University; Cape Peninsula University of Technology; University of Cape Town</t>
  </si>
  <si>
    <t>Wallschuss, S (corresponding author), Univ Cape Town, Dept Oceanog, Cape Town, South Africa.</t>
  </si>
  <si>
    <t>wllsin005@myuct.ac.za</t>
  </si>
  <si>
    <t>Wallschuss, Sina/0000-0002-7071-7168; Fawcett, Sarah/0000-0002-0878-6496; Ansorge, Isabelle/0000-0001-7071-8147; Walker, David/0000-0002-4235-1699; Roman, Raymond/0000-0002-7129-4515</t>
  </si>
  <si>
    <t>South African Department of Science and Innovation (DSI) through their SEAmester programme (seamester.co.za); South African National Research Foundation (NRF) [129229, 112380, 129320, 116142]; UCT; Harry Crossley Foundation Research Fellowship; VC Future Leaders 2030 award; VC Research Committee Equipment grant; African Academy of Sciences/Royal Society through a FLAIR Fellowship</t>
  </si>
  <si>
    <t>South African Department of Science and Innovation (DSI) through their SEAmester programme (seamester.co.za); South African National Research Foundation (NRF)(National Research Foundation - South Africa); UCT; Harry Crossley Foundation Research Fellowship; VC Future Leaders 2030 award; VC Research Committee Equipment grant; African Academy of Sciences/Royal Society through a FLAIR Fellowship</t>
  </si>
  <si>
    <t>We thank the Captain and crew of the R/V SA Agulhas II and the Department of Forestry, Fisheries and Environment (DFFE): Oceans and Coasts, particularly M. van den Berg who acted as Chief Scientist during the cruise. We also thank K. Spence and R. Granger for assistance at sea, I. Newton and K. Pescok Ewert for isotope measurements, and the Marine Biogeochemistry Lab at the University of Cape Town (UCT). This research was supported by the South African Department of Science and Innovation (DSI) through their SEAmester programme (seamester.co.za), the South African National Research Foundation (NRF) through Grant 129229 to IJA and M. van den Berg; 112380 to MM; and 129320 and 116142 to SEF, UCT through postgraduate awards to SW, RGP, and HJF, a Harry Crossley Foundation Research Fellowship to MM, and a VC Future Leaders 2030 award and Research Committee Equipment grant to SEF, and by the African Academy of Sciences/Royal Society through a FLAIR Fellowship to SEF. The authors also acknowledge the DSI's Biogeochemistry Research Infrastructure Platform (BIOGRIP; www.biogrip.ac.za).Figures 2 and 4 in the main text and Figure S2 in Supporting Information S1 were made using Ocean DataView (ODV) (Schlitzer, 2016).</t>
  </si>
  <si>
    <t>e2022JC018971</t>
  </si>
  <si>
    <t>10.1029/2022JC018971</t>
  </si>
  <si>
    <t>4V8HR</t>
  </si>
  <si>
    <t>WOS:000859713600001</t>
  </si>
  <si>
    <t>Polyakov, V; Petrov, A; Abakumov, E</t>
  </si>
  <si>
    <t>Polyakov, Vyacheslav; Petrov, Alexey; Abakumov, Evgeny</t>
  </si>
  <si>
    <t>Micromorphological Characteristics of Fallow, Pyrogenic, Arable Soils of Central Part of Yakutia</t>
  </si>
  <si>
    <t>SOIL SYSTEMS</t>
  </si>
  <si>
    <t>soil fabric; arable land; fallow land; alteration; Yakutia</t>
  </si>
  <si>
    <t>HUMIC ACIDS; RUSSIA; DIVERSITY; CRYOSOLS</t>
  </si>
  <si>
    <t>The assessment of the micromorphological characteristics of soils is a powerful tool for studying the transformation of soils under the influence of various weathering mechanisms (physical, biogenic). The central part of Yakutia is characterized by a large area of agricultural lands, some of which has become fallow land and is subject to cryogenic processes, fires and anthropogenic impact. Under the conditions of climate change, the fallow soils of Yakutia can be re-involved in the agricultural complex. To study their state, a method of micromorphological investigation of thin soil sections is proposed. Thin sections of soils were analyzed using a polarizing microscope Leica DM750P. As a result of the work, zonal, fallow, pyrogenic and agricultural soils of the central part of Yakutia were analyzed. The soils were found to be in a degraded state. Zonal soils were characterized by the presence of quartz grains, feldspar, and undecomposed plant tissue, as well as biogenically transformed humus. Fallow soils were characterized by a thick organo-mineral (A) horizon, quartz grains, feldspar, and silty-clay plasma. Pyrogenic soils have differences from natural and fallow soils; as a result of fires and active illuviation of organo-mineral substances. The Anthrosol soils were characterized by a large number of aggregates of various sizes. In their composition there were various minerals, such as quartz, feldspar and mica. The signs of soil cryogenesis were noted only in the underlying horizons (B), while the upper horizon (A) had no signs of cryogenic transformation.</t>
  </si>
  <si>
    <t>[Polyakov, Vyacheslav; Abakumov, Evgeny] St Petersburg State Univ, Dept Appl Ecol, Fac Biol, 16th Liniya VO 29, St Petersburg 199178, Russia; [Polyakov, Vyacheslav] Arctic &amp; Antarctic Res Inst, Beringa 38, St Petersburg 199397, Russia; [Petrov, Alexey] North Eastern Fed Univ Yakutsk, Lab Permafrost Soils, 58 Belinsky Str, Yakutsk 677027, Russia</t>
  </si>
  <si>
    <t>Saint Petersburg State University; Arctic &amp; Antarctic Research Institute; North-Eastern Federal University in Yakutsk</t>
  </si>
  <si>
    <t>Polyakov, V (corresponding author), St Petersburg State Univ, Dept Appl Ecol, Fac Biol, 16th Liniya VO 29, St Petersburg 199178, Russia.;Polyakov, V (corresponding author), Arctic &amp; Antarctic Res Inst, Beringa 38, St Petersburg 199397, Russia.</t>
  </si>
  <si>
    <t>Abakumov, e_abakumov@mail.ru/ADJ-1297-2022; Abakumov, Evgeny/AAO-8580-2020; Polyakov, Vyacheslav/H-5483-2016</t>
  </si>
  <si>
    <t>Abakumov, e_abakumov@mail.ru/0000-0002-5248-9018; Abakumov, Evgeny/0000-0002-5248-9018; Abakumov, Evgeniy/0000-0003-3703-9147; Polyakov, Vyacheslav/0000-0001-6171-3221</t>
  </si>
  <si>
    <t>Ministry of Science and Higher Education of the Russian Federation [075-15-2022-322]; World-class Scientific Center Agrotechnologies for the Future</t>
  </si>
  <si>
    <t>Ministry of Science and Higher Education of the Russian Federation; World-class Scientific Center Agrotechnologies for the Future</t>
  </si>
  <si>
    <t>This work was supported by the Ministry of Science and Higher Education of the Russian Federation in accordance with agreement &gt; 075-15-2022-322 date 22 April 2022 on providing a grant in the form of subsidies from the Federal budget of Russian Federation. The grant was provided for state support for the creation and development of a World-class Scientific Center Agrotechnologies for the Future. The article in honor of the 300th anniversary of St. Petersburg State University. We thank Saint-Petersburg University for access to Leica DM750P microscope.</t>
  </si>
  <si>
    <t>2571-8789</t>
  </si>
  <si>
    <t>SOIL SYST</t>
  </si>
  <si>
    <t>Soil Syst.</t>
  </si>
  <si>
    <t>10.3390/soilsystems6030068</t>
  </si>
  <si>
    <t>4U6LG</t>
  </si>
  <si>
    <t>WOS:000858902500001</t>
  </si>
  <si>
    <t>Eswaraiah, S; Seo, KH; Kumar, KN; Ratnam, MV; Koval, AV; Jeong, JY; Mengist, CK; Lee, YS; Greer, K; Hwang, JY; Lee, W; Pramitha, M; Chalapathi, GV; Reddy, MV; Kim, YH</t>
  </si>
  <si>
    <t>Eswaraiah, Sunkara; Seo, Kyong-Hwan; Kumar, Kondapalli Niranjan; Ratnam, Madineni Venkat; Koval, Andrey, V; Jeong, Jin-Yun; Mengist, Chalachew Kindie; Lee, Young-Sook; Greer, Katelynn; Hwang, Jun-Young; Lee, Wonseok; Pramitha, Maniyattu; Chalapathi, Gasthi Venkata; Reddy, Mannem Venkatarami; Kim, Yong Ha</t>
  </si>
  <si>
    <t>Anthropogenic Influence on the Antarctic Mesospheric Cooling Observed during the Southern Hemisphere Minor Sudden Stratospheric Warming</t>
  </si>
  <si>
    <t>sudden stratospheric warming; mesospheric cooling; meteor radar; planetary waves; chemical species transport; residual mean meridional circulation</t>
  </si>
  <si>
    <t>TEMPERATURE; TRANSPORT; TRENDS; GASES</t>
  </si>
  <si>
    <t>Processes behind Sudden Stratospheric Warming (SSW), which occurs more frequently in the northern hemispheric polar latitudes and its influence from the stratosphere to the upper atmosphere are well documented. However, physical processes associated with SSW, although it ensues rarely in the southern hemisphere (SH), have a strong influence on the background atmosphere from the stratosphere to the mesosphere and are poorly understood. Using a ground-based meteor radar, satellite-borne Microwave-Limb sounder, and Modern-Era Retrospective Analysis for Research and Applications observations, we identified cooling of Antarctic mesopause by 26 K in response to a 66 K warming in the polar stratosphere during the 2019 minor SSW in the SH. The observed cooling is attributed to the interplay between planetary waves, CO2 infrared cooling, and O-3 depletion, rather than adiabatic cooling due to gravity waves alone during SSW. It is proposed that anthropogenic and other sources generating chemical tracers in the lower atmosphere have caused mesospheric cooling and could be transported from the lower atmosphere both vertically and meridionally through residual mean meridional circulation from the tropics. Therefore, our study for the first time demonstrates the effect of lower atmosphere chemistry on the polar mesosphere thermal structure during the 2019 SSW.</t>
  </si>
  <si>
    <t>[Eswaraiah, Sunkara; Seo, Kyong-Hwan; Mengist, Chalachew Kindie] Pusan Natl Univ, Res Ctr Climate Sci, Busan 46241, South Korea; [Eswaraiah, Sunkara; Jeong, Jin-Yun] Madanapalle Inst Technol &amp; Sci, Satellite Res Ctr, Madanapalle 517325, India; [Seo, Kyong-Hwan; Reddy, Mannem Venkatarami] Pusan Natl Univ, Dept Atmospher Sci, Busan 46241, South Korea; [Kumar, Kondapalli Niranjan] Natl Ctr Medium Range Weather Forecasting, Noida 201301, India; [Ratnam, Madineni Venkat] Natl Atmospher Res Lab, Dept Space, Gadanki 517112, India; [Koval, Andrey, V; Kim, Yong Ha] St Petersburg State Univ, Atmospher Phys Dept, St Petersburg 198504, Russia; [Lee, Young-Sook; Hwang, Jun-Young] Chungnam Natl Univ, Dept Astron &amp; Space Sci, Daejeon 34134, South Korea; [Greer, Katelynn] Univ Colorado, Lab Atmospher &amp; Space Phys, Boulder, CO 80303 USA; [Lee, Wonseok] Yonsei Univ, Dept Atmospher Sci, Seoul 03722, South Korea; [Pramitha, Maniyattu] Indian Inst Sci Educ &amp; Res, Trivandrum 695551, Kerala, India; [Chalapathi, Gasthi Venkata] Govt Degree Coll, Dept Phys, Ananthapuramu 515001, India</t>
  </si>
  <si>
    <t>Pusan National University; Madanapalle Institute of Technology &amp; Science; Pusan National University; Ministry of Earth Sciences (MoES) - India; National Centre for Medium Range Weather Forecasting (NCMRWF); Department of Space (DoS), Government of India; National Atmospheric Research Laboratory (NARL); Saint Petersburg State University; Chungnam National University; University of Colorado System; University of Colorado Boulder; Yonsei University; Indian Institute of Science Education &amp; Research (IISER) - Thiruvananthapuram</t>
  </si>
  <si>
    <t>Eswaraiah, S; Seo, KH (corresponding author), Pusan Natl Univ, Res Ctr Climate Sci, Busan 46241, South Korea.;Eswaraiah, S (corresponding author), Madanapalle Inst Technol &amp; Sci, Satellite Res Ctr, Madanapalle 517325, India.;Seo, KH (corresponding author), Pusan Natl Univ, Dept Atmospher Sci, Busan 46241, South Korea.</t>
  </si>
  <si>
    <t>eswar.mst@gmail.com; khseo@pusan.ac.kr</t>
  </si>
  <si>
    <t>Koval, Andrey/I-4921-2015; Niranjan Kumar, Kondapalli/M-1116-2013</t>
  </si>
  <si>
    <t>Koval, Andrey/0000-0001-6446-1808; Sunkara, Eswaraiah/0000-0002-0419-6755; Mengist, Chalachew Kindie/0000-0003-4267-3521; Niranjan Kumar, Kondapalli/0000-0003-0313-8542; Seo, Kyong-Hwan/0000-0001-6305-5488</t>
  </si>
  <si>
    <t>Korean Meteorological Administration (KMA) Research and Development Program, South Korea [KMI2020-01114]</t>
  </si>
  <si>
    <t>Korean Meteorological Administration (KMA) Research and Development Program, South Korea</t>
  </si>
  <si>
    <t>This work was supported by a Korean Meteorological Administration (KMA) Research and Development Program under Grant KMI2020-01114, South Korea.</t>
  </si>
  <si>
    <t>10.3390/atmos13091475</t>
  </si>
  <si>
    <t>4U0KA</t>
  </si>
  <si>
    <t>WOS:000858492700001</t>
  </si>
  <si>
    <t>Chandra, V; Sandeep, S; Suhas, E; Subramanian, AC</t>
  </si>
  <si>
    <t>Chandra, Varunesh; Sandeep, S.; Suhas, E.; Subramanian, Aneesh C.</t>
  </si>
  <si>
    <t>Weakening of Indian Summer Monsoon Synoptic Activity in Response to Polar Sea Ice Melt Induced by Albedo Reduction in a Climate Model</t>
  </si>
  <si>
    <t>LOW-PRESSURE SYSTEMS; ATLANTIC ZONAL MODE; ARCTIC AMPLIFICATION; PRECIPITATION; IMPACTS; DECLINE; OSCILLATION; TEMPERATURE; TRENDS</t>
  </si>
  <si>
    <t>The effect of polar sea ice melt on low latitude climate is little known. To understand the response of the Indian summer monsoon (ISM) synoptic activity to the sea ice melt, we have run a suite of coupled and uncoupled climate model simulations. In one set of simulations, the albedo of sea ice is reduced so that it would melt due to increased absorption of solar radiation. The coupled model simulation with a reduced sea ice albedo resulted in an almost complete melting of the sea ice in summer in both hemispheres. A high-resolution (50 km) atmospheric general circulation model (AGCM) is forced with the climatological annual cycles of sea surface temperature (SST) and sea ice concentrations (SIC) from the coupled model outputs to better resolve synoptic scale variability. In the high-resolution AGCM simulations forced with SST and SIC from the sea ice melt experiments, the ISM circulation weakened substantially, and the monsoon low-pressure systems (LPS) activity experienced an overall decline of 23%, with a widespread weakening in the south and a moderate strengthening over the north, in response to a decline of 78% (24%) in SIC over the Arctic (Antarctic) in the June-September season. The changes in the LPS activity in response to polar sea ice melt are found to be mostly driven by the changes in low-level absolute vorticity and vertical shear over the Bay of Bengal. Plain Language Summary The sea ice is melting rapidly in a warming climate, which can have feedback effects on the climate system. However, the impact of sea ice melt on low latitude climate is not adequately understood. The Indian summer monsoon (ISM), known as the lifeline of South Asia, is essential to the water security of more than 1.5 billion people. We examined the response of the ISM to the polar sea ice melt using a suite of global climate model experiments. Our simulations show that the monsoon circulation and rainfall weaken substantially due to the sea ice melt. Further, the number of propagating precipitating vortices embedded in the monsoon circulation declined by about 22% in the sea ice melt experiments. Our results suggest that the Arctic and Antarctic sea ice melt could have severe implications for the water security of South Asia.</t>
  </si>
  <si>
    <t>[Chandra, Varunesh; Sandeep, S.] Indian Inst Technol Delhi, Ctr Atmospher Sci, New Delhi, India; [Suhas, E.] Indian Inst Sci Educ &amp; Res Pune, Earth &amp; Climate Sci, Pune, Maharashtra, India; [Subramanian, Aneesh C.] Univ Colorado, Dept Atmospher &amp; Ocean Sci, Boulder, CO 80309 USA</t>
  </si>
  <si>
    <t>Indian Institute of Technology System (IIT System); Indian Institute of Technology (IIT) - Delhi; Indian Institute of Science Education &amp; Research (IISER) Pune; University of Colorado System; University of Colorado Boulder</t>
  </si>
  <si>
    <t>Sandeep, S (corresponding author), Indian Inst Technol Delhi, Ctr Atmospher Sci, New Delhi, India.</t>
  </si>
  <si>
    <t>sandeep.sukumaran@cas.iitd.ac.in</t>
  </si>
  <si>
    <t>Subramanian, Aneesh/AFP-8577-2022; Subramanian, Aneesh/D-9484-2017</t>
  </si>
  <si>
    <t>Chandra, Varunesh/0000-0002-2380-0292; Sandeep, Sukumaran/0000-0002-8213-8331; Subramanian, Aneesh/0000-0001-7805-0102</t>
  </si>
  <si>
    <t>ESSO-National Centre for Polar and Ocean Research, Ministry of Earth Sciences, Government of India under the PACER outreach programme initiative [NCPOR/2019/PACER-POP/OS-04]</t>
  </si>
  <si>
    <t>ESSO-National Centre for Polar and Ocean Research, Ministry of Earth Sciences, Government of India under the PACER outreach programme initiative</t>
  </si>
  <si>
    <t>S. Sandeep acknowledges the financial support given by the ESSO-National Centre for Polar and Ocean Research, Ministry of Earth Sciences, Government of India under the PACER outreach programme initiative (NCPOR/2019/PACER-POP/OS-04). The coupled and uncoupled simulations of CESM are performed on the High Performance Computing resources of IIT Delhi.</t>
  </si>
  <si>
    <t>e2021EA002185</t>
  </si>
  <si>
    <t>10.1029/2021EA002185</t>
  </si>
  <si>
    <t>4U8GA</t>
  </si>
  <si>
    <t>WOS:000859024700001</t>
  </si>
  <si>
    <t>Li, C; Clementi, VJ; Bova, SC; Rosenthal, Y; Childress, LB; Wright, JD; Jian, ZM</t>
  </si>
  <si>
    <t>Li, Chen; Clementi, Vincent J.; Bova, Samantha C.; Rosenthal, Yair; Childress, Laurel B.; Wright, James D.; Jian, Zhimin</t>
  </si>
  <si>
    <t>The Sediment Green-Blue Color Ratio as a Proxy for Biogenic Silica Productivity Along the Chilean Margin</t>
  </si>
  <si>
    <t>Chilean Margin; sediment green-to-blue ratio; opal flux</t>
  </si>
  <si>
    <t>SOUTHERN-OCEAN; CLIMATE VARIABILITY; PHOTOSYNTHETIC PIGMENTS; CONTINENTAL-MARGIN; SURFACE SEDIMENTS; URANIUM; PACIFIC; WATER; PALEOPRODUCTIVITY; PRESERVATION</t>
  </si>
  <si>
    <t>Sediment cores recently collected from the Chilean Margin during D/V JOIDES Resolution Expedition 379T (JR100) document variability in shipboard-generated records of the green/blue (G/B) ratio. These changes show a strong coherence with benthic foraminiferal delta O-18, Antarctic ice core records, and sediment lithology (e.g., higher diatom abundances in greener sediment intervals), suggesting a climate-related control on the G/B. Here, we test the utility of G/B as a proxy for diatom productivity at Sites J1002 and J1007 by calibrating G/B to measured biogenic opal. Strong exponential correlations between measured opal% and the G/B were found at both sites. We use the empirical regressions to generate high-resolution records of opal contents (opal%) on the Chilean Margin. Higher productivity tends to result in more reducing sedimentary conditions. Redox-sensitive sedimentary U/Th generally co-varies with the reconstructed opal% at both sites, supporting the association between sediment color, sedimentary U/Th, and productivity. Lastly, we calculated opal mass accumulation rate (MAR) at Site J1007 over the last similar to 150,000 years. The G/B-derived opal MAR record from Site J1007 largely tracks existing records derived from traditional wet-alkaline digestion from the south and eastern equatorial Pacific (EEP) Ocean, with a common opal flux peak at similar to 50 ka suggesting that increased diatom productivity in the EEP was likely driven by enhanced nutrient supply from the Southern Ocean rather than dust inputs as previously suggested. Collectively, our results identify the G/B ratio as a useful tool with the potential to generate reliable, high-resolution paleoceanographic records that circumvent the traditionally laborious methodology.</t>
  </si>
  <si>
    <t>[Li, Chen; Clementi, Vincent J.; Bova, Samantha C.; Rosenthal, Yair] Rutgers State Univ, Dept Marine &amp; Coastal Sci, New Brunswick, NJ 08901 USA; [Li, Chen; Jian, Zhimin] Tongji Univ, State Key Lab Marine Geol, Shanghai, Peoples R China; [Bova, Samantha C.] San Diego State Univ, Dept Geol Sci, San Diego, CA 92182 USA; [Rosenthal, Yair; Wright, James D.] Rutgers State Univ, Dept Earth &amp; Planetary Sci, New Brunswick, NJ USA; [Childress, Laurel B.] Texas A&amp;M Univ, Int Ocean Discovery Program, College Stn, TX USA</t>
  </si>
  <si>
    <t>Rutgers University System; Rutgers University New Brunswick; Tongji University; California State University System; San Diego State University; Rutgers University System; Rutgers University New Brunswick; Texas A&amp;M University System; Texas A&amp;M University College Station</t>
  </si>
  <si>
    <t>Li, C; Clementi, VJ (corresponding author), Rutgers State Univ, Dept Marine &amp; Coastal Sci, New Brunswick, NJ 08901 USA.;Li, C (corresponding author), Tongji Univ, State Key Lab Marine Geol, Shanghai, Peoples R China.</t>
  </si>
  <si>
    <t>1532983@tongji.edu.cn; clementi@marine.rutgers.edu</t>
  </si>
  <si>
    <t>deLong, Kimberly/0009-0002-2724-5297; Rosenthal, yair/0000-0002-7546-6011; Clementi, Vincent/0000-0003-3695-3412; Cheung, Anson/0000-0001-7353-1329; Li, Chen/0000-0002-0721-9182; Wright, James/0000-0001-5212-9146; Childress, Laurel/0000-0002-9691-3570; Bova, Samantha/0000-0002-5064-8775</t>
  </si>
  <si>
    <t>NSF [OCE-1756241]; Ministry of Science and Technology of China [2018YFE0202401]; NETL Methane Hydrates Fellowship Program</t>
  </si>
  <si>
    <t>NSF(National Science Foundation (NSF)); Ministry of Science and Technology of China(Ministry of Science and Technology, China); NETL Methane Hydrates Fellowship Program</t>
  </si>
  <si>
    <t>The authors would like to thank the captain and crew of the D/V JOIDES Resolution and JRSO for their tireless efforts during the inaugural JR100 expedition. C. Li, V. J. Clementi, and Y. Rosenthal designed the experiment. C. Li and V. J. Clementi carried out shore-based geochemical analyses, prepared figures, and wrote the manuscript. S. C. Bova, Y. Rosenthal, and L. B. Childress organized and managed the expedition. J. D. Wright co-led shipboard stratigraphic efforts with G/B. Expedition 379T Scientists assisted in the collection of G/B data and interpretation of shipboard sedimentological data. All authors contributed to the interpretation of shipboard data. The expedition was funded by the NSF grant OCE-1756241. C. Li was supported by the Ministry of Science and Technology of China (Grant 2018YFE0202401). This study was funded by the NSF grant OCE-1756241 to S. C. Bova and Y. Rosenthal, V. J. Clementi was supported by the NETL Methane Hydrates Fellowship Program. The authors thank Ivano Aiello for the valuable comments on method and lithology section. The authors also thank Steve Phillips and an anonymous reviewer for their useful and critical reviews that help us improve this paper.</t>
  </si>
  <si>
    <t>e2022GC010350</t>
  </si>
  <si>
    <t>10.1029/2022GC010350</t>
  </si>
  <si>
    <t>4U8KT</t>
  </si>
  <si>
    <t>WOS:000859037100001</t>
  </si>
  <si>
    <t>Emanuelsson, BD; Thomas, ER; Humby, JD; Vladimirova, DO</t>
  </si>
  <si>
    <t>Emanuelsson, B. Daniel; Thomas, Elizabeth R.; Humby, Jack D.; Vladimirova, Diana O.</t>
  </si>
  <si>
    <t>Decadal Scale Variability of Larsen Ice Shelf Melt Captured by Antarctic Peninsula Ice Core</t>
  </si>
  <si>
    <t>GEOSCIENCES</t>
  </si>
  <si>
    <t>ice shelf melt; decadal-scale variability; interdecadal Pacific oscillation (IPO); water stable isotopes; ice cores; Antarctic Peninsula</t>
  </si>
  <si>
    <t>CONTINUOUS-FLOW ANALYSIS; CLIMATE; PACIFIC; DRIVEN</t>
  </si>
  <si>
    <t>In this study, we used the stable water isotope record (delta O-18) from an ice core drilled in Palmer Land, southern Antarctic Peninsula (AP). Utilizing delta O-18 we identified two climate regimes during the satellite era. During the 1979-1998 positive interdecadal Pacific oscillation (IPO) phase, a low-pressure system north of the Weddell Sea drove southeasterly winds that are associated with an increase in warm air mass intrusion onto the Larsen shelves, which melted and a decreased sea ice concentration in the Weddell Sea/increase in the Bellingshausen Sea. This climate setting is associated with anomaly low delta O-18 values (compared with the latter IPO period). There is significantly more melt along the northern AP ice shelf margins and on the Larsen D and southern Larsen C during the 1979-1998 IPO positive phase. The IPO positive climatic setting was coincidental with the Larsen A ice shelf collapse. In contrast, during the IPO negative phase (1999-2011), northerly winds caused a reduction in sea ice in the Bellingshausen Sea/Drake Passage region. Moreover, a Southern Ocean north of the Weddell Sea high-pressure system caused low-latitude warm humid air over the tip and east of the AP, a setting that is associated with increased northern AP snowfall, a high delta O-18 anomaly, and less prone to Larsen ice shelf melt.</t>
  </si>
  <si>
    <t>[Emanuelsson, B. Daniel; Thomas, Elizabeth R.; Humby, Jack D.; Vladimirova, Diana O.] British Antarctic Survey, Nat Environm Res Council, Ice Dynam &amp; Paleoclimate Grp, Madingley Rd, Cambridge CB3 0ET, England</t>
  </si>
  <si>
    <t>Thomas, ER (corresponding author), British Antarctic Survey, Nat Environm Res Council, Ice Dynam &amp; Paleoclimate Grp, Madingley Rd, Cambridge CB3 0ET, England.</t>
  </si>
  <si>
    <t>lith@bas.ac.uk</t>
  </si>
  <si>
    <t>Thomas, Elizabeth Ruth/ADF-3660-2022</t>
  </si>
  <si>
    <t>Thomas, Elizabeth Ruth/0000-0002-3010-6493; Emanuelsson, B. Daniel/0000-0002-9373-6951; Vladimirova, Diana/0000-0002-1678-0174; humby, jack/0000-0003-0526-2766</t>
  </si>
  <si>
    <t>British Antarctic Survey; Natural Environment Research Council (NERC, Cambridge, UK) [NE/J020710/1]</t>
  </si>
  <si>
    <t>British Antarctic Survey; Natural Environment Research Council (NERC, Cambridge, UK)</t>
  </si>
  <si>
    <t>The ice core drilling and analysis was funded by the British Antarctic Survey, Natural Environment Research Council (NERC, Cambridge, UK), part of UK research and innovation and grant [NE/J020710/1]. Palmer analysis was part funded in collaboration with the Anthropocene Working Group in the assessment of the candidate GSSP-sites. The collaboration was realized in the framework of Haus der Kulturen derWelt's (HKW) long-term initiative Anthropocene Curriculum, an international project for experimental forms of Anthropocene research and education developed by HKW and the Max Planck Institute for the History of Science (MPIWG, Berlin, Germany) since 2013.</t>
  </si>
  <si>
    <t>2076-3263</t>
  </si>
  <si>
    <t>Geosciences</t>
  </si>
  <si>
    <t>10.3390/geosciences12090344</t>
  </si>
  <si>
    <t>4T6WB</t>
  </si>
  <si>
    <t>WOS:000858253600001</t>
  </si>
  <si>
    <t>Traill, CD; Weis, J; Wynn-Edwards, C; Perron, MMG; Chase, Z; Bowie, AR</t>
  </si>
  <si>
    <t>Traill, Christopher D.; Weis, Jakob; Wynn-Edwards, Cathryn; Perron, Morgane M. G.; Chase, Zanna; Bowie, Andrew R.</t>
  </si>
  <si>
    <t>Lithogenic Particle Flux to the Subantarctic Southern Ocean: A Multi-Tracer Estimate Using Sediment Trap Samples</t>
  </si>
  <si>
    <t>POLAR FRONTAL ZONES; DEEP-OCEAN; NORTH-ATLANTIC; NEW-ZEALAND; ATMOSPHERIC DEPOSITION; SINKING PARTICLES; CARBONATE EXPORT; BIOLOGICAL PUMP; MIXED-LAYER; DUST</t>
  </si>
  <si>
    <t>Mineral dust is a key source of essential micronutrients, particularly iron (Fe), for phytoplankton in the Southern Ocean. However, observations of dust deposition over the Southern Ocean are sparse, hindering assessments of its influence on marine biogeochemistry. We present a time series (2010-2019) of lithogenic particle flux estimates using sediment trap samples collected at 1,000 m depth at the subantarctic Southern Ocean Time Series (SOTS) site. Lithogenic flux was estimated using individual Fe, aluminium (Al), titanium, and thorium concentrations in sediment trap particles less than 1 mm in size. These tracers showed good agreement with one another, and their average was investigated as a proxy for mineral dust deposition. This multi-tracer average lithogenic flux exhibited strong seasonality, peaking in late spring and summer. No significant Fe enrichment was observed compared to the average upper continental crust, indicating that lithogenic material dominates particulate Fe flux at SOTS. Similar Fe:Al ratios in our samples compared to those reported in marine aerosols off southern Australia, coupled with particle trajectory analysis, suggested Australian dust constitutes the primary lithogenic source to SOTS sinking particles. Lead enrichment in our samples also highlighted an anthropogenic contribution to sinking particles, which might represent an additional aeolian source of more bio-available Fe to subantarctic waters. This study contributes a new long-term estimate of lithogenic particle fluxes and aeolian deposition over the subantarctic Southern Ocean. These estimates may enhance model representation of trace metal contribution to biogeochemical processes in the Southern Ocean.</t>
  </si>
  <si>
    <t>[Traill, Christopher D.; Weis, Jakob; Wynn-Edwards, Cathryn; Perron, Morgane M. G.; Chase, Zanna; Bowie, Andrew R.] Univ Tasmania, Inst Marine &amp; Antarctic Studies, Hobart, Tas, Australia; [Traill, Christopher D.; Wynn-Edwards, Cathryn; Bowie, Andrew R.] Australian Antarctic Partnership Program, Hobart, Tas, Australia; [Weis, Jakob] Univ Tasmania, Australian Res Council Ctr Excellence Climate Ext, Hobart, Tas, Australia; [Wynn-Edwards, Cathryn] Oceans &amp; Atmosphere Commonwealth Sci &amp; Ind Res Or, Hobart, Tas, Australia</t>
  </si>
  <si>
    <t>University of Tasmania; University of Tasmania</t>
  </si>
  <si>
    <t>Traill, CD (corresponding author), Univ Tasmania, Inst Marine &amp; Antarctic Studies, Hobart, Tas, Australia.;Traill, CD (corresponding author), Australian Antarctic Partnership Program, Hobart, Tas, Australia.</t>
  </si>
  <si>
    <t>christopher.traill@utas.edu.au</t>
  </si>
  <si>
    <t>Chase, Zanna/E-9232-2013; Traill, Christopher D/IUN-2567-2023; Perron, Morgane/HHS-1241-2022; Bowie, Andrew/C-8677-2013</t>
  </si>
  <si>
    <t>Traill, Christopher D/0000-0001-9019-8732; Weis, Jakob/0000-0002-9493-4888; Wynn-Edwards, Cathryn/0000-0001-9078-0394; Bowie, Andrew/0000-0002-5144-7799; Perron, Morgane/0000-0001-5424-7138</t>
  </si>
  <si>
    <t>Marine National Facility; Australian Antarctic Division; Australian Research Council Discovery Project grant scheme [DP190103504]; Australian Antarctic Program Partnership (AAPP); Australian Research Council (ARC) [LE0989539]</t>
  </si>
  <si>
    <t>Marine National Facility(Commonwealth Scientific &amp; Industrial Research Organisation (CSIRO)); Australian Antarctic Division; Australian Research Council Discovery Project grant scheme(Australian Research Council); Australian Antarctic Program Partnership (AAPP); Australian Research Council (ARC)(Australian Research Council)</t>
  </si>
  <si>
    <t>The authors wish to acknowledge and give thanks to Axel Durand for his knowledge and expertise in sediment digestion; the assistance and expertise of Ashley Townsend (UTAS CSL) for ICP-MS data acquisition and data interpretation; the IMAS Trace Element Laboratory, Sediment Laboratory and aerosol teams for their support and analytical critique of results; Thomas Trull for review of manuscript during preparation; Michael Ellwood was Chief Scientist of the voyage IN2018_V02 on R/V Investigator, which collected sediment core sample KC07. Southern Ocean Time Series is a facility of the Integrated Marine Observing System (IMOS) operated by the CSIRO and Bureau of Meteorology with ship support from the Marine National Facility and the Australian Antarctic Division. IMOS is enabled by the National Collaboration Research Infrastructure Strategy. The authors wish to gratefully acknowledge project funding provided by the Australian Research Council Discovery Project grant scheme, grant reference: DP190103504; and support of the Australian Antarctic Program Partnership (AAPP). ICP-MS analyses were undertaken at the Central Science Laboratory (CSL) at the University of Tasmania using a facility funded by an Australian Research Council (ARC) Linkage Infrastructure Equipment and Facilities grant LE0989539. Open access publishing facilitated by University of Tasmania, as part of the Wiley - University of Tasmania agreement via the Council of Australian University Librarians.</t>
  </si>
  <si>
    <t>e2022GB007391</t>
  </si>
  <si>
    <t>10.1029/2022GB007391</t>
  </si>
  <si>
    <t>4U7QW</t>
  </si>
  <si>
    <t>WOS:000858985100001</t>
  </si>
  <si>
    <t>Su, FG; Pritchard, HD; Yao, TD; Huang, JH; Ou, TH; Meng, FC; Sun, H; Li, Y; Xu, BQ; Zhu, ML; Chen, DL</t>
  </si>
  <si>
    <t>Su, Fengge; Pritchard, Hamish D.; Yao, Tandong; Huang, Jingheng; Ou, Tinghai; Meng, Fanchong; Sun, He; Li, Ying; Xu, Baiqing; Zhu, Meilin; Chen, Deliang</t>
  </si>
  <si>
    <t>Contrasting Fate of Western Third Pole's Water Resources Under 21st Century Climate Change</t>
  </si>
  <si>
    <t>western high mountain Asia; snow and glacier melt; basin flow regime; climate change; hydrological projection</t>
  </si>
  <si>
    <t>HIGH-MOUNTAIN PRECIPITATION; GAMDAM GLACIER INVENTORY; HIGH-ALTITUDE CATCHMENTS; EARTH SYSTEM MODEL; TIBETAN PLATEAU; GLOBAL CLIMATE; CHANGE IMPACTS; COUPLED MODEL; MASS-BALANCE; RIVER-BASINS</t>
  </si>
  <si>
    <t>Seasonal melting of glaciers and snow from the western Third Pole (TP) plays important role in sustaining water supplies downstream. However, the future water availability of the region, and even today's runoff regime, are both hotly debated and inadequately quantified. Here, we characterize the contemporary flow regimes and systematically assess the future evolution of total water availability, seasonal shifts, and dry and wet discharge extremes in four most meltwater-dominated basins in the western TP, by using a process-based, well-established glacier-hydrology model, well-constrained historical reference climate data, and the ensemble of 22 global climate models with an advanced statistical downscaling and bias correction technique. We show that these basins face sharply diverging water futures under 21st century climate change. In RCP scenarios 4.5 and 8.5, increased precipitation and glacier runoff in the Upper Indus and Yarkant basins more than compensate for decreased winter snow accumulation, boosting annual and summer water availability through the end of the century. In contrast, the Amu and Syr Darya basins will become more reliant on rainfall runoff as glacier ice and seasonal snow decline. Syr Darya summer river-flows, already low, will fall by 16%-30% by end-of-century, and striking increases in peak flood discharge (by &gt;60%), drought duration (by &gt;1 month) and drought intensity (by factor 4.6) will compound the considerable water-sharing challenges on this major transboundary river.</t>
  </si>
  <si>
    <t>[Su, Fengge; Yao, Tandong; Huang, Jingheng; Meng, Fanchong; Sun, He; Li, Ying; Xu, Baiqing; Zhu, Meilin] Chinese Acad Sci, State Key Lab Tibetan Plateau Earth Syst Resource, Inst Tibetan Plateau Res, Beijing, Peoples R China; [Pritchard, Hamish D.] British Antarctic Survey, Cambridge, England; [Ou, Tinghai; Chen, Deliang] Univ Gothenburg, Reg Climate Grp, Dept Earth Sci, Gothenburg, Sweden; [Meng, Fanchong] North China Univ Water Resources &amp; Elect Power, Coll Geosci &amp; Engn, Zhengzhou, Peoples R China; [Li, Ying] China Three Gorges Univ, Coll Hydraul &amp; Environm Engn, Yichang, Peoples R China</t>
  </si>
  <si>
    <t>Chinese Academy of Sciences; Institute of Tibetan Plateau Research, CAS; UK Research &amp; Innovation (UKRI); Natural Environment Research Council (NERC); NERC British Antarctic Survey; University of Gothenburg; North China University of Water Resources &amp; Electric Power; China Three Gorges University</t>
  </si>
  <si>
    <t>Su, FG (corresponding author), Chinese Acad Sci, State Key Lab Tibetan Plateau Earth Syst Resource, Inst Tibetan Plateau Res, Beijing, Peoples R China.</t>
  </si>
  <si>
    <t>fgsu@itpcas.ac.cn</t>
  </si>
  <si>
    <t>Li, Ying/AAO-5093-2020; Chen, Deliang/A-5107-2013; Ou, Tinghai/A-5068-2013</t>
  </si>
  <si>
    <t>Li, Ying/0000-0001-8499-4935; Chen, Deliang/0000-0003-0288-5618; huang, jingheng/0009-0003-9197-5611; Ou, Tinghai/0000-0002-6847-4099; Zhu, Meilin/0000-0002-6467-9732; Sun, HE/0000-0001-8305-9507</t>
  </si>
  <si>
    <t>National Natural Science Foundation of China [41988101, 41871057]; Second Tibetan Plateau Scientific Expedition and Research Program [2019QZKK0201]</t>
  </si>
  <si>
    <t>National Natural Science Foundation of China(National Natural Science Foundation of China (NSFC)); Second Tibetan Plateau Scientific Expedition and Research Program</t>
  </si>
  <si>
    <t>This work was financially supported by National Natural Science Foundation of China (41988101, 41871057) and the Second Tibetan Plateau Scientific Expedition and Research Program (2019QZKK0201). The authors thank Daqing Yang and Yi Luo for their constructive comments on this work.</t>
  </si>
  <si>
    <t>e2022EF002776</t>
  </si>
  <si>
    <t>10.1029/2022EF002776</t>
  </si>
  <si>
    <t>4U8DS</t>
  </si>
  <si>
    <t>WOS:000859018700001</t>
  </si>
  <si>
    <t>Maroni, PJ; Wilson, NG</t>
  </si>
  <si>
    <t>Maroni, Paige J.; Wilson, Nerida G.</t>
  </si>
  <si>
    <t>Multiple Doris kerguelenensis (Nudibranchia) species span the Antarctic Polar Front</t>
  </si>
  <si>
    <t>ECOLOGY AND EVOLUTION</t>
  </si>
  <si>
    <t>Antarctica; cytochrome oxidase I; direct development; mtDNA; phylogeography</t>
  </si>
  <si>
    <t>ANIMAL MITOCHONDRIAL-DNA; WEST-WIND-DRIFT; PROMACHOCRINUS-KERGUELENSIS; GENETIC-STRUCTURE; OCEAN BARRIERS; DISPERSAL; POPULATION; EVOLUTION; DIVERSITY; LINEAGES</t>
  </si>
  <si>
    <t>Despite strong historical biogeographical links between benthic faunal assemblages of the Magellan region of South America and the Antarctic Peninsula, very few studies have documented contemporary movement and gene flow in or out of the Southern Ocean, especially across the Antarctic Polar Front (APF). In fact, oceanographic barriers such as the APF and Antarctica's long geologic isolation have substantially separated the continents and facilitated the evolution of endemic marine taxa found within the Antarctic region. The Southern Ocean benthic sea slug complex, Doris kerguelenensis, are a group of direct-developing, simultaneous hermaphrodites that lack a dispersive larval stage. To date, there are 59 highly divergent species known within this complex. Here, we provide evidence to show intraspecific genetic connectivity occurs across the APF for multiple species within the D. kerguelenensis nudibranch species complex. We addressed questions of genetic connectivity by examining the phylogeographic structure of the three best-sampled D. kerguelenensis species and another three trans-APF species using the protein coding mtDNA gene, cytochrome oxidase I. We also highlight alternative refugia uses among species with the same life history traits (i.e., benthic and direct developers) and for some species, extremely large distributions are established (e.g., circumpolarity). By improving our sampling of these nudibranchs, we gain better insight into the population structure and connectivity of the Antarctic region. This work also demonstrates how difficult it is to make generalizations across Antarctic marine species, even among ecologically-similar, closely related species.</t>
  </si>
  <si>
    <t>[Maroni, Paige J.; Wilson, Nerida G.] Univ Western Australia, Sch Biol Sci M092, 35 Stirling Highway, Crawley, WA 6009, Australia; [Maroni, Paige J.; Wilson, Nerida G.] Western Australian Museum, Res &amp; Collect, Welshpool, WA, Australia; [Wilson, Nerida G.] Western Australian Museum, Securing Antarcticas Environm Future, Welshpool, WA, Australia</t>
  </si>
  <si>
    <t>University of Western Australia; Western Australian Museum; Western Australian Museum</t>
  </si>
  <si>
    <t>Maroni, PJ (corresponding author), Univ Western Australia, Sch Biol Sci M092, 35 Stirling Highway, Crawley, WA 6009, Australia.</t>
  </si>
  <si>
    <t>paige.maroni@research.uwa.edu.au</t>
  </si>
  <si>
    <t>Wilson, Nerida/G-8433-2011</t>
  </si>
  <si>
    <t>Wilson, Nerida/0000-0002-0784-0200; Maroni, Paige/0000-0002-1974-3977</t>
  </si>
  <si>
    <t>Australian Research Council [SR200100005]; Antarctic Science Foundation (ASF); Malacological Society of Australasia (MSA); University of Western Australia Oceans Institute (UWA-OI); Society of Australian Systematic Biologists (SASB); Australian Research Council [SR200100005] Funding Source: Australian Research Council</t>
  </si>
  <si>
    <t>Australian Research Council(Australian Research Council); Antarctic Science Foundation (ASF); Malacological Society of Australasia (MSA); University of Western Australia Oceans Institute (UWA-OI); Society of Australian Systematic Biologists (SASB); Australian Research Council(Australian Research Council)</t>
  </si>
  <si>
    <t>Australian Research Council, Grant/Award Number: SR200100005; Antarctic Science Foundation (ASF); Malacological Society of Australasia (MSA); University of Western Australia Oceans Institute (UWA-OI) Robson and Robertson award; Society of Australian Systematic Biologists (SASB)</t>
  </si>
  <si>
    <t>2045-7758</t>
  </si>
  <si>
    <t>ECOL EVOL</t>
  </si>
  <si>
    <t>Ecol. Evol.</t>
  </si>
  <si>
    <t>e9333</t>
  </si>
  <si>
    <t>10.1002/ece3.9333</t>
  </si>
  <si>
    <t>4T3AX</t>
  </si>
  <si>
    <t>WOS:000857995800001</t>
  </si>
  <si>
    <t>Lee, JH; Lee, SR; Han, S; Lee, PC</t>
  </si>
  <si>
    <t>Lee, Jun Ho; Lee, Seong-Rae; Han, Sejong; Lee, Pyung Cheon</t>
  </si>
  <si>
    <t>Comparative Genomic Analysis of Agarolytic Flavobacterium faecale WV33T</t>
  </si>
  <si>
    <t>agarase; CAZymes; Flavobacterium faecale; comparative genomics</t>
  </si>
  <si>
    <t>BETA-AGARASE; SP-NOV.; PURIFICATION; BACTERIUM; SEQUENCE; ENZYME</t>
  </si>
  <si>
    <t>Flavobacteria are widely dispersed in a variety of environments and produce various polysaccharide-degrading enzymes. Here, we report the complete genome of Flavobacterium faecale WV33(T), an agar-degrading bacterium isolated from the stools of Antarctic penguins. The sequenced genome of F. faecale WV33(T) represents a single circular chromosome (4,621,116 bp, 35.2% G + C content), containing 3984 coding DNA sequences and 85 RNA-coding genes. The genome of F. faecale WV33(T) contains 154 genes that encode carbohydrate-active enzymes (CAZymes). Among the CAZymes, seven putative genes encoding agarases have been identified in the genome. Transcriptional analysis revealed that the expression of these putative agarases was significantly enhanced by the presence of agar in the culture medium, suggesting that these proteins are involved in agar hydrolysis. Pangenome analysis revealed that the genomes of the 27 Flavobacterium type strains, including F. faecale WV33(T), tend to be very plastic, and Flavobacterium strains are unique species with a tiny core genome and a large non-core region. The average nucleotide identity and phylogenomic analysis of the 27 Flavobacterium-type strains showed that F. faecale WV33(T) was positioned in a unique clade in the evolutionary tree.</t>
  </si>
  <si>
    <t>[Lee, Jun Ho; Lee, Seong-Rae; Lee, Pyung Cheon] Ajou Univ, Dept Mol Sci &amp; Technol, Suwon 16499, South Korea; [Han, Sejong] Univ Sci &amp; Technol, Dept Polar Sci, Incheon 21990, South Korea</t>
  </si>
  <si>
    <t>Ajou University</t>
  </si>
  <si>
    <t>Lee, PC (corresponding author), Ajou Univ, Dept Mol Sci &amp; Technol, Suwon 16499, South Korea.</t>
  </si>
  <si>
    <t>pclee@ajou.ac.kr</t>
  </si>
  <si>
    <t>Lee, Pyung Cheon/0000-0003-2014-6587; Lee, Seong-Rae/0000-0001-6752-2151; HAN, Se Jong/0000-0001-9576-2179</t>
  </si>
  <si>
    <t>National Research Foundation of Korea (NRF) [2020R1A2C3008889]; Korea Institute of Marine Science and Technology Promotion (KIMST) - Ministry of Oceans and Fisheries [20220258]</t>
  </si>
  <si>
    <t>National Research Foundation of Korea (NRF)(National Research Foundation of Korea); Korea Institute of Marine Science and Technology Promotion (KIMST) - Ministry of Oceans and Fisheries(Korea Institute of Marine Science &amp; Technology Promotion (KIMST))</t>
  </si>
  <si>
    <t>This research was funded by the National Research Foundation of Korea (NRF) (2020R1A2C3008889) and the Korea Institute of Marine Science and Technology Promotion (KIMST) funded by the Ministry of Oceans and Fisheries (20220258).</t>
  </si>
  <si>
    <t>10.3390/ijms231810884</t>
  </si>
  <si>
    <t>4T6IH</t>
  </si>
  <si>
    <t>WOS:000858217800001</t>
  </si>
  <si>
    <t>Bertini, L; Perazzolli, M; Proietti, S; Capaldi, G; Savatin, DV; Bigini, V; Longa, CMO; Basaglia, M; Favaro, L; Casella, S; Fongaro, B; de Laureto, PP; Caruso, C</t>
  </si>
  <si>
    <t>Bertini, Laura; Perazzolli, Michele; Proietti, Silvia; Capaldi, Gloria; Savatin, Daniel, V; Bigini, Valentina; Longa, Claudia Maria Oliveira; Basaglia, Marina; Favaro, Lorenzo; Casella, Sergio; Fongaro, Benedetta; de Laureto, Patrizia Polverino; Caruso, Carla</t>
  </si>
  <si>
    <t>Biodiversity and Bioprospecting of Fungal Endophytes from the Antarctic Plant Colobanthus quitensis</t>
  </si>
  <si>
    <t>JOURNAL OF FUNGI</t>
  </si>
  <si>
    <t>Antarctic fungi; DNA barcoding; culturomics; extracellular enzymes; bioactive compounds; plant-fungus interaction</t>
  </si>
  <si>
    <t>ANGIOSPERMS DESCHAMPSIA-ANTARCTICA; ALZHEIMERS-DISEASE; OXIDATIVE STRESS; ENZYMES; GROWTH; ISOFLAVONOIDS; TEMPERATURE; PERFORMANCE; FLAVONOIDS; DIVERSITY</t>
  </si>
  <si>
    <t>Microorganisms from extreme environments are considered as a new and valuable reservoir of bioactive molecules of biotechnological interest and are also utilized as tools for enhancing tolerance to (a)biotic stresses in crops. In this study, the fungal endophytic community associated with the leaves of the Antarctic angiosperm Colobanthus quitensis was investigated as a new source of bioactive molecules. We isolated 132 fungal strains and taxonomically annotated 26 representative isolates, which mainly belonged to the Basidiomycota division. Selected isolates of Trametes sp., Lenzites sp., Sistotrema sp., and Peniophora sp. displayed broad extracellular enzymatic profiles; fungal extracts from some of them showed dose-dependent antitumor activity and inhibited the formation of amyloid fibrils of alpha-synuclein and its pathological mutant E46K. Selected fungal isolates were also able to promote secondary root development and fresh weight increase in Arabidopsis and tomato and antagonize the growth of pathogenic fungi harmful to crops. This study emphasizes the ecological and biotechnological relevance of fungi from the Antarctic ecosystem and provides clues to the bioprospecting of Antarctic Basidiomycetes fungi for industrial, agricultural, and medical applications.</t>
  </si>
  <si>
    <t>[Bertini, Laura; Proietti, Silvia; Capaldi, Gloria; Caruso, Carla] Univ Tuscia, Dept Ecol &amp; Biol Sci, I-01100 Viterbo, Italy; [Perazzolli, Michele] Univ Trento, Ctr Agr Food Environm C3A, Via E Mach 1, I-38098 San Michele All Adige, Italy; [Perazzolli, Michele; Longa, Claudia Maria Oliveira] Fdn Edmund Mach, Res &amp; Innovat Ctr, Via E Mach 1, I-38098 San Michele All Adige, Italy; [Savatin, Daniel, V; Bigini, Valentina] Univ Tuscia, Dept Agr &amp; Forest Sci, Via S Camillo de Lellis, I-01100 Viterbo, Italy; [Basaglia, Marina; Favaro, Lorenzo; Casella, Sergio] Univ Padua, Dept Agron Food Nat Resources Anim &amp; Environm, Viale Univ 16, I-35020 Padua, Italy; [Fongaro, Benedetta; de Laureto, Patrizia Polverino] Univ Padua, Dept Pharmaceut &amp; Pharmacol Sci, Via F Marzolo 5, I-35131 Padua, Italy</t>
  </si>
  <si>
    <t>Tuscia University; University of Trento; Fondazione Edmund Mach; Tuscia University; University of Padua; University of Padua</t>
  </si>
  <si>
    <t>Caruso, C (corresponding author), Univ Tuscia, Dept Ecol &amp; Biol Sci, I-01100 Viterbo, Italy.;de Laureto, PP (corresponding author), Univ Padua, Dept Pharmaceut &amp; Pharmacol Sci, Via F Marzolo 5, I-35131 Padua, Italy.</t>
  </si>
  <si>
    <t>patrizia.polverinodelaureto@unipd.it; caruso@unitus.it</t>
  </si>
  <si>
    <t>Savatin, Daniel/W-5577-2019; Perazzolli, Michele/B-3636-2012</t>
  </si>
  <si>
    <t>Savatin, Daniel/0000-0002-2165-1369; FAVARO, LORENZO/0000-0002-5650-4422; OLIVEIRA LONGA, CLAUDIA MARIA/0000-0003-2819-2844; Fongaro, Benedetta/0000-0003-0275-0190; Bigini, Valentina/0000-0001-9415-3582; BERTINI, Laura/0000-0001-6335-3880; Perazzolli, Michele/0000-0001-7218-9963; BASAGLIA, MARINA/0000-0002-5232-5822; proietti, silvia/0000-0002-4795-3293; Polverino de Laureto, Patrizia/0000-0002-0367-6781</t>
  </si>
  <si>
    <t>Ministero dell'Universita e della Ricerca (MUR) in the framework of the National Program for Antarctic Research (PNRA) [PNRA18_00147]; University of Padova [DOR2251254/22, DOR2107797/21, DOR2084579/20]</t>
  </si>
  <si>
    <t>Ministero dell'Universita e della Ricerca (MUR) in the framework of the National Program for Antarctic Research (PNRA)(Ministry of Education, Universities and Research (MIUR)); University of Padova</t>
  </si>
  <si>
    <t>This research was funded by the Ministero dell'Universita e della Ricerca (MUR) in the framework of the National Program for Antarctic Research (PNRA), grant number PNRA18_00147 (Impact of climate change on plant-microbe interaction: a focus on tripartite plant-fungus-virus relationship and on their bioactive compounds) and by the University of Padova DOR2251254/22, DOR2107797/21 and DOR2084579/20.</t>
  </si>
  <si>
    <t>2309-608X</t>
  </si>
  <si>
    <t>J FUNGI</t>
  </si>
  <si>
    <t>J. Fungi</t>
  </si>
  <si>
    <t>10.3390/jof8090979</t>
  </si>
  <si>
    <t>Microbiology; Mycology</t>
  </si>
  <si>
    <t>4T6VE</t>
  </si>
  <si>
    <t>WOS:000858251300001</t>
  </si>
  <si>
    <t>Tang, CL; Hao, DW; Wei, YY; Zhu, FZ; Wu, X; Tian, XM</t>
  </si>
  <si>
    <t>Tang, Chaoli; Hao, Dewei; Wei, Yuanyuan; Zhu, Fangzheng; Wu, Xin; Tian, Xiaomin</t>
  </si>
  <si>
    <t>Time-Frequency Characteristics of Global SST Anomalies in the Past 100 Years: A Metrological Approach</t>
  </si>
  <si>
    <t>JOURNAL OF MARINE SCIENCE AND ENGINEERING</t>
  </si>
  <si>
    <t>SST anomalies; wavelet analysis; EOF; Mann-Kendall test; SARIMA model</t>
  </si>
  <si>
    <t>ANTARCTIC CIRCUMPOLAR WAVE; TROPICAL ATLANTIC; PACIFIC; ENSO; VARIABILITY; PRECIPITATION; OSCILLATION; MONSOON; MODES</t>
  </si>
  <si>
    <t>To comprehensively explore the characteristics of global SST anomalies, a novel time-frequency combination method, based on the COBE data and NCEP/NCAR reanalysis products in the past 100 years, was developed. From the view of the time domain, the global SST generally showed an upward trend from 1920 to 2019, the upward trend was significant after 1988, and the growth mutation occurred in 1930, according to the Mann-Kendall (MK) mutation test. Moreover, we extracted spatiotemporal modes of SST anomalies' variability by empirical orthogonal function (EOF) analysis and obtained global spatial EOFs that closely correspond to regionally defined climate modes. Our results demonstrated that El Nino-Southern Oscillation (ENSO) is the typical character for the first mode of SST anomaly EOF, and Atlantic multidecadal oscillation (AMO) for the second. From the view of the frequency domain, our data suggested that there is a multi-period nesting phenomenon in global SST variations, in which the first main cycle with the most obvious oscillation was a 30-year cycle and changed in 20-year cycles, and the second cycle was a 15-year cycle and changed in 10-year cycles through wavelet analysis. As for the perspective of time-frequency characteristics, the dominant period of ENSO in the first mode of EOF is 4 years, obtained through filtering and cross wavelet transform. In addition, SST anomalies will maintain an upward trend for the next 60 months, according to the seasonal autoregressive integrated moving average (SARIMA) model, which has the potential value for predicting ENSO.</t>
  </si>
  <si>
    <t>[Tang, Chaoli; Hao, Dewei; Zhu, Fangzheng; Wu, Xin; Tian, Xiaomin] Anhui Univ Sci &amp; Technol, Inst Elect &amp; Informat Engn, Huainan 232001, Peoples R China; [Tang, Chaoli] Chinese Acad Sci, Sate Key Lab Space Weather, Beijing 100190, Peoples R China; [Wei, Yuanyuan] Anhui Univ, Sch Internet, Hefei 230039, Peoples R China</t>
  </si>
  <si>
    <t>Anhui University of Science &amp; Technology; Chinese Academy of Sciences; Anhui University</t>
  </si>
  <si>
    <t>Hao, DW (corresponding author), Anhui Univ Sci &amp; Technol, Inst Elect &amp; Informat Engn, Huainan 232001, Peoples R China.</t>
  </si>
  <si>
    <t>2020200719@aust.edu.cn</t>
  </si>
  <si>
    <t>Scientific Research Start-up Fund for High-Level Introduced Talents of Anhui University of Science and Technology [13190007]; University Natural Science Research Project of Anhui Province of China [KJ2019A0103, KJ2021A0447]; Specialized Research Fund for State Key Laboratories [201909]; National Key Research and Development Program [2017YFD0700501]</t>
  </si>
  <si>
    <t>Scientific Research Start-up Fund for High-Level Introduced Talents of Anhui University of Science and Technology; University Natural Science Research Project of Anhui Province of China; Specialized Research Fund for State Key Laboratories; National Key Research and Development Program</t>
  </si>
  <si>
    <t>This study is supported by the Scientific Research Start-up Fund for High-Level Introduced Talents of Anhui University of Science and Technology (Grant number No. 13190007), the University Natural Science Research Project of Anhui Province of China (Grant number No. KJ2019A0103; KJ2021A0447), the Specialized Research Fund for State Key Laboratories (Grant number No. 201909) and National Key Research and Development Program (Grant number No. 2017YFD0700501).</t>
  </si>
  <si>
    <t>2077-1312</t>
  </si>
  <si>
    <t>J MAR SCI ENG</t>
  </si>
  <si>
    <t>J. Mar. Sci. Eng.</t>
  </si>
  <si>
    <t>10.3390/jmse10091163</t>
  </si>
  <si>
    <t>Engineering, Marine; Engineering, Ocean; Oceanography</t>
  </si>
  <si>
    <t>4S5SF</t>
  </si>
  <si>
    <t>WOS:000857500000001</t>
  </si>
  <si>
    <t>Lopes, F; Courtillot, V; Le Mouël, JL</t>
  </si>
  <si>
    <t>Lopes, Fernando; Courtillot, Vincent; Le Mouel, Jean-Louis</t>
  </si>
  <si>
    <t>Triskeles and Symmetries of Mean Global Sea-Level Pressure</t>
  </si>
  <si>
    <t>global sea-level pressure; Taylor-Couette flow; triskeles pattern</t>
  </si>
  <si>
    <t>SINGULAR-SPECTRUM ANALYSIS; HADLEY-CELL EXPANSION; STEADY-STATE MODELS; BASIC STATE; GEOMAGNETIC-FIELD; CLIMATE-CHANGE; COUETTE; TEMPERATURE; CIRCULATION; INSTABILITY</t>
  </si>
  <si>
    <t>The evolution of mean sea-level atmospheric pressure since 1850 is analyzed using iterative singular spectrum analysis. Maps of the main components (the trends) reveal striking symmetries of order 3 and 4. The Northern Hemisphere (NH) displays a set of three positive features, forming an almost perfect equilateral triangle. The Southern Hemisphere (SH) displays a set of three positive features arranged as an isosceles triangle, with a possible fourth (weaker) feature. This geometry can be modeled as the Taylor-Couette flow of mode 3 (NH) or 4 (SH). The remarkable regularity and three-order symmetry of the NH triskeles occurs despite the lack of cylindrical symmetry of the northern continents. The stronger intensity and larger size of features in the SH is linked to the presence of the annular Antarctic Oscillation (AAO), which monitors the periodic reinforcement and weakening of the circumpolar vortex; it is a stationary mode. These components represent 70% of the variance in total pressure since 1850 and are stable in both time and space. In the remaining 30% of the variance, we have extracted quasi-periodical components with periods larger than 1 year (2% of the variance) and a harmonic sequence of the 1-year period (20% of the variance).</t>
  </si>
  <si>
    <t>[Lopes, Fernando; Courtillot, Vincent; Le Mouel, Jean-Louis] Univ Paris, Inst Phys Globe Paris, F-75005 Paris, France</t>
  </si>
  <si>
    <t>Universite Paris Cite</t>
  </si>
  <si>
    <t>Lopes, F (corresponding author), Univ Paris, Inst Phys Globe Paris, F-75005 Paris, France.</t>
  </si>
  <si>
    <t>lopesf@ipgp.fr</t>
  </si>
  <si>
    <t>Universite de Paris, IPGP</t>
  </si>
  <si>
    <t>This research was supported by the Universite de Paris, IPGP.</t>
  </si>
  <si>
    <t>10.3390/atmos13091354</t>
  </si>
  <si>
    <t>4S4AM</t>
  </si>
  <si>
    <t>WOS:000857385600001</t>
  </si>
  <si>
    <t>Shikwambana, L</t>
  </si>
  <si>
    <t>Shikwambana, Lerato</t>
  </si>
  <si>
    <t>Global Distribution of Clouds over Six Years: A Review Using Multiple Sensors and Reanalysis Data</t>
  </si>
  <si>
    <t>clouds; CALIPSO; precipitation; MERRA-2; ITCZ</t>
  </si>
  <si>
    <t>SPACEBORNE LIDAR; CLIMATE; AEROSOLS; MISSION; TOP; PRODUCTS; FRACTION</t>
  </si>
  <si>
    <t>A six-year global study of cloud distribution and cloud properties obtained from observations of the Cloud-Aerosol Lidar and Infrared Pathfinder Satellite Observations (CALIPSO), the Atmospheric Infrared Sounder (AIRS), and the Modern-Era Retrospective analysis for Research and Applications, Version 2 (MERRA-2) data is presented in this study. From the CALIPSO observations, the highest clouds for both daytime and night-time were found in the Inter Tropical Convergence Zone (ITCZ) region. The lowest cloud heights were found towards the poles due to the decrease in the tropopause height. Seasonal studies also revealed a high dominance of clouds in the 70 degrees S-80 degrees S (Antarctic) region in the June-July-August (JJA) season and a high dominance of Arctic clouds in the December-January-February (DJF) and September-October-November (SON) seasons. The coldest cloud top temperatures (CTT) were mostly observed over land in the ITCZ and the polar regions, while the warmest CTTs were mostly observed in the mid-latitudes and over the oceans. Regions with CTTs greater than 0 degrees C experienced less precipitation than regions with CTTs less than 0 degrees C.</t>
  </si>
  <si>
    <t>[Shikwambana, Lerato] South African Natl Space Agcy, Earth Observat Directorate, ZA-0001 Pretoria, South Africa; [Shikwambana, Lerato] Univ Witwatersrand, Sch Geog Archaeol &amp; Environm Studies, ZA-2050 Johannesburg, South Africa</t>
  </si>
  <si>
    <t>University of Witwatersrand</t>
  </si>
  <si>
    <t>Shikwambana, L (corresponding author), South African Natl Space Agcy, Earth Observat Directorate, ZA-0001 Pretoria, South Africa.;Shikwambana, L (corresponding author), Univ Witwatersrand, Sch Geog Archaeol &amp; Environm Studies, ZA-2050 Johannesburg, South Africa.</t>
  </si>
  <si>
    <t>lshikwambana@sansa.org.za</t>
  </si>
  <si>
    <t>Shikwambana, Lerato/0000-0003-4241-2970</t>
  </si>
  <si>
    <t>South African National Space Agency</t>
  </si>
  <si>
    <t>This research received no external funding. The APC was funded by the South African National Space Agency.</t>
  </si>
  <si>
    <t>10.3390/atmos13091514</t>
  </si>
  <si>
    <t>4S3WG</t>
  </si>
  <si>
    <t>WOS:000857374600001</t>
  </si>
  <si>
    <t>Avila, C; Buñuel, X; Carmona, F; Cotado, A; Sacristán-Soriano, O; Angulo-Preckler, C</t>
  </si>
  <si>
    <t>Avila, Conxita; Bunuel, Xavier; Carmona, Francesc; Cotado, Albert; Sacristan-Soriano, Oriol; Angulo-Preckler, Carlos</t>
  </si>
  <si>
    <t>Would Antarctic Marine Benthos Survive Alien Species Invasions? What Chemical Ecology May Tell Us</t>
  </si>
  <si>
    <t>chemical defenses; polar biology; marine natural products; marine benthic macroinvertebrates; macropredation; micropredation; non-native alien species; invasive species; global change; crabs</t>
  </si>
  <si>
    <t>SPONGE KIRKPATRICKIA-VARIALOSA; LITHODIDAE CRUSTACEA DECAPODA; CRAB PARALOMIS-BIRSTEINI; NATURAL-PRODUCTS; ILLUDALANE SESQUITERPENOIDS; FEEDING REPELLENCE; COLONIAL ASCIDIANS; CARIBBEAN SPONGES; CONTINENTAL-SLOPE; CARCINUS-MAENAS</t>
  </si>
  <si>
    <t>Many Antarctic marine benthic macroinvertebrates are chemically protected against predation by marine natural products of different types. Antarctic potential predators mostly include sea stars (macropredators) and amphipod crustaceans (micropredators) living in the same areas (sympatric). Recently, alien species (allopatric) have been reported to reach the Antarctic coasts, while deep-water crabs are suggested to be more often present in shallower waters. We decided to investigate the effect of the chemical defenses of 29 representative Antarctic marine benthic macroinvertebrates from seven different phyla against predation by using non-native allopatric generalist predators as a proxy for potential alien species. The Antarctic species tested included 14 Porifera, two Cnidaria, two Annelida, one Nemertea, two Bryozooa, three Echinodermata, and five Chordata (Tunicata). Most of these Antarctic marine benthic macroinvertebrates were chemically protected against an allopatric generalist amphipod but not against an allopatric generalist crab from temperate waters. Therefore, both a possible recolonization of large crabs from deep waters or an invasion of non-native generalist crab species could potentially alter the fundamental nature of these communities forever since chemical defenses would not be effective against them. This, together with the increasing temperatures that elevate the probability of alien species surviving, is a huge threat to Antarctic marine benthos.</t>
  </si>
  <si>
    <t>[Avila, Conxita; Bunuel, Xavier; Carmona, Francesc; Cotado, Albert; Sacristan-Soriano, Oriol; Angulo-Preckler, Carlos] Univ Barcelona, Fac Biol, Dept Evolutionary Biol Ecol &amp; Environm Sci, Barcelona 08028, Catalonia, Spain; [Avila, Conxita; Angulo-Preckler, Carlos] Univ Barcelona, Biodivers Res Inst IrBIO, Barcelona 08028, Catalonia, Spain; [Avila, Conxita] Marine Biol Lab, Whitman Ctr, Woods Hole, MA 02543 USA; [Sacristan-Soriano, Oriol] Inst Catala Recerca Aigua, C Emili Grahit 101,Edifici H2O-ICRA, Girona 17003, Catalonia, Spain; [Angulo-Preckler, Carlos] King Abdullah Univ Sci &amp; Technol, Red Sea Res Ctr RSRC, Thuwal 239556900, Saudi Arabia; [Angulo-Preckler, Carlos] King Abdullah Univ Sci &amp; Technol, Biol &amp; Environm Sci &amp; Engn Div BESE, Thuwal 239556900, Saudi Arabia</t>
  </si>
  <si>
    <t>University of Barcelona; University of Barcelona; Marine Biological Laboratory - Woods Hole; Institut Catala de Recerca de l'Aigua (ICRA); King Abdullah University of Science &amp; Technology; King Abdullah University of Science &amp; Technology</t>
  </si>
  <si>
    <t>Avila, C (corresponding author), Univ Barcelona, Fac Biol, Dept Evolutionary Biol Ecol &amp; Environm Sci, Barcelona 08028, Catalonia, Spain.;Avila, C (corresponding author), Univ Barcelona, Biodivers Res Inst IrBIO, Barcelona 08028, Catalonia, Spain.;Avila, C (corresponding author), Marine Biol Lab, Whitman Ctr, Woods Hole, MA 02543 USA.</t>
  </si>
  <si>
    <t>conxita.avila@ub.edu</t>
  </si>
  <si>
    <t>Angulo_Preckler, Carlos/A-6456-2011; Sacristan-Soriano, Oriol/M-1516-2014; Avila, Conxita/B-9466-2008</t>
  </si>
  <si>
    <t>Angulo_Preckler, Carlos/0000-0001-9028-274X; Sacristan-Soriano, Oriol/0000-0003-4900-884X; Avila, Conxita/0000-0002-5489-8376</t>
  </si>
  <si>
    <t>ACTIQUIM [CGL2007-65453/ANT, CTM2010-17415/ANT, CTM2013-42667/ANT, CTM2016-78901/ANT, PID2019-107979RB-I00/ANT]; Spanish Government; SGR (Research Quality Group) funding of the Generalitat de Catalunya [2014SGR336, 2017SGR1120]; University of Barcelona; L. &amp; A. Colwin Summer Research Fellowship; Great Generation Fund for Research of the Marine Biological Laboratory-University of Chicago, through an MBL Whitman Fellowship Award 2022</t>
  </si>
  <si>
    <t>ACTIQUIM; Spanish Government(Spanish Government); SGR (Research Quality Group) funding of the Generalitat de Catalunya(Generalitat de Catalunya); University of Barcelona; L. &amp; A. Colwin Summer Research Fellowship; Great Generation Fund for Research of the Marine Biological Laboratory-University of Chicago, through an MBL Whitman Fellowship Award 2022</t>
  </si>
  <si>
    <t>This research was funded by the ACTIQUIM(CGL2007-65453/ANT; CTM2010-17415/ANT), DISTANTCOM (CTM2013-42667/ANT), BLUEBIO (CTM2016-78901/ANT), and CHALLENGE (PID2019-107979RB-I00/ANT) research grants to C.A. by the Spanish Government and the SGR (Research Quality Group) funding of the Generalitat de Catalunya (2014SGR336; 2017SGR1120). The University of Barcelona has partially supported C.A. during her sabbatical period on Guam (USA) through the 2022 UB Mobility Program. C.A. has in part been supported during her sabbatical stay in Woods Hole, MA (USA) by competitive fellowship funds from the L. &amp; A. Colwin Summer Research Fellowship, Great Generation Fund for Research of the Marine Biological Laboratory-University of Chicago, through an MBL Whitman Fellowship Award 2022.</t>
  </si>
  <si>
    <t>10.3390/md20090543</t>
  </si>
  <si>
    <t>4S9HI</t>
  </si>
  <si>
    <t>WOS:000857742100001</t>
  </si>
  <si>
    <t>John, MS; Nagoth, JA; Ramasamy, KP; Mancini, A; Giuli, G; Miceli, C; Pucciarelli, S</t>
  </si>
  <si>
    <t>John, Maria Sindhura; Nagoth, Joseph Amruthraj; Ramasamy, Kesava Priyan; Mancini, Alessio; Giuli, Gabriele; Miceli, Cristina; Pucciarelli, Sandra</t>
  </si>
  <si>
    <t>Synthesis of Bioactive Silver Nanoparticles Using New Bacterial Strains from an Antarctic Consortium</t>
  </si>
  <si>
    <t>nanomaterials; green synthesis; capped nanoparticles; antimicrobial activity; nosocomial pathogens</t>
  </si>
  <si>
    <t>THERMAL-ADAPTATION; EUPLOTES-FOCARDII; BIOSYNTHESIS; PROTEIN</t>
  </si>
  <si>
    <t>In this study, we report on the synthesis of silver nanoparticles (AgNPs) achieved by using three bacterial strains Rhodococcus, Brevundimonas and Bacillus as reducing and capping agents, newly isolated from a consortium associated with the Antarctic marine ciliate Euplotes focardii. After incubation of these bacteria with a 1 mM solution of AgNO3 at 22 degrees C, AgNPs were synthesized within 24 h. Unlike Rhodococcus and Bacillus, the reduction of Ag+ from AgNO3 into Ag-0 has never been reported for a Brevundimonas strain. The maximum absorbances of these AgNPs in the UV-Vis spectra were in the range of 404 nm and 406 nm. EDAX spectra showed strong signals from the Ag atom and medium signals from C, N and O due to capping protein emissions. TEM analysis showed that the NPs were spherical and rod-shaped, with sizes in the range of 20 to 50 nm, and they were clustered, even though not in contact with one another. Besides aggregation, all the AgNPs showed significant antimicrobial activity. This biosynthesis may play a dual role: detoxification of AgNO3 and pathogen protection against both the bacterium and ciliate. Biosynthetic AgNPs also represent a promising alternative to conventional antibiotics against common nosocomial pathogens.</t>
  </si>
  <si>
    <t>[John, Maria Sindhura; Nagoth, Joseph Amruthraj; Ramasamy, Kesava Priyan; Mancini, Alessio; Miceli, Cristina; Pucciarelli, Sandra] Univ Camerino, Sch Biosci &amp; Vet Med, I-62032 Camerino, Italy; [John, Maria Sindhura] Univ Texas Southwestern Med Ctr Dallas, Dept Dermatol, Dallas, TX 75390 USA; [Giuli, Gabriele] Univ Camerino, Sch Sci &amp; Technol, I-62032 Camerino, Italy</t>
  </si>
  <si>
    <t>University of Camerino; University of Texas System; University of Texas Southwestern Medical Center Dallas; University of Camerino</t>
  </si>
  <si>
    <t>Pucciarelli, S (corresponding author), Univ Camerino, Sch Biosci &amp; Vet Med, I-62032 Camerino, Italy.</t>
  </si>
  <si>
    <t>sandra.pucciarelli@unicam.it</t>
  </si>
  <si>
    <t>John, Maria Sindhura/0000-0003-0745-9968; Pucciarelli, Sandra/0000-0003-4178-2689; Miceli, Cristina/0000-0002-7829-8471; GIULI, Gabriele/0000-0002-2984-5045; Nagoth, Joseph Amruthraj/0000-0002-8230-2365; Mancini, Alessio/0000-0002-4388-3769; RAMASAMY, KESAVA PRIYAN/0000-0003-0276-2239</t>
  </si>
  <si>
    <t>European Commission [PNRA18_00133 2020-2022]</t>
  </si>
  <si>
    <t>European Commission(European Union (EU)European Commission Joint Research Centre)</t>
  </si>
  <si>
    <t>This research was funded by the European Commission Marie Sklodowska-Curie Actions H2020 RISE Metable-645693 and the Italian PNRA18_00133 2020-2022.</t>
  </si>
  <si>
    <t>10.3390/md20090558</t>
  </si>
  <si>
    <t>4R9MS</t>
  </si>
  <si>
    <t>WOS:000857079200001</t>
  </si>
  <si>
    <t>Ko, SH; Lim, Y; Kim, EJ; Ko, YW; Hong, IS; Kim, S; Jung, Y</t>
  </si>
  <si>
    <t>Ko, Seong-Hee; Lim, YoonHee; Kim, Eun Jae; Ko, Young Wook; Hong, In-Sun; Kim, Sanghee; Jung, YunJae</t>
  </si>
  <si>
    <t>Antarctic Marine Algae Extracts as a Potential Natural Resource to Protect Epithelial Barrier Integrity</t>
  </si>
  <si>
    <t>Antarctic marine algae; antioxidant action; barrier organ; epithelium; anti-inflammatory action</t>
  </si>
  <si>
    <t>FATTY-ACIDS; DAMAGE; ANTIOXIDANT; MACROALGAE; METABOLISM; RADIATION; DISEASE; LIPIDS; CELLS</t>
  </si>
  <si>
    <t>The intestine and skin provide crucial protection against the external environment. Strengthening the epithelial barrier function of these organs is critical for maintaining homeostasis against inflammatory stimuli. Recent studies suggest that polar marine algae are a promising bioactive resource because of their adaptation to extreme environments. To investigate the bioactive properties of polar marine algae on epithelial cells of the intestine and skin, we created extracts of the Antarctic macroalgae Himantothallus grandifolius, Plocamium cartilagineum, Phaeurus antarcticus, and Kallymenia antarctica, analyzed the compound profiles of the extracts using gas chromatography-mass spectrometry, and tested the protective activities of the extracts on human intestinal and keratinocyte cell lines by measuring cell viability and reactive oxygen species scavenging. In addition, we assessed immune responses modulated by the extracts by real-time polymerase chain reaction, and we monitored the barrier-protective activities of the extracts on intestinal and keratinocyte cell lines by measuring transepithelial electrical resistance and fluorescence-labeled dextran flux, respectively. We identified bioactive compounds, including several fatty acids and lipid compounds, in the extracts, and found that the extracts perform antioxidant activities that remove intracellular reactive oxygen species and scavenge specific radicals. Furthermore, the Antarctic marine algae extracts increased cell viability, protected cells against inflammatory stimulation, and increased the barrier integrity of cells damaged by lipopolysaccharide or ultraviolet radiation. These results suggest that Antarctic marine algae have optimized their composition for polar environments, and furthermore, that the bioactive properties of compounds produced by Antarctic marine algae can potentially be used to develop therapeutics to promote the protective barrier function of the intestine and skin.</t>
  </si>
  <si>
    <t>[Ko, Seong-Hee; Lim, YoonHee; Jung, YunJae] Gachon Univ, Coll Med, Dept Microbiol, Incheon 21999, South Korea; [Ko, Seong-Hee; Lim, YoonHee; Hong, In-Sun; Jung, YunJae] Gachon Univ, Lee Gil Ya Canc &amp; Diabet Inst, Incheon 21999, South Korea; [Kim, Eun Jae; Ko, Young Wook; Kim, Sanghee] Korea Polar Res Inst, Div Life Sci, Incheon 21990, South Korea; [Hong, In-Sun] Gachon Univ, Coll Med, Dept Mol Med, Incheon 21999, South Korea; [Hong, In-Sun; Jung, YunJae] Gachon Univ, Gachon Adv Inst Hlth Sci &amp; Technol, Dept Hlth Sci &amp; Technol, Incheon 21999, South Korea</t>
  </si>
  <si>
    <t>Gachon University; Gachon University; Korea Polar Research Institute (KOPRI); Gachon University; Gachon University</t>
  </si>
  <si>
    <t>Jung, Y (corresponding author), Gachon Univ, Coll Med, Dept Microbiol, Incheon 21999, South Korea.;Jung, Y (corresponding author), Gachon Univ, Lee Gil Ya Canc &amp; Diabet Inst, Incheon 21999, South Korea.;Jung, Y (corresponding author), Gachon Univ, Gachon Adv Inst Hlth Sci &amp; Technol, Dept Hlth Sci &amp; Technol, Incheon 21999, South Korea.</t>
  </si>
  <si>
    <t>yjjung@gachon.ac.kr</t>
  </si>
  <si>
    <t>Ko, Seong-Hee/AAA-6948-2022</t>
  </si>
  <si>
    <t>Ko, Seong-Hee/0000-0003-2044-5640; Hong, In-Sun/0000-0002-3267-0127; JUNG, YUNJAE/0000-0002-1574-696X; KIM, SANGHEE/0000-0001-8367-573X</t>
  </si>
  <si>
    <t>Korea Polar Research Institute (KOPRI) - Ministry of Oceans and Fisheries [KOPRI PE21900]; National Research Foundation of Korea (NRF) - Korean government (MSIT) [NRF-2021R1A5A2030333]; Basic Science Research Capacity Enhancement Project through a Korea Basic Science Institute (National Research Facilities and Equipment Center) - Ministry of Education [2021R1A6C101A432]</t>
  </si>
  <si>
    <t>Korea Polar Research Institute (KOPRI) - Ministry of Oceans and Fisheries; National Research Foundation of Korea (NRF) - Korean government (MSIT)(National Research Foundation of KoreaMinistry of Science &amp; ICT (MSIT), Republic of Korea); Basic Science Research Capacity Enhancement Project through a Korea Basic Science Institute (National Research Facilities and Equipment Center) - Ministry of Education(Ministry of Education (MOE), Republic of Korea)</t>
  </si>
  <si>
    <t>This work was supported by the Korea Polar Research Institute (KOPRI) grant funded by the Ministry of Oceans and Fisheries (KOPRI PE21900), the National Research Foundation of Korea (NRF) grant funded by the Korean government (MSIT) (No. NRF-2021R1A5A2030333), and the Basic Science Research Capacity Enhancement Project through a Korea Basic Science Institute (National Research Facilities and Equipment Center) grant funded by the Ministry of Education (No. 2021R1A6C101A432).</t>
  </si>
  <si>
    <t>10.3390/md20090562</t>
  </si>
  <si>
    <t>4R4CC</t>
  </si>
  <si>
    <t>WOS:000856713200001</t>
  </si>
  <si>
    <t>Limon, ACD; Patabendige, HMLW; Azhari, A; Sun, XM; Kyle, DE; Wilson, NG; Baker, BJ</t>
  </si>
  <si>
    <t>Limon, Anne-Claire D.; Patabendige, Hiran M. L. W.; Azhari, Ala; Sun, Xingmin; Kyle, Dennis E.; Wilson, Nerida G.; Baker, Bill J.</t>
  </si>
  <si>
    <t>Chemistry and Bioactivity of the Deep-Water Antarctic Octocoral Alcyonium sp.</t>
  </si>
  <si>
    <t>alcyopterosin; Clostridium difficile; illudalane; Leishmania donovani; sesquiterpene</t>
  </si>
  <si>
    <t>ILLUDALANE SESQUITERPENOIDS</t>
  </si>
  <si>
    <t>Chemical investigation of an Antarctic deep-water octocoral has led to the isolation of four new compounds, including three illudalane sesquiterpenoids (1-3) related to the alcyopterosins, a highly oxidized steroid, alcyosterone (5), and five known alcyopterosins (4, 6-9). The structures were established by extensive 1D and 2D NMR analyses, while 9 was verified by XRD. Alcyopterosins are unusual for their nitrate ester functionalization and have been characterized with cytotoxicity related to their DNA binding properties. Alcyopterosins V (3) and E (4) demonstrated single-digit micromolar activity against Clostridium difficile, an intestinal bacterium capable of causing severe diarrhea that is increasingly associated with drug resistance. Alcyosterone (5) and several alcyopterosins were similarly potent against the protist Leishmania donovani, the causative agent of leishmaniasis, a disfiguring disease that can be fatal if not treated. While the alcyopterosin family of sesquiterpenes is known for mild cytotoxicity, the observed activity against C. difficile and L. donovani is selective for the infectious agents.</t>
  </si>
  <si>
    <t>[Limon, Anne-Claire D.; Baker, Bill J.] Univ S Florida, Dept Chem, 4202 E Fowler Ave,CHE 205, Tampa, FL 33620 USA; [Patabendige, Hiran M. L. W.; Sun, Xingmin] Univ S Florida, Morsani Coll Med, Dept Mol Med, 12901 Bruce B Downs Blvd,MDC07, Tampa, FL 33612 USA; [Azhari, Ala; Kyle, Dennis E.] Univ S Florida, USF Ctr Global Hlth &amp; Infect Dis Res, 3010 USF Banyan Cirde,IDRB 304, Tampa, FL 33612 USA; [Wilson, Nerida G.] Western Australian Museum, Collect &amp; Res, 49 Kew St,Welshpool 6106, Perth, WA 6106, Australia; [Wilson, Nerida G.] Univ Western Australia, Sch Biol Sci, 35 Stirling Highway, Crawley, WA 6009, Australia; [Limon, Anne-Claire D.] Univ Southern Indiana, Dept Chem, 8600 Univ Blvd,SC 2255, Evansville, IN 47712 USA; [Azhari, Ala] King Abdulaziz Univ, Dept Med Microbiol &amp; Parasitol, Coll Med, Jeddah 22252, Saudi Arabia; [Kyle, Dennis E.] Univ Georgia, Ctr Trop &amp; Emerging Global Dis, Athens, GA 30602 USA</t>
  </si>
  <si>
    <t>State University System of Florida; University of South Florida; State University System of Florida; University of South Florida; State University System of Florida; University of South Florida; Western Australian Museum; University of Western Australia; King Abdulaziz University; University System of Georgia; University of Georgia</t>
  </si>
  <si>
    <t>Baker, BJ (corresponding author), Univ S Florida, Dept Chem, 4202 E Fowler Ave,CHE 205, Tampa, FL 33620 USA.</t>
  </si>
  <si>
    <t>Baker, Bill/N-4312-2019; Wilson, Nerida/G-8433-2011</t>
  </si>
  <si>
    <t>Wilson, Nerida/0000-0002-0784-0200; Azhari, Ala/0000-0001-8519-2619</t>
  </si>
  <si>
    <t>US National Science Foundation [ANT-1043749, ANT-0838776, PLR-1341339]; NIH [AI103673]</t>
  </si>
  <si>
    <t>US National Science Foundation(National Science Foundation (NSF)); NIH(United States Department of Health &amp; Human ServicesNational Institutes of Health (NIH) - USA)</t>
  </si>
  <si>
    <t>This research was funded by the US National Science Foundation awards ANT-1043749 (N.G.W.) and ANT-0838776 and PLR-1341339 (B.J.B.) from the Antarctic Organisms and Ecosystems and by NIH grants AI103673 (B.J.B., D.E.K.).</t>
  </si>
  <si>
    <t>10.3390/md20090576</t>
  </si>
  <si>
    <t>4R5CX</t>
  </si>
  <si>
    <t>WOS:000856783100001</t>
  </si>
  <si>
    <t>Tang, XY; Luo, K; Dong, S; Zhang, ZD; Sun, B</t>
  </si>
  <si>
    <t>Tang, Xueyuan; Luo, Kun; Dong, Sheng; Zhang, Zidong; Sun, Bo</t>
  </si>
  <si>
    <t>Quantifying Basal Roughness and Internal Layer Continuity Index of Ice Sheets by an Integrated Means with Radar Data and Deep Learning</t>
  </si>
  <si>
    <t>ice-penetrating radar (IPR); internal layer continuity index (ILCI); roughness; deep learning</t>
  </si>
  <si>
    <t>ECHO SOUNDING DATA; ANTARCTICA IMPLICATIONS; SUBGLACIAL ROUGHNESS; BED ROUGHNESS; DYNAMICS; BENEATH; INSTITUTE; GLACIER</t>
  </si>
  <si>
    <t>Understanding englacial and subglacial structures is a fundamental method of inferring ice sheets' historical evolution and surface mass balance. The internal layer continuity index and the basal roughness are key parameters and indicators for the speculation of the relationship between the ice sheet's internal structure or bottom and ice flow. Several methods have been proposed in the past two decades to quantitatively calculate the continuity index of ice layer geometry and the roughness of the ice-bedrock interface based on radar echo signals. These methods are mainly based on the average of the absolute value of the vertical gradient of the echo signal amplitude and the standard deviation of the horizontal fluctuation of the bedrock interface. However, these methods are limited by the amount and quality of unprocessed radar datasets and have not been widely used, which also hinders further research, such as the analysis of the englacial reflectivity, the subglacial conditions, and the history of the ice sheets. In this paper, based on geophysical processing methods for radar image denoising and deep learning for ice layer and bedrock interface extraction, we propose a new method for calculating the layer continuity index and basal roughness. Using this method, we demonstrate the ice-penetrating radar data processing and compare the imaging and calculation of the radar profiles from Dome A to Zhongshan Station, East Antarctica. We removed the noise from the processed radar data, extracted ice layer continuity features, and used other techniques to verify the calculation. The potential application of this method in the future is illustrated by several examples. We believe that this method can become an effective approach for future Antarctic geophysical and glaciological research and for obtaining more information about the history and dynamics of ice sheets from their radar-extracted internal structure.</t>
  </si>
  <si>
    <t>[Tang, Xueyuan; Luo, Kun; Dong, Sheng; Zhang, Zidong; Sun, Bo] Polar Res Inst China, Key Lab Polar Sci, Minist Nat Resources MNR, Shanghai 200136, Peoples R China; [Tang, Xueyuan] Shanghai Jiao Tong Univ, Sch Oceanog, Shanghai 200230, Peoples R China; [Luo, Kun] Jilin Univ, Coll Geoexplorat Sci &amp; Technol, Changchun 130026, Peoples R China; [Dong, Sheng] Univ Sci &amp; Technol China, Sch Earth &amp; Space Sci, Hefei 230026, Peoples R China; [Dong, Sheng] Southern Univ Sci &amp; Technol, Dept Earth &amp; Space Sci, Shenzhen 518055, Peoples R China; [Zhang, Zidong] Taiyuan Univ Technol, Coll Elect &amp; Power Engn, Taiyuan 030024, Peoples R China</t>
  </si>
  <si>
    <t>Polar Research Institute of China; Ministry of Natural Resources of the People's Republic of China; Shanghai Jiao Tong University; Jilin University; Chinese Academy of Sciences; University of Science &amp; Technology of China, CAS; Southern University of Science &amp; Technology; Taiyuan University of Technology</t>
  </si>
  <si>
    <t>Tang, XY (corresponding author), Polar Res Inst China, Key Lab Polar Sci, Minist Nat Resources MNR, Shanghai 200136, Peoples R China.;Tang, XY (corresponding author), Shanghai Jiao Tong Univ, Sch Oceanog, Shanghai 200230, Peoples R China.</t>
  </si>
  <si>
    <t>tangxueyuan@pric.org.cn</t>
  </si>
  <si>
    <t>Li, Xiaoli/JVZ-4089-2024; sun, bo/JFA-9978-2023; Luo, Kun/HNQ-1811-2023</t>
  </si>
  <si>
    <t>Dong, Sheng/0000-0002-5426-9262; Tang, Xueyuan/0000-0002-6226-4891</t>
  </si>
  <si>
    <t>National Natural Science Foundation of China [41941006, 41876230, 42276257]; National Key Research and Development Program of China [2019YFC1509102]</t>
  </si>
  <si>
    <t>National Natural Science Foundation of China(National Natural Science Foundation of China (NSFC)); National Key Research and Development Program of China</t>
  </si>
  <si>
    <t>This study was supported by the National Natural Science Foundation of China (Nos. 41941006, 41876230, 42276257) and the National Key Research and Development Program of China (No.2019YFC1509102).</t>
  </si>
  <si>
    <t>10.3390/rs14184507</t>
  </si>
  <si>
    <t>4R6NV</t>
  </si>
  <si>
    <t>WOS:000856879100001</t>
  </si>
  <si>
    <t>Ingrosso, G; Giani, M; Kralj, M; Comici, C; Rivaro, P; Budillon, G; Castagno, P; Zoccarato, L; Celussi, M</t>
  </si>
  <si>
    <t>Ingrosso, Gianmarco; Giani, Michele; Kralj, Martina; Comici, Cinzia; Rivaro, Paola; Budillon, Giorgio; Castagno, Pasquale; Zoccarato, Luca; Celussi, Mauro</t>
  </si>
  <si>
    <t>Physical and biological controls on anthropogenic CO2 sink of the Ross Sea</t>
  </si>
  <si>
    <t>anthropogenic CO2; carbonate system; ocean acidification; Ross Sea; Antarctica</t>
  </si>
  <si>
    <t>NET COMMUNITY PRODUCTION; SOUTHERN-OCEAN; CARBONATE SYSTEM; DEEP CONVECTION; WATER FORMATION; SEASONAL CYCLE; TROCA APPROACH; COASTAL ZONE; LATE-SUMMER; ICE</t>
  </si>
  <si>
    <t>The Antarctic continental shelf is known as a critical anthropogenic CO2 (C-ant) sink due to its cold waters, high primary productivity, and unique circulation, which allow it to sequester large amounts of organic and inorganic carbon into the deep ocean. However, climate change is currently causing significant alteration to the Antarctic marine carbon cycle, with unknown consequences on the C-ant uptake capacity, making model-based estimates of future ocean acidification of polar regions highly uncertain. Here, we investigated the marine carbonate system in the Ross Sea in order to assess the current anthropogenic carbon content and how physical-biological processes can control the C-ant sequestration along the shelf-slope continuum. The Winter Water mass generated from convective events was characterized by high C-ant level (28 mu mol kg(-1)) as a consequence of the mixed layer break-up during the cold season, whereas old and less-ventilated Circumpolar Deep Water entering the Ross Sea revealed a very scarce contribution of anthropogenic carbon (7 mu mol kg(-1)). The C-ant concentration was also different between polynya areas and the shelf break, as a result of their specific hydrographic characteristics and biological processes: surface waters of the Ross Sea and Terra Nova Bay polynyas served as strong CO2 sink (up to -185 mmol m(-2)), due to the remarkable net community production, estimated from the summertime surface-dissolved inorganic carbon deficit. However, a large amount of the generated particulate organic carbon was promptly consumed by intense microbial activity, giving back carbon dioxide into the intermediate and deep layers of the continental shelf zone. Further C-ant also derived from High-Salinity Shelf Water produced during winter sea ice formation (25 mu mol kg(-1)), fueling dense shelf waters with additional input of C-ant, which was finally stored into the abyssal sink through continental slope outflow (19 mu mol kg(-1)). Our results suggest that summer biological activity over the Ross Sea shelf is pivotal for the shunt of anthropogenic CO2 between the organic and inorganic carbon pools, enhancing the ocean acidification of the upper mesopelagic zone and the long-term C-ant sequestration into the deep ocean.</t>
  </si>
  <si>
    <t>[Ingrosso, Gianmarco] Natl Res Council CNR, Inst Polar Sci ISP, Bologna, Italy; [Ingrosso, Gianmarco; Giani, Michele; Kralj, Martina; Comici, Cinzia; Celussi, Mauro] Natl Inst Oceanog &amp; Appl Geophys OGS, Oceanog Div, Trieste, Italy; [Rivaro, Paola] Univ Genoa, Dept Chem &amp; Ind Chem, Genoa, Italy; [Budillon, Giorgio] Univ Naples Parthenope, Dept Sci &amp; Technol, Naples, Italy; [Castagno, Pasquale] Univ Messina, Dept Math Comp Sci Phys &amp; Earth Sci, Messina, Italy; [Zoccarato, Luca] Leibniz Inst Freshwater Ecol &amp; Inland Fisheries IG, Dept Plankton &amp; Microbial Ecol, Stechlin, Germany</t>
  </si>
  <si>
    <t>Consiglio Nazionale delle Ricerche (CNR); Istituto di Scienze Polari (ISP-CNR); Istituto Nazionale di Oceanografia e di Geofisica Sperimentale; University of Genoa; Parthenope University Naples; University of Messina; Leibniz Institut fur Gewasserokologie und Binnenfischerei (IGB)</t>
  </si>
  <si>
    <t>Ingrosso, G (corresponding author), Natl Res Council CNR, Inst Polar Sci ISP, Bologna, Italy.;Ingrosso, G; Giani, M (corresponding author), Natl Inst Oceanog &amp; Appl Geophys OGS, Oceanog Div, Trieste, Italy.</t>
  </si>
  <si>
    <t>gianmarco.ingrosso@isp.cnr.it; mgiani@ogs.it</t>
  </si>
  <si>
    <t>Castagno, Pasquale/HCI-3939-2022; Castagno, Pasquale/JAC-6923-2023; Giani, Michele/ABI-6113-2020</t>
  </si>
  <si>
    <t>Giani, Michele/0000-0002-3306-7725; Castagno, Pasquale/0000-0002-5705-1066; Celussi, Mauro/0000-0002-5660-6832; Zoccarato, Luca/0000-0001-8914-6396; Comici, Cinzia/0000-0002-9431-8495</t>
  </si>
  <si>
    <t>Italian Ministry of Education, University and Research (MIUR) [PNRA 2013/AN1.01]; Centro Aldo Pontremoli, part of the ENI-CNR Joint Research Agreement</t>
  </si>
  <si>
    <t>Italian Ministry of Education, University and Research (MIUR)(Ministry of Education, Universities and Research (MIUR)); Centro Aldo Pontremoli, part of the ENI-CNR Joint Research Agreement</t>
  </si>
  <si>
    <t>This study was supported by the project DEEPROSSS (DEEP ROSS Sea ecosystem functioning: new insights on the role of ventilation on microbial metabolism and diversity) in the framework of the Italian Program for Research in Antarctica (project PNRA 2013/AN1.01) with funds from the Italian Ministry of Education, University and Research (MIUR). The contribution by GI was supported by the Centro Aldo Pontremoli, part of the ENI-CNR Joint Research Agreement.</t>
  </si>
  <si>
    <t>10.3389/fmars.2022.954059</t>
  </si>
  <si>
    <t>4P9DY</t>
  </si>
  <si>
    <t>WOS:000855691000001</t>
  </si>
  <si>
    <t>Han, XX; Stewart, AL; Chen, DK; Lian, T; Liu, XH; Xie, XH</t>
  </si>
  <si>
    <t>Han, Xianxian; Stewart, Andrew L.; Chen, Dake; Lian, Tao; Liu, Xiaohui; Xie, Xiaohui</t>
  </si>
  <si>
    <t>Topographic Rossby Wave-Modulated Oscillations of Dense Overflows</t>
  </si>
  <si>
    <t>SOUTHERN WEDDELL SEA; BAROCLINIC INSTABILITY; DENMARK STRAIT; BOTTOM WATER; CAPE DARNLEY; VARIABILITY; ENTRAINMENT</t>
  </si>
  <si>
    <t>The global supply of Antarctic Bottom Water (AABW) is sourced from a handful of dense overflows. Observations from the Weddell Sea indicate that the overflow there exhibits prominent oscillations accompanied by dense eddies, while the Ross Sea overflow shows no significant oscillations other than tides, yet the genesis of these oscillations and their role in mediating AABW export remain poorly understood. Here idealized model simulations are used to investigate the dynamics of these oscillations. It is shown that the dominant oscillations result from the formation of Topographic Rossby waves (TRWs) associated with baroclinic instability of the dense overflow. A key finding is that the TRWs can feed back onto the dense overflow, producing coherent subsurface eddies of the same frequency. A series of sensitivity experiments reveal that these behaviors depend strongly on the local environment: steep topographic slopes suppress the baroclinic growth of TRWs, while strong downstream along-slope flows suppress the upstream propagation of TRW energy and genesis of subsurface eddies. These results explain the varying prevalence of different oscillatory phenomena observed across different dense overflow regimes.</t>
  </si>
  <si>
    <t>[Han, Xianxian] Xiamen Univ, Coll Ocean &amp; Earth Sci, State Key Lab Marine Environm Sci, Xiamen, Peoples R China; [Han, Xianxian; Chen, Dake; Lian, Tao; Liu, Xiaohui; Xie, Xiaohui] Minist Natl Resources, State Key Lab Satellite Ocean Environm Dynam, Hangzhou, Peoples R China; [Stewart, Andrew L.] Univ Calif Los Angeles, Dept Atmospher &amp; Ocean Sci, Los Angeles, CA USA; [Chen, Dake; Lian, Tao; Liu, Xiaohui; Xie, Xiaohui] Southern Marine Sci &amp; Engn Guangdong Lab Zhuhai, Zhuhai, Peoples R China; [Chen, Dake; Lian, Tao; Xie, Xiaohui] Shanghai Jiao Tong Univ, Sch Oceanog, Shanghai, Peoples R China</t>
  </si>
  <si>
    <t>Xiamen University; University of California System; University of California Los Angeles; Southern Marine Science &amp; Engineering Guangdong Laboratory; Southern Marine Science &amp; Engineering Guangdong Laboratory (Zhuhai); Shanghai Jiao Tong University</t>
  </si>
  <si>
    <t>Chen, DK (corresponding author), Minist Natl Resources, State Key Lab Satellite Ocean Environm Dynam, Hangzhou, Peoples R China.;Chen, DK (corresponding author), Southern Marine Sci &amp; Engn Guangdong Lab Zhuhai, Zhuhai, Peoples R China.;Chen, DK (corresponding author), Shanghai Jiao Tong Univ, Sch Oceanog, Shanghai, Peoples R China.</t>
  </si>
  <si>
    <t>dchen@sio.org.cn</t>
  </si>
  <si>
    <t>Lian, Tao/HNQ-2867-2023</t>
  </si>
  <si>
    <t>Chen, Dake/0000-0002-8193-7158; Stewart, Andrew/0000-0001-5861-4070; Han, Xianxian/0000-0003-1160-7783</t>
  </si>
  <si>
    <t>Natural Science Foundation of China [41730535]; National Key R&amp;D Program of China [2019YFC1509102]; Impact and Response of Antarctic Seas to Climate Change Program [01-01-01B, 02-01-02]; National Science Foundation [OCE-1751386]</t>
  </si>
  <si>
    <t>Natural Science Foundation of China(National Natural Science Foundation of China (NSFC)); National Key R&amp;D Program of China; Impact and Response of Antarctic Seas to Climate Change Program; National Science Foundation(National Science Foundation (NSF))</t>
  </si>
  <si>
    <t>The authors thank Arnold L. Gordon for sharing the mooring data in the Ross Sea. This study was supported by the Natural Science Foundation of China (41730535), the National Key R&amp;D Program of China (2019YFC1509102), and the Impact and Response of Antarctic Seas to Climate Change Program (01-01-01B, 02-01-02). A.L.S. acknowledges support from the National Science Foundation under Grant Number OCE-1751386.</t>
  </si>
  <si>
    <t>e2022JC018702</t>
  </si>
  <si>
    <t>10.1029/2022JC018702</t>
  </si>
  <si>
    <t>4Q4EB</t>
  </si>
  <si>
    <t>WOS:000856035100001</t>
  </si>
  <si>
    <t>Montgomery, K; Williams, TJ; Brettle, M; Berengut, JF; Zhang, E; Zaugg, J; Hugenholtz, P; Ferrari, BC</t>
  </si>
  <si>
    <t>Montgomery, Kate; Williams, Timothy J.; Brettle, Merryn; Berengut, Jonathan F.; Zhang, Eden; Zaugg, Julian; Hugenholtz, Philip; Ferrari, Belinda C.</t>
  </si>
  <si>
    <t>Persistence and resistance: survival mechanisms of Candidatus Dormibacterota from nutrient-poor Antarctic soils (vol 23, pg 4276, 2021)</t>
  </si>
  <si>
    <t>ENVIRONMENTAL MICROBIOLOGY</t>
  </si>
  <si>
    <t>Hugenholtz, Philip/AAD-9138-2019</t>
  </si>
  <si>
    <t>Hugenholtz, Philip/0000-0001-5386-7925; Williams, Timothy/0000-0002-2738-3019</t>
  </si>
  <si>
    <t>1462-2912</t>
  </si>
  <si>
    <t>1462-2920</t>
  </si>
  <si>
    <t>ENVIRON MICROBIOL</t>
  </si>
  <si>
    <t>Environ. Microbiol.</t>
  </si>
  <si>
    <t>10.1111/1462-2920.16191</t>
  </si>
  <si>
    <t>4P8QA</t>
  </si>
  <si>
    <t>WOS:000855653800046</t>
  </si>
  <si>
    <t>Wang, JK; Tang, Z; Wilson, DJ; Chang, FM; Xiong, ZF; Li, DY; Li, TG</t>
  </si>
  <si>
    <t>Wang, Jiakai; Tang, Zheng; Wilson, David J.; Chang, Fengming; Xiong, Zhifang; Li, Dongyong; Li, Tiegang</t>
  </si>
  <si>
    <t>Ocean-Forced Instability of the West Antarctic Ice Sheet Since the Mid-Pleistocene</t>
  </si>
  <si>
    <t>Antarctica; WAIS instability; ocean forcing; iceberg-rafted debris; clay minerals; Sr-Nd isotopes; Pleistocene</t>
  </si>
  <si>
    <t>CONTINENTAL-MARGIN SEDIMENTS; CLAY MINERAL DISTRIBUTION; GROUNDING-LINE RETREAT; AMUNDSEN SEA EMBAYMENT; ASIAN SUMMER MONSOON; SOUTH CHINA SEA; PINE ISLAND; ROSS SEA; CLIMATE VARIABILITY; SURFACE SEDIMENTS</t>
  </si>
  <si>
    <t>Evidence on West Antarctic Ice Sheet (WAIS) instability through Pleistocene glacial/interglacial cycles can provide fundamental constraints on interactions between the climate system and cryosphere. To explore such ice sheet-ocean-climate processes on orbital timescales over the last similar to 770 ka, we provide continuous records of iceberg-rafted debris (IRD) content and clay mineralogy, supported by detrital Sr-Nd isotopes from the pronounced IRD peaks, in gravity core ANT34/A2-10 from the Amundsen abyssal plain. The IRD record reveals interglacial WAIS instability since similar to 770 ka, while comparison to the clay mineralogy record and published records of regional oceanic and atmospheric forcing suggests a temporal link with a strengthened Antarctic Circumpolar Current, enhanced deepwater ventilation, and poleward-shifted southern westerly winds. In addition, the Sr-Nd isotope signature of the detrital sediments indicates a shift in provenance around Marine Isotope Stage (MIS) 16, potentially linked to regional oceanic circulation changes. We suggest that an expanded Ross Gyre was important for controlling iceberg trajectories and sediment transport to the site before MIS 16, whereas modern-like iceberg trajectories were established after MIS 16, probably related to a poleward shift of the Amundsen Sea Low after the end of the Mid-Pleistocene Transition. This reorganization of the ocean and atmospheric circulation was followed by an interval of enhanced WAIS variability during MIS 15 to 13, which was linked to strong orbital and ocean forcing. These insights into the role of ocean-atmosphere forcing on the past behavior of the WAIS may improve our framework for understanding future changes in this region.</t>
  </si>
  <si>
    <t>[Wang, Jiakai; Chang, Fengming] Chinese Acad Sci, Inst Oceanol, Key Lab Marine Geol &amp; Environm, Qingdao, Peoples R China; [Wang, Jiakai; Chang, Fengming; Li, Tiegang] Univ Chinese Acad Sci, Beijing, Peoples R China; [Tang, Zheng; Xiong, Zhifang; Li, Tiegang] Minist Nat Resources, Inst Oceanog 1, Key Lab MarineGeol &amp; Metallogeny, Qingdao, Peoples R China; [Tang, Zheng; Chang, Fengming; Xiong, Zhifang; Li, Tiegang] Qingdao Nat Lab Marine Sci &amp; Technol, Lab Marine Geol, Qingdao, Peoples R China; [Wilson, David J.] UCL, Inst Earth &amp; Planetary Sci, London, England; [Wilson, David J.] Birkbeck Univ London, London, England; [Li, Dongyong] Ocean Univ China, Minist Educ, Key Lab Submarine Sci &amp; Prospecting Technol, Qingdao, Peoples R China</t>
  </si>
  <si>
    <t>Chinese Academy of Sciences; Institute of Oceanology, CAS; Chinese Academy of Sciences; University of Chinese Academy of Sciences, CAS; Ministry of Natural Resources of the People's Republic of China; First Institute of Oceanography, Ministry of Natural Resources; Laoshan Laboratory; University of London; University College London; University of London; Birkbeck University London; Ocean University of China</t>
  </si>
  <si>
    <t>Li, TG (corresponding author), Univ Chinese Acad Sci, Beijing, Peoples R China.;Li, TG (corresponding author), Minist Nat Resources, Inst Oceanog 1, Key Lab MarineGeol &amp; Metallogeny, Qingdao, Peoples R China.;Li, TG (corresponding author), Qingdao Nat Lab Marine Sci &amp; Technol, Lab Marine Geol, Qingdao, Peoples R China.</t>
  </si>
  <si>
    <t>tgli@fio.org.cn</t>
  </si>
  <si>
    <t>Xiong, Zhifang/HMP-3975-2023; Wilson, David/AAA-9939-2019</t>
  </si>
  <si>
    <t>Xiong, Zhifang/0000-0001-9370-0089; Wilson, David/0000-0003-2786-4688; Li, Dong-Yong/0000-0002-6322-2116; Wang, Jiakai/0000-0002-8116-5688; Chang, Fengming/0000-0002-7786-3213</t>
  </si>
  <si>
    <t>Impact and Response of Antarctic Seas to Climate Change [IRASCC2020-2022-01-03-02, IRASCC2020-2022-01-02-03]; Basic Scientific Fund for National Public Research Institutes of China [2019Q09, 2019S04, 2017Y07]; National Natural Science Foundation of China [41976080, 42076232]; Strategic Priority Research Program of the Chinese Academy of Sciences [XDB42000000]; Taishan Scholars Project Funding [ts20190963]; Natural Environment Research Council independent research fellowship [NE/T011440/1]; NERC [NE/T011440/1] Funding Source: UKRI</t>
  </si>
  <si>
    <t>Impact and Response of Antarctic Seas to Climate Change; Basic Scientific Fund for National Public Research Institutes of China; National Natural Science Foundation of China(National Natural Science Foundation of China (NSFC)); Strategic Priority Research Program of the Chinese Academy of Sciences(Chinese Academy of Sciences); Taishan Scholars Project Funding; Natural Environment Research Council independent research fellowship(UK Research &amp; Innovation (UKRI)Natural Environment Research Council (NERC)); NERC(UK Research &amp; Innovation (UKRI)Natural Environment Research Council (NERC))</t>
  </si>
  <si>
    <t>The authors thank the 34th Chinese Antarctic Expedition cruise members and the Chinese Arctic and Antarctic Administration for retrieving the sediment core. The authors are also grateful to Julia Wellner, Reed Scherer, and three anonymous reviewers for their detailed and insightful comments, which significantly helped to improve this version of the manuscript, Branwen Williams for editorial handling, and Li Wu, Zhaojie Yu, and Xun Gong for their helpful suggestions. This work was supported by Impact and Response of Antarctic Seas to Climate Change (IRASCC2020-2022-01-03-02 and 02-03), Basic Scientific Fund for National Public Research Institutes of China (Grant Nos. 2019Q09, 2019S04, and 2017Y07), the National Natural Science Foundation of China (Grant Nos. 41976080 and 42076232), the Strategic Priority Research Program of the Chinese Academy of Sciences (Grant No. XDB42000000), and the Taishan Scholars Project Funding (Grant No. ts20190963). D. J. Wilson was supported by a Natural Environment Research Council independent research fellowship (NE/T011440/1).</t>
  </si>
  <si>
    <t>e2022GC010470</t>
  </si>
  <si>
    <t>10.1029/2022GC010470</t>
  </si>
  <si>
    <t>4P2RV</t>
  </si>
  <si>
    <t>WOS:000855245400001</t>
  </si>
  <si>
    <t>Isaksen, K; Lutz, J; Sorensen, AM; Godoy, O; Ferrighi, L; Eastwood, S; Aaboe, S</t>
  </si>
  <si>
    <t>Isaksen, Ketil; Lutz, Julia; Sorensen, Atle Macdonald; Godoy, Oystein; Ferrighi, Lara; Eastwood, Steinar; Aaboe, Signe</t>
  </si>
  <si>
    <t>Advances in operational permafrost monitoring on Svalbard and in Norway</t>
  </si>
  <si>
    <t>ENVIRONMENTAL RESEARCH LETTERS</t>
  </si>
  <si>
    <t>operational monitoring; cryosphere; climate change; permafrost</t>
  </si>
  <si>
    <t>MOUNTAIN PERMAFROST; PROJECT</t>
  </si>
  <si>
    <t>The cryosphere web portal maintained by the Norwegian Meteorological Institute (MET Norway), https://cryo.met.no, provides access to the latest operational data and the current state of sea ice, snow, and permafrost in Norway, the Arctic, and the Antarctic. We present the latest addition to this portal: the operational permafrost monitoring at MET Norway and methods for visualising real-time permafrost temperature data. The latest permafrost temperatures are compared to the climatology generated from the station's data record, including median, confidence intervals, extremes, and trends. There are additional operational weather stations with extended measurement programs at these locations. The collocated monitoring offers daily updated data for studying and monitoring the current state, trends, and the effects of, e.g. extreme climate events on permafrost temperatures. Ground temperature rates obtained from the long-term records in the warmer permafrost found in Norway are typically 0.1 degrees C-0.2 degrees C per decade. In contrast, in the colder permafrost of the High Arctic on Svalbard, a warming of up to 0.7 degrees C per decade is apparent. The operational monitoring provides information faster than ever before, potentially assisting in the early detection of, e.g. record high active layer thickness and pronounced permafrost temperature increases. It may also become an important cornerstone of early warning systems for natural hazards associated with permafrost warming and degradation. Currently, data are submitted manually to the international Global Terrestrial Network for Permafrost and are scheduled for integration with World Meteorological Organisation (WMO) operational services through the WMO Global Cryosphere Watch.</t>
  </si>
  <si>
    <t>[Isaksen, Ketil; Lutz, Julia; Sorensen, Atle Macdonald; Godoy, Oystein; Ferrighi, Lara; Eastwood, Steinar] Norwegian Meteorol Inst, POB 43 Blindern, N-0313 Oslo, Norway; [Aaboe, Signe] Norwegian Meteorol Inst, POB 6314 Langnes, N-9293 Tromso, Norway</t>
  </si>
  <si>
    <t>Norwegian Meteorological Institute; Norwegian Meteorological Institute</t>
  </si>
  <si>
    <t>Isaksen, K (corresponding author), Norwegian Meteorol Inst, POB 43 Blindern, N-0313 Oslo, Norway.</t>
  </si>
  <si>
    <t>ketili@met.no</t>
  </si>
  <si>
    <t>ferrighi, lara/T-2088-2018; Isaksen, Ketil/C-6493-2011</t>
  </si>
  <si>
    <t>Isaksen, Ketil/0000-0003-2356-5330; Godoy, Oystein/0000-0001-6410-3488; Eastwood, Steinar/0000-0002-8787-0521; Sorensen, Atle/0000-0002-7401-3416; Aaboe, Signe/0000-0002-5618-4537</t>
  </si>
  <si>
    <t>Research Council of Norway [269927]; Arctic Monitoring and Assessment Programme (AMAP)</t>
  </si>
  <si>
    <t>Research Council of Norway(Research Council of Norway); Arctic Monitoring and Assessment Programme (AMAP)</t>
  </si>
  <si>
    <t>The sites are run in cooperation with the University of Oslo, the University Centre in Svalbard, the Norwegian Polar Institute, and the Norwegian University of Science and Technology. Four of the sites, at remote locations on Svalbard (Verlegenhuken, Kvadehuken, Nedre Sassendalen, and Klauva), were recently established as part of the Svalbard Integrated Arctic Earth Observing System -Infrastructure development of the Norwegian node (SIOS InfraNOR, https://siossvalbard.org/, Research Council of Norway project number 269927) and Climate-ecological Observatory for Arctic Tundra (COAT, www.coat.no/en/) projects. Part of the work related to the development of new permafrost products was supported by the Arctic Monitoring and Assessment Programme (AMAP).</t>
  </si>
  <si>
    <t>1748-9326</t>
  </si>
  <si>
    <t>ENVIRON RES LETT</t>
  </si>
  <si>
    <t>Environ. Res. Lett.</t>
  </si>
  <si>
    <t>10.1088/1748-9326/ac8e1c</t>
  </si>
  <si>
    <t>4O1EQ</t>
  </si>
  <si>
    <t>WOS:000854450900001</t>
  </si>
  <si>
    <t>Ren, XY; Zhang, L; Cai, WJ; Li, XC; Wang, CY; Jin, YS; Wu, LX</t>
  </si>
  <si>
    <t>Ren, Xuya; Zhang, Li; Cai, Wenju; Li, Xichen; Wang, Chuan-Yang; Jin, Yishuai; Wu, Lixin</t>
  </si>
  <si>
    <t>Influence of tropical Atlantic meridional dipole of sea surface temperature anomalies on Antarctic autumn sea ice</t>
  </si>
  <si>
    <t>atmospheric teleconnection; Antarctic sea ice; tropical Atlantic; interannual variability</t>
  </si>
  <si>
    <t>WAVE-ACTIVITY FLUX; ROSSBY WAVES; WIND STRESS; OCEAN; CLIMATE; VARIABILITY; PACIFIC; MODES; SST; TELECONNECTIONS</t>
  </si>
  <si>
    <t>Antarctic sea ice plays an important role in polar ecosystems and global climate, while its variability is affected by many factors. Teleconnections between the tropical and high latitudes have profound impacts on Antarctic climate changes through the stationary Rossby wave mechanism. Recent studies have connected long-term Antarctic sea ice changes to multidecadal variabilities of the tropical ocean, including the Atlantic Multidecadal Oscillation and the Interdecadal Pacific Oscillation. On interannual timescales, whether an impact exists from teleconnection of the tropical Atlantic is not clear. Here we find an impact of sea surface temperature (SST) variability of the tropical Atlantic meridional dipole mode on Antarctic sea ice that is most prominent in austral autumn. The meridional dipole SST anomalies in the tropical Atlantic force deep convection anomalies locally and over the tropical Pacific, generating stationary Rossby wave trains propagating eastward and poleward, which induce atmospheric circulation anomalies affecting sea ice. Specifically, convective anomalies over the equatorial Atlantic and Pacific are opposite-signed, accompanied by anomalous wave sources over the subtropical Southern Hemisphere. The planetary-scale atmospheric response has significant impacts on sea ice concentration anomalies in the Ross Sea, near the Antarctic Peninsula, and east of the Weddell Sea.</t>
  </si>
  <si>
    <t>[Ren, Xuya; Zhang, Li; Cai, Wenju; Wang, Chuan-Yang; Jin, Yishuai; Wu, Lixin] Ocean Univ China, Frontiers Sci Ctr Deep Ocean Multispheres &amp; Earth, Qingdao, Peoples R China; [Ren, Xuya; Zhang, Li; Cai, Wenju; Wang, Chuan-Yang; Jin, Yishuai; Wu, Lixin] Ocean Univ China, Key Lab Phys Oceanog, Qingdao, Peoples R China; [Ren, Xuya; Zhang, Li; Cai, Wenju; Wang, Chuan-Yang; Wu, Lixin] Qingdao Natl Lab Marine Sci &amp; Technol, Qingdao, Peoples R China; [Cai, Wenju] CSIRO Oceans &amp; Atmosphere Flagship, Aspendale, Vic 3195, Australia; [Li, Xichen] Chinese Acad Sci, Inst Atmospher Phys, Beijing 100029, Peoples R China</t>
  </si>
  <si>
    <t>Ocean University of China; Ocean University of China; Laoshan Laboratory; Commonwealth Scientific &amp; Industrial Research Organisation (CSIRO); Chinese Academy of Sciences; Institute of Atmospheric Physics, CAS</t>
  </si>
  <si>
    <t>Zhang, L (corresponding author), Ocean Univ China, Frontiers Sci Ctr Deep Ocean Multispheres &amp; Earth, Qingdao, Peoples R China.;Zhang, L (corresponding author), Ocean Univ China, Key Lab Phys Oceanog, Qingdao, Peoples R China.;Zhang, L (corresponding author), Qingdao Natl Lab Marine Sci &amp; Technol, Qingdao, Peoples R China.</t>
  </si>
  <si>
    <t>zhangli@ouc.edu.cn</t>
  </si>
  <si>
    <t>Li, Xichen/ISB-4663-2023; Cai, Wei-Jun/C-1361-2013</t>
  </si>
  <si>
    <t>Zhang, Li/0000-0001-8036-0628; Li, Xichen/0000-0001-6325-6626</t>
  </si>
  <si>
    <t>National Key Research and Development Program of China [2019YFC1509103, 2019YFA0607001]; National Natural Science Foundation of China (NSFC) Projects [41976193]; Strategic Priority Research Program of Chinese Academy of Sciences [XDB40000000]</t>
  </si>
  <si>
    <t>National Key Research and Development Program of China; National Natural Science Foundation of China (NSFC) Projects(National Natural Science Foundation of China (NSFC)); Strategic Priority Research Program of Chinese Academy of Sciences(Chinese Academy of Sciences)</t>
  </si>
  <si>
    <t>This work is supported by National Key Research and Development Program of China (2019YFC1509103, 2019YFA0607001), National Natural Science Foundation of China (NSFC) Projects (41976193), Strategic Priority Research Program of Chinese Academy of Sciences (XDB40000000).</t>
  </si>
  <si>
    <t>10.1088/1748-9326/ac8f5b</t>
  </si>
  <si>
    <t>4N1BO</t>
  </si>
  <si>
    <t>WOS:000853753700001</t>
  </si>
  <si>
    <t>Kim, BH; Seo, KW; Lee, CK; Kim, JS; Chen, JL; Wilson, CR</t>
  </si>
  <si>
    <t>Kim, Byeong-Hoon; Seo, Ki-Weon; Lee, Choon-Ki; Kim, Jae-Seung; Chen, Jianli; Wilson, Clark R.</t>
  </si>
  <si>
    <t>Antarctic Ice Mass Change (2003-2016) Jointly Estimated by Satellite Gravimetry and Altimetry</t>
  </si>
  <si>
    <t>JOURNAL OF GEOPHYSICAL RESEARCH-SOLID EARTH</t>
  </si>
  <si>
    <t>ISOSTATIC-ADJUSTMENT MODEL; AMUNDSEN SEA EMBAYMENT; EAST ANTARCTICA; STREAM-C; SHEET; STAGNATION; BALANCE; UPLIFT; ERROR; RADAR</t>
  </si>
  <si>
    <t>Accurate estimation of ongoing Antarctic ice mass change is important to predict future ice mass loss and subsequent sea level rise. Over the past two decades, Antarctic ice mass changes have been observed by the gravity recovery and climate experiment (GRACE) gravity mission, but the low spatial resolution of GRACE has limited understanding of glacial-scale contributions. In this study, we combine GRACE and altimetry data to obtain mass change estimates with greatly improved spatial resolution. Combined estimates are obtained by a constrained linear deconvolution algorithm used in a previous GRACE study. Satellite altimetry observations are introduced as an a priori and resulting estimates retain the high spatial resolution of satellite altimetry, but when smoothed agree with low resolution GRACE data. These glacial-scale estimates also agree with ice budget calculations using the input-output method.</t>
  </si>
  <si>
    <t>[Kim, Byeong-Hoon; Lee, Choon-Ki] Korea Polar Res Inst, Div Glacial Environm Res, Incheon, South Korea; [Seo, Ki-Weon; Kim, Jae-Seung] Seoul Natl Univ, Dept Earth Sci Educ, Seoul, South Korea; [Chen, Jianli] Hong Kong Polytech Univ, Dept Land Surveying &amp; Geoinformat, Hong Kong, Peoples R China; [Chen, Jianli] Hong Kong Polytech Univ, Res Inst Land &amp; Space, Hong Kong, Peoples R China; [Wilson, Clark R.] Univ Texas Austin, Ctr Space Res, Austin, TX 78712 USA; [Wilson, Clark R.] Univ Texas Austin, Dept Geol Sci, Jackson Sch Geosci, Austin, TX USA</t>
  </si>
  <si>
    <t>Korea Polar Research Institute (KOPRI); Seoul National University (SNU); Hong Kong Polytechnic University; Hong Kong Polytechnic University; University of Texas System; University of Texas Austin; University of Texas System; University of Texas Austin</t>
  </si>
  <si>
    <t>Seo, KW (corresponding author), Seoul Natl Univ, Dept Earth Sci Educ, Seoul, South Korea.</t>
  </si>
  <si>
    <t>seokiweon@snu.ac.kr</t>
  </si>
  <si>
    <t>Seo, Ki-weon/AAH-7729-2021</t>
  </si>
  <si>
    <t>Seo, Ki-weon/0000-0001-5523-4996; Wilson, Clark/0000-0003-1288-3245; Kim, Byeong-Hoon/0000-0001-8128-6618; Kim, Jae-Seung/0000-0001-7911-7858; Chen, Jianli/0000-0001-5405-8441</t>
  </si>
  <si>
    <t>Korea Institute of Marine Science &amp; Technology Promotion (KIMST) - Ministry of Ocean Fisheries [KIMST 20190361]; National Research Foundation of Korea (NRF) [2020R1A2C2006857]; PolyU SHS research fund; LSGI research fund; NASA GRACE Follow-On Project [80NSSC20K0820]; NASA ESI Program [NNX17AG96G]; NASA [NNX17AG96G, 1001621] Funding Source: Federal RePORTER</t>
  </si>
  <si>
    <t>Korea Institute of Marine Science &amp; Technology Promotion (KIMST) - Ministry of Ocean Fisheries; National Research Foundation of Korea (NRF)(National Research Foundation of Korea); PolyU SHS research fund; LSGI research fund; NASA GRACE Follow-On Project; NASA ESI Program; NASA(National Aeronautics &amp; Space Administration (NASA))</t>
  </si>
  <si>
    <t>This work was supported by the Korea Institute of Marine Science &amp; Technology Promotion (KIMST) grant funded by the Ministry of Ocean Fisheries (KIMST 20190361) and National Research Foundation of Korea (NRF) grant (NO. 2020R1A2C2006857). JC was supported by PolyU SHS and LSGI research funds and CRW were supported by NASA GRACE Follow-On Project (grant 80NSSC20K0820) and NASA ESI Program (grant NNX17AG96G). We thank Matt King and an anonymous reviewer for their helpful comments for improving our manuscript.</t>
  </si>
  <si>
    <t>2169-9313</t>
  </si>
  <si>
    <t>2169-9356</t>
  </si>
  <si>
    <t>J GEOPHYS RES-SOL EA</t>
  </si>
  <si>
    <t>J. Geophys. Res.-Solid Earth</t>
  </si>
  <si>
    <t>e2021JB023297</t>
  </si>
  <si>
    <t>10.1029/2021JB023297</t>
  </si>
  <si>
    <t>4N2VW</t>
  </si>
  <si>
    <t>WOS:000853879200001</t>
  </si>
  <si>
    <t>Smith, W; Bhattarai, U; MacMartin, DG; Lee, WR; Visioni, D; Kravitz, B; Rice, CV</t>
  </si>
  <si>
    <t>Smith, Wake; Bhattarai, Umang; MacMartin, Douglas G.; Lee, Walker Raymond; Visioni, Daniele; Kravitz, Ben; Rice, Christian, V</t>
  </si>
  <si>
    <t>A subpolar-focused stratospheric aerosol injection deployment scenario</t>
  </si>
  <si>
    <t>ENVIRONMENTAL RESEARCH COMMUNICATIONS</t>
  </si>
  <si>
    <t>solar geoengineering; polar geoengineering; climate engineering; stratospheric aerosol injection; permafrost melt prevention</t>
  </si>
  <si>
    <t>CLIMATE RESPONSE; SULFATE; DESIGN; MODEL; AMPLIFICATION; IMPACTS; SPACE; ICE</t>
  </si>
  <si>
    <t>Stratospheric aerosol injection (SAI) is a prospective climate intervention technology that would seek to abate climate change by deflecting back into space a small fraction of the incoming solar radiation. While most consideration given to SAI assumes a global intervention, this paper considers an alternative scenario whereby SAI might be deployed only in the subpolar regions. Subpolar deployment would quickly envelope the poles as well and could arrest or reverse ice and permafrost melt at high latitudes. This would yield global benefit by retarding sea level rise. Given that effective SAI deployment could be achieved at much lower altitudes in these regions than would be required in the tropics, it is commonly assumed that subpolar deployment would present fewer aeronautical challenges. An SAI deployment intended to reduce average surface temperatures in both the Arctic and Antarctic regions by 2 degrees C is deemed here to be feasible at relatively low cost with conventional technologies. However, we do not find that such a deployment could be undertaken with a small fleet of pre-existing aircraft, nor that relegating such a program to these sparsely populated regions would obviate the myriad governance challenges that would confront any such deployment. Nevertheless, given its feasibility and potential global benefit, the prospect of subpolar-focused SAI warrants greater attention.</t>
  </si>
  <si>
    <t>[Smith, Wake] Yale Coll, New Haven, CT 06520 USA; [Smith, Wake] Harvard Kennedy Sch, Mossavar Rahmani Ctr Business &amp; Govt, Cambridge, MA 02138 USA; [MacMartin, Douglas G.; Lee, Walker Raymond; Visioni, Daniele] Cornell Univ, Sibley Sch Mech &amp; Aerosp Engn, Ithaca, NY 14853 USA; [Kravitz, Ben] Indiana Univ, Dept Earth &amp; Atmospher Sci, Bloomington, IN USA; [Kravitz, Ben] Pacific Northwest Natl Lab, Atmospher Sci &amp; Global Change Div, Richland, WA 99352 USA; [Rice, Christian, V] Amer Inst Aeronaut &amp; Astronaut, Reston, VA USA; [Rice, Christian, V] VPE Aerosp Consulting LLC, St Louis, MO 63021 USA</t>
  </si>
  <si>
    <t>Yale University; Harvard University; Cornell University; Indiana University System; Indiana University Bloomington; United States Department of Energy (DOE); Pacific Northwest National Laboratory</t>
  </si>
  <si>
    <t>umang.bhattarai@gmail.com</t>
  </si>
  <si>
    <t>MacMartin, Douglas/AAB-5314-2020; Bhattarai, Umang/HIZ-8858-2022; MacMartin, Douglas/A-6333-2016; Visioni, Daniele/O-7824-2016; Kravitz, Ben/P-7925-2014</t>
  </si>
  <si>
    <t>MacMartin, Douglas/0000-0003-1987-9417; Visioni, Daniele/0000-0002-7342-2189; Kravitz, Ben/0000-0001-6318-1150; Lee, Walker/0000-0003-0671-8083; Bhattarai, Umang/0000-0002-4414-7229</t>
  </si>
  <si>
    <t>2515-7620</t>
  </si>
  <si>
    <t>ENVIRON RES COMMUN</t>
  </si>
  <si>
    <t>Environ. Res. Commun.</t>
  </si>
  <si>
    <t>10.1088/2515-7620/ac8cd3</t>
  </si>
  <si>
    <t>4N4JY</t>
  </si>
  <si>
    <t>WOS:000853986100001</t>
  </si>
  <si>
    <t>Bradley, AT; Bett, DT; Dutrieux, P; De Rydt, J; Holland, PR</t>
  </si>
  <si>
    <t>Bradley, A. T.; Bett, D. T.; Dutrieux, P.; De Rydt, J.; Holland, P. R.</t>
  </si>
  <si>
    <t>The Influence of Pine Island Ice Shelf Calving on Basal Melting</t>
  </si>
  <si>
    <t>calving; ice-shelf; melting; Antarctica; ice-sheet</t>
  </si>
  <si>
    <t>GROUNDING LINE RETREAT; AMUNDSEN SEA; WEST ANTARCTICA; OCEAN CIRCULATION; GLACIER; PARAMETERIZATION; DRIVEN; RATES; DISCHARGE; THWAITES</t>
  </si>
  <si>
    <t>The combination of the Pine Island Ice Shelf (PIIS) draft and a seabed ridge beneath it form a topographic barrier, restricting access of warm Circumpolar Deep Water to a cavity inshore of the ridge, thus exerting an important control on PIIS basal ablation. In addition, PIIS has recently experienced several large calving events and further calving could significantly alter the cavity geometry. Changes in the ice front location, together with changes in ice thickness, might relax the topographic barrier and thus significantly change basal melt rates. Here, we consider the impact of past, and possible future, calving events on PIIS melt rates. We use a high-resolution ocean model to simulate melt rates in both an idealized domain whose geometry captures the salient features of Pine Island Glacier, and a realistic geometry accurately resembling it, to explore how calving affects melt rates. The idealized simulations reveal that the melt response to calving has a sensitive dependence on the thickness of the gap between PIIS and the seabed ridge and inform our interpretation of the realistic simulations, which suggest that PIIS melt rates did not respond significantly to recent calving. However, the mean melt rate increases approximately linearly with further calving, and is amplified by approximately 10% relative to present day once the ice front reaches the ridge-crest, taking less than one decade if calving maintains its present rate. This provides strong evidence that calving may represent an important, but as yet unexplored, contribution to the ice-ocean sensitivity of the West Antarctic Ice Sheet.</t>
  </si>
  <si>
    <t>[Bradley, A. T.; Bett, D. T.; Dutrieux, P.; Holland, P. R.] British Antarctic Survey, Cambridge, England; [De Rydt, J.] Northumbria Univ, Dept Geog &amp; Environm Sci, Newcastle Upon Tyne, Tyne &amp; Wear, England</t>
  </si>
  <si>
    <t>UK Research &amp; Innovation (UKRI); Natural Environment Research Council (NERC); NERC British Antarctic Survey; Northumbria University</t>
  </si>
  <si>
    <t>Bradley, AT (corresponding author), British Antarctic Survey, Cambridge, England.</t>
  </si>
  <si>
    <t>aleey@bas.ac.uk</t>
  </si>
  <si>
    <t>Holland, Paul R/G-2796-2012; Dutrieux, Pierre/GVS-2890-2022; Bradley, Alex/GRO-6619-2022; De Rydt, Jan/H-5692-2018</t>
  </si>
  <si>
    <t>Dutrieux, Pierre/0000-0002-8066-934X; Bett, David/0000-0003-3118-9902; De Rydt, Jan/0000-0002-2978-8706; Bradley, Alexander/0000-0001-8381-5317</t>
  </si>
  <si>
    <t>NERC [NE/S010475/1]; TiPACCs project from the European Union's Horizon 2020 research and innovation programme [820575]; NSF [OPP-1643285]; NASA MAP program; H2020 Societal Challenges Programme [820575] Funding Source: H2020 Societal Challenges Programme</t>
  </si>
  <si>
    <t>NERC(UK Research &amp; Innovation (UKRI)Natural Environment Research Council (NERC)); TiPACCs project from the European Union's Horizon 2020 research and innovation programme; NSF(National Science Foundation (NSF)); NASA MAP program(National Aeronautics &amp; Space Administration (NASA)); H2020 Societal Challenges Programme(Horizon 2020European Union (EU)H2020 Societal Challenges Programme)</t>
  </si>
  <si>
    <t>A. T. B., D. T. B., and P. R. H are supported by the NERC Grant NE/S010475/1. J. D. R. is supported by the TiPACCs project, which receives funding from the European Union's Horizon 2020 research and innovation programme under grant agreement no. 820575. NSF (through grant OPP-1643285) and the NASA MAP program provided support to P.D.</t>
  </si>
  <si>
    <t>e2022JC018621</t>
  </si>
  <si>
    <t>10.1029/2022JC018621</t>
  </si>
  <si>
    <t>4N6HC</t>
  </si>
  <si>
    <t>WOS:000854118600001</t>
  </si>
  <si>
    <t>King, JC; Marshall, GJ; Colwell, S; Arndt, S; Allen-Sader, C; Phillips, T</t>
  </si>
  <si>
    <t>King, John C.; Marshall, Gareth J.; Colwell, Steve; Arndt, Stefanie; Allen-Sader, Clare; Phillips, Tony</t>
  </si>
  <si>
    <t>The Performance of the ERA-Interim and ERA5 Atmospheric Reanalyses Over Weddell Sea Pack Ice</t>
  </si>
  <si>
    <t>atmospheric reanalyses; sea ice; Antarctic; Weddell Sea; atmosphere-ice-ocean interaction</t>
  </si>
  <si>
    <t>SURFACE AIR-TEMPERATURE</t>
  </si>
  <si>
    <t>We use meteorological measurements from three drifting buoys to evaluate the performance of the ERA-Interim and ERA5 atmospheric reanalyses from the European Center for Medium-Range Weather Forecasts over the Weddell Sea ice zone. The temporal variability in surface pressure and near-surface air temperature is captured well by the two reanalyses but both reanalyses exhibit a warm bias relative to the buoy measurements. This bias is small at temperatures close to 0 degrees C but reaches 5-10 degrees C at -40 degrees C. For two of the buoys the mean temperature bias in ERA5 is significantly smaller than that in ERA-Interim while for the third buoy the biases in the two products are comparable. 10 m wind speed biases in both reanalyses are small and may largely result from measurement errors associated with icing of the buoy anemometers. The biases in downwelling shortwave and longwave radiation are significant in both reanalyses but we caution that the pattern of bias is consistent with potential errors in the buoy measurements, caused by accumulation of snow and ice on the radiometers. Overall, our study suggests that, with the exception of near-surface temperature, both reanalyses reproduce the buoy measurements to within the limits of measurement uncertainty. We suggest that the significant biases in near-surface air temperature may result from the simplified representation of sea ice used in the reanalysis models, and we recommend the use of a more sophisticated representation of sea ice, including variable ice and snow thicknesses, in future reanalyses.</t>
  </si>
  <si>
    <t>[King, John C.; Marshall, Gareth J.; Colwell, Steve; Allen-Sader, Clare; Phillips, Tony] British Antarctic Survey, Cambridge, England; [Arndt, Stefanie] Helmholtz Ctr Polar &amp; Marine Res, Alfred Wegener Inst, Bremerhaven, Germany</t>
  </si>
  <si>
    <t>UK Research &amp; Innovation (UKRI); Natural Environment Research Council (NERC); NERC British Antarctic Survey; Helmholtz Association; Alfred Wegener Institute, Helmholtz Centre for Polar &amp; Marine Research</t>
  </si>
  <si>
    <t>King, JC (corresponding author), British Antarctic Survey, Cambridge, England.</t>
  </si>
  <si>
    <t>jcki@bas.ac.uk</t>
  </si>
  <si>
    <t>Arndt, Stefanie/AAA-6178-2021</t>
  </si>
  <si>
    <t>Arndt, Stefanie/0000-0001-9782-3844; King, John/0000-0003-3315-7568; Marshall, Gareth/0000-0001-8887-7314</t>
  </si>
  <si>
    <t>German Research Council [SPP1158, AR1236/1]; UK Natural Environment Research Council [NE/L013770/1]; [AWI_PS96_01]; NERC [NE/L013770/1] Funding Source: UKRI</t>
  </si>
  <si>
    <t>German Research Council(German Research Foundation (DFG)); UK Natural Environment Research Council(UK Research &amp; Innovation (UKRI)Natural Environment Research Council (NERC)); ; NERC(UK Research &amp; Innovation (UKRI)Natural Environment Research Council (NERC))</t>
  </si>
  <si>
    <t>We gratefully acknowledge the support of the cruise leader Michael Schroder, all involved scientists, especially Leonard Rossmann as part of the Sea Ice Physics team, the helicopter team on board, and the captain and crew of R/V Polarstern during expedition PS96 (Grant No. AWI_PS96_01). SA was supported by the German Research Council in the framework of the priority program Antarctic Research with comparative investigations in the Arctic ice areas (Grant Nos. SPP1158 and AR1236/1). The three meteorological buoys were funded under grant NE/L013770/1, Ice shelves in a warming world: Filchner Ice Shelf system, Antarctica, from the UK Natural Environment Research Council. GJM, SC, and CA-S were also partly supported by this grant.</t>
  </si>
  <si>
    <t>e2022JC018805</t>
  </si>
  <si>
    <t>10.1029/2022JC018805</t>
  </si>
  <si>
    <t>4M6PH</t>
  </si>
  <si>
    <t>WOS:000853444700001</t>
  </si>
  <si>
    <t>Malakar, P; Das, I; Bhattacharya, S; Harris, A; Sheves, M; Brown, LS; Ruhman, S</t>
  </si>
  <si>
    <t>Malakar, Partha; Das, Ishita; Bhattacharya, Sudeshna; Harris, Andrew; Sheves, Mordechai; Brown, Leonid S.; Ruhman, Sanford</t>
  </si>
  <si>
    <t>Bidirectional Photochemistry of Antarctic Microbial Rhodopsin: Emerging Trend of Ballistic Photoisomerization from the 13-cis Resting State</t>
  </si>
  <si>
    <t>JOURNAL OF PHYSICAL CHEMISTRY LETTERS</t>
  </si>
  <si>
    <t>ANABAENA SENSORY RHODOPSIN; ULTRAFAST PHOTOCHEMISTRY; RESONANCE RAMAN; SCHIFF-BASE; BACTERIORHODOPSIN; LIGHT; CHROMOPHORE; EVENTS; HALORHODOPSIN; SPECTROSCOPY</t>
  </si>
  <si>
    <t>The decades-long ultrafast examination of nearly a dozen microbial retinal proteins, ion pumps, and sensory photoreceptors has not identified structure-function indicators which predict photoisomerization dynamics, whether it will be sub-picosecond and ballistic or drawn out with complex curve-crossing kinetics. Herein, we report the emergence of such an indicator. Using pH control over retinal isomer ratios, photoinduced transient absorption is recorded in an inward proton pumping Antarctic microbial rhodopsin (AntR) for 13-cis and all-trans retinal resting states. The all-trans fluorescent state decays with 1 ps exponential kinetics. In contrast, in 13-cis it decays within similar to 300 fs accompanied by continuous spectral evolution, indicating ballistic internal conversion. The coherent wave packet nature of 13-cis isomerization in AntR matches published results for bacteriorhodopsin (BR) and Anabaena sensory rhodopsin (ASR), which also accommodate both all-trans and 13-cis retinal resting states, marking the emergence of a first structure-photodynamics indicator which holds for all three tested pigments.</t>
  </si>
  <si>
    <t>[Malakar, Partha; Ruhman, Sanford] Hebrew Univ Jerusalem, Inst Chem, IL-9190401 Jerusalem, Israel; [Das, Ishita; Bhattacharya, Sudeshna; Sheves, Mordechai] Weizmann Inst Sci, Dept Mol Chem &amp; Mat Sci, IL-7610001 Rehovot, Israel; [Harris, Andrew; Brown, Leonid S.] Univ Guelph, Dept Phys, Guelph, ON N1G 2W1, Canada</t>
  </si>
  <si>
    <t>Hebrew University of Jerusalem; Weizmann Institute of Science; University of Guelph</t>
  </si>
  <si>
    <t>Ruhman, S (corresponding author), Hebrew Univ Jerusalem, Inst Chem, IL-9190401 Jerusalem, Israel.</t>
  </si>
  <si>
    <t>sandy@mal.huji.ac.il</t>
  </si>
  <si>
    <t>Brown, Leonid/X-7445-2019</t>
  </si>
  <si>
    <t>Brown, Leonid/0000-0002-5614-8317; Malakar, Partha/0000-0001-6874-7010</t>
  </si>
  <si>
    <t>Kimmelman Center for Biomolecular Structure and Assembly; Natural Sciences and Engineering Research Council of Canada (NSERC) [RGPIN-2018-04397]; US Israel binational science foundation [2016102, 2020105]</t>
  </si>
  <si>
    <t>Kimmelman Center for Biomolecular Structure and Assembly; Natural Sciences and Engineering Research Council of Canada (NSERC)(Natural Sciences and Engineering Research Council of Canada (NSERC)); US Israel binational science foundation(US-Israel Binational Science Foundation)</t>
  </si>
  <si>
    <t>M.S. thanks the Kimmelman Center for Biomolecular Structure and Assembly for partial support. L.S.B. acknowl- edges support from the Natural Sciences and Engineering Research Council of Canada (NSERC, discovery grant RGPIN-2018-04397) . S.R. thanks the US Israel binational science foundation for Grants 2016102 and 2020105.</t>
  </si>
  <si>
    <t>1948-7185</t>
  </si>
  <si>
    <t>J PHYS CHEM LETT</t>
  </si>
  <si>
    <t>J. Phys. Chem. Lett.</t>
  </si>
  <si>
    <t>10.1021/acs.jpclett.2c01974</t>
  </si>
  <si>
    <t>Chemistry, Physical; Nanoscience &amp; Nanotechnology; Materials Science, Multidisciplinary; Physics, Atomic, Molecular &amp; Chemical</t>
  </si>
  <si>
    <t>Chemistry; Science &amp; Technology - Other Topics; Materials Science; Physics</t>
  </si>
  <si>
    <t>4I8JV</t>
  </si>
  <si>
    <t>WOS:000850821500001</t>
  </si>
  <si>
    <t>[Anonymous]</t>
  </si>
  <si>
    <t>Record low Antarctic sea ice</t>
  </si>
  <si>
    <t>WEATHER</t>
  </si>
  <si>
    <t>0043-1656</t>
  </si>
  <si>
    <t>1477-8696</t>
  </si>
  <si>
    <t>Weather</t>
  </si>
  <si>
    <t>4H2IC</t>
  </si>
  <si>
    <t>WOS:000849703700002</t>
  </si>
  <si>
    <t>Kropielnicka-Kruk, K; Fitzgibbon, QP; Codabaccus, BM; Trotter, AJ; Giosio, DR; Carter, CG; Smith, GG</t>
  </si>
  <si>
    <t>Kropielnicka-Kruk, Katarzyna; Fitzgibbon, Quinn P.; Codabaccus, Basseer M.; Trotter, Andrew J.; Giosio, Dean R.; Carter, Chris G.; Smith, Gregory G.</t>
  </si>
  <si>
    <t>The Effect of Feed Frequency on Growth, Survival and Behaviour of Juvenile Spiny Lobster (Panulirus ornatus)</t>
  </si>
  <si>
    <t>aquaculture; crustacean; behaviour; cannibalism; nutrition; tropical rock lobster</t>
  </si>
  <si>
    <t>SOUTHERN ROCK LOBSTER; FREE AMINO-ACIDS; JASUS-EDWARDSII; HOMARUS-AMERICANUS; PHYLLOSOMA LARVAE; STAGE PHYLLOSOMA; RATION SIZE; METABOLISM; DIETS; FOOD</t>
  </si>
  <si>
    <t>Simple Summary Sensory stimuli including olfactory, visual, acoustic and tactile input, are important aspects of feed exposure and optimisation of feeding schedules. These aspects were investigated in our study, with a focus on the effect of feed frequency (one, two, four, eight, sixteen and thirty-two feed supplies per day) on survival, growth and behaviour of juvenile P. ornatus. Increasing daily feed frequency from one to sixteen improved feed intake and growth. Spiny lobsters have a range of complex chemical communication pathways that contribute to feeding behaviour. Feed intake is modulated by feed availability and feed characteristics, such as attractiveness and palatability, with behavioural factors, such as social competition and circadian rhythm, providing an extra layer of complexity. In this study, we investigated the effect of feed frequency on survival and growth of early-stage (instar 2-6) juvenile Palunirus ornatus. In addition, we investigated the interactive effect of feed frequency and circadian rhythm on lobster feed response. Lobsters were fed a set ration at a frequency of either one, two, four, eight, sixteen or thirty-two times per day over 49 days. The effect of feed frequency on growth and survival was determined. Circadian feeding activity under these feeding treatments was assessed by time-lapse photography. Increased feed frequency from one to sixteen feeds daily improved growth by increasing apparent feed intake (AFI) and feed attraction, as confirmed by the increased presence of lobsters in the feeding area. The rapid leaching of feed attractant, particularly free amino acid, suggests a beneficial effect of multiple feeding frequencies on feed intake and growth. However, more than sixteen feeds per day resulted in decreased feed intake and a subsequent reduction in growth. The decrease in feed intake is thought to be associated with saturation of the culture environment with attractants, resulting in a reduced behavioural response to feed supplies. This may indicate the need for depletion of attractants to retrigger a feeding response. As lobsters were grown communally, faster growth at sixteen rations per day was also coupled with increased cannibalism, likely driven by increased vulnerability with the occurrence of more frequent ecdysis events. Whereas circadian rhythm indicated more activity at night, an interaction between daytime activity and feed frequency was not observed.</t>
  </si>
  <si>
    <t>[Kropielnicka-Kruk, Katarzyna; Fitzgibbon, Quinn P.; Codabaccus, Basseer M.; Trotter, Andrew J.; Giosio, Dean R.; Carter, Chris G.; Smith, Gregory G.] Univ Tasmania, Inst Marine &amp; Antarctic Studies IMAS, Private Bag 49, Hobart, Tas 7001, Australia</t>
  </si>
  <si>
    <t>Codabaccus, BM (corresponding author), Univ Tasmania, Inst Marine &amp; Antarctic Studies IMAS, Private Bag 49, Hobart, Tas 7001, Australia.</t>
  </si>
  <si>
    <t>mohamed.codabaccus@utas.edu.au</t>
  </si>
  <si>
    <t>Carter, Chris Guy/A-3438-2008</t>
  </si>
  <si>
    <t>Carter, Chris Guy/0000-0001-5210-1282; Fitzgibbon, Quinn/0000-0002-1104-3052; codabaccus, mohamed/0000-0001-5108-373X; Kropielnicka-Kruk, Katarzyna/0000-0003-4956-0191</t>
  </si>
  <si>
    <t>Australian Research Council Industrial Transformation Research Hub [IH12100032]</t>
  </si>
  <si>
    <t>Australian Research Council Industrial Transformation Research Hub(Australian Research Council)</t>
  </si>
  <si>
    <t>This research was funded by Australian Research Council Industrial Transformation Research Hub (project number IH12100032).</t>
  </si>
  <si>
    <t>10.3390/ani12172241</t>
  </si>
  <si>
    <t>4J0HX</t>
  </si>
  <si>
    <t>WOS:000850954600001</t>
  </si>
  <si>
    <t>Tibbett, EJ; Warny, S; Tierney, JE; Wellner, JS; Feakins, SJ</t>
  </si>
  <si>
    <t>Tibbett, Emily J.; Warny, Sophie; Tierney, Jessica E.; Wellner, Julia S.; Feakins, Sarah J.</t>
  </si>
  <si>
    <t>Cenozoic Antarctic Peninsula Temperatures and Glacial Erosion Signals From a Multi-Proxy Biomarker Study</t>
  </si>
  <si>
    <t>Antarctica; biomarkers; temperature; vegetation reconstruction</t>
  </si>
  <si>
    <t>ICE-SHEET SENSITIVITY; ATMOSPHERIC CO2; OLIGOCENE CLIMATE; EAST ANTARCTICA; CARBON-DIOXIDE; ROSS SEA; EOCENE; EVOLUTION; SURFACE; VEGETATION</t>
  </si>
  <si>
    <t>Terrestrial climate records for Antarctica, beyond the age limit of ice cores, are restricted to the few unglaciated areas with exposed rock outcrops. Marine sediments on Antarctica's continental shelves contain records of past oceanic and terrestrial environments that can provide important insights into Antarctic climate evolution. The SHALDRIL II (Shallow Drilling on the Antarctic Continental Margin) expedition recovered sedimentary sequences from the eastern side of the Antarctic Peninsula of late Eocene, Oligocene, middle Miocene, and early Pliocene age that provides insights into Cenozoic Antarctic climate and ice sheet development. Here, we use biomarker data to assess atmospheric and oceanic temperatures and glacial reworking from the late Eocene to the early Pliocene. Analyses of hopanes and n-alkanes indicate increased erosion of mature (thermally altered) soil biomarker components reworked by glacial erosion. Branched glycerol dialkyl glycerol tetraethers from soil bacteria suggest similar air temperatures of 12 degrees C +/- 1 degrees C (1 sigma, n = 46) for months above freezing for Eocene, Oligocene, and Miocene timeslices but much colder (and likely shorter) periods of thaw during the Pliocene (5 degrees C +/- 1 degrees C, n = 4) on the Antarctic Peninsula. TEX86-based (Tetraether index of 86 carbons) sea surface temperature estimates indicate ocean cooling from 7 degrees C +/- 3 degrees C (n = 10) in the Miocene to 3 degrees C +/- 1 degrees C (n = 3) in the Pliocene, consistent with deep ocean cooling. Resulting temperature records provide useful constraints for ice sheet and climate model simulations seeking to improve understanding of ice sheet response under a range of climate conditions.</t>
  </si>
  <si>
    <t>[Tibbett, Emily J.; Feakins, Sarah J.] Univ Southern Calif, Dept Earth Sci, Los Angeles, CA 90007 USA; [Warny, Sophie] Louisiana State Univ, Dept Geol &amp; Geophys, Baton Rouge, LA 70803 USA; [Warny, Sophie] Louisiana State Univ, Museum Nat Sci, Baton Rouge, LA 70803 USA; [Tierney, Jessica E.] Univ Arizona, Dept Geosci, Tucson, AZ 85721 USA; [Wellner, Julia S.] Univ Houston, Dept Earth &amp; Atmospher Sci, Houston, TX USA</t>
  </si>
  <si>
    <t>University of Southern California; Louisiana State University System; Louisiana State University; Louisiana State University System; Louisiana State University; University of Arizona; University of Houston System; University of Houston</t>
  </si>
  <si>
    <t>Tibbett, EJ (corresponding author), Univ Southern Calif, Dept Earth Sci, Los Angeles, CA 90007 USA.</t>
  </si>
  <si>
    <t>tibbett@usc.edu</t>
  </si>
  <si>
    <t>Feakins, Sarah/K-4149-2012; Warny, Sophie A/A-8226-2013</t>
  </si>
  <si>
    <t>Feakins, Sarah/0000-0003-3434-2423; Tibbett, Emily/0000-0001-9335-4163; Wellner, Julia/0000-0002-6807-8635</t>
  </si>
  <si>
    <t>U.S. National Science Foundation</t>
  </si>
  <si>
    <t>This research was funded by the U.S. National Science Foundation NSF-OPP-1908548 to SJF. This research used samples and/or data collected by the RV/IB Nathaniel B. Palmer during SHALDRIL II, supported by funding from the U.S. National Science Foundation. Samples were provided by Oregon State University Marine and Geology Repository. Thanks to Miguel Rincon for laboratory assistance in 2012 at USC, to Patrick Murphy for laboratory assistance with GDGT analyses at the University of Arizona in 2021. Thanks to John Anderson for guidance on the regional context, along with the constructive review input from the Associate Editor and an anonymous reviewer, that improved this manuscript.</t>
  </si>
  <si>
    <t>e2022PA004430</t>
  </si>
  <si>
    <t>10.1029/2022PA004430</t>
  </si>
  <si>
    <t>4H9MS</t>
  </si>
  <si>
    <t>WOS:000850201600001</t>
  </si>
  <si>
    <t>Zhao, YY; Zheng, Z; Zhang, X; Bao, YT; Miao, JL</t>
  </si>
  <si>
    <t>Zhao, Yaoyao; Zheng, Zhou; Zhang, Xin; Bao, Yating; Miao, Jinlai</t>
  </si>
  <si>
    <t>Molecular Cloning and Expression Analysis of the Cryptochrome Gene CiPlant-CRY1 in Antarctic Ice Alga Chlamydomonas sp. ICE-L</t>
  </si>
  <si>
    <t>CiPlant-CRY1; Chlamydomonas sp. ICE-L; cryptochrome; extreme Antarctic environments; heterologous expression</t>
  </si>
  <si>
    <t>SEA-ICE; LIGHT; BLUE; BINDING; PLANTS; FAMILY</t>
  </si>
  <si>
    <t>Cryptochrome (CRY) is a kind of flavin-binding protein that can sense blue light and near-ultraviolet light, and participates in the light response of organisms and the regulation of the circadian clock. The complete open reading frame (ORF) of CiPlant-CRY1 (GenBank ID OM389130.1), encoding one kind of CRY, was cloned from the Antarctic ice alga Chlamydomonas sp. ICE-L. The quantitative real-time PCR study showed that the expression level of the CiPlant-CRY1 gene was the highest at 5 degrees C and salinity of 32 parts per thousand. CiPlant-CRY1 was positively regulated by blue or yellow light, suggesting that it is involved in the establishment of photomorphology. The CiPlant-CRY1 gene can respond to polar day and polar night, indicating its expression is regulated by circadian rhythm. The expression level of CiPlant-CRY1 was most affected by UVB irradiation, which may be related to the adaptation of ice algae to a strong ultraviolet radiation environment. Moreover, the recombinant protein of CiPlant-CRY1 was expressed by prokaryotic expression. This study may be important for exploring the light-induced rhythm regulation of Antarctic ice algae in the polar marine environment.</t>
  </si>
  <si>
    <t>[Zhao, Yaoyao; Zhang, Xin] Qingdao Univ, Sch Basic Med, Dept Specialty Med, Qingdao 266071, Peoples R China; [Zheng, Zhou; Bao, Yating; Miao, Jinlai] Minist Nat Resource, Key Lab Marine Ecoenvironm Sci &amp; Technol, Inst Oceanog 1, Qingdao 266061, Peoples R China; [Zheng, Zhou; Miao, Jinlai] Qingdao Natl Lab Marine Sci &amp; Technol, Lab Marine Drugs &amp; Bioprod, Qingdao 266237, Peoples R China</t>
  </si>
  <si>
    <t>Qingdao University; Laoshan Laboratory</t>
  </si>
  <si>
    <t>Zheng, Z (corresponding author), Minist Nat Resource, Key Lab Marine Ecoenvironm Sci &amp; Technol, Inst Oceanog 1, Qingdao 266061, Peoples R China.;Zheng, Z (corresponding author), Qingdao Natl Lab Marine Sci &amp; Technol, Lab Marine Drugs &amp; Bioprod, Qingdao 266237, Peoples R China.</t>
  </si>
  <si>
    <t>zhengzhou@fio.org.cn</t>
  </si>
  <si>
    <t>Zheng, Zhou/JJD-0602-2023</t>
  </si>
  <si>
    <t>Zheng, Zhou/0000-0001-7980-5685</t>
  </si>
  <si>
    <t>Natural Science Foundation of China [42176242, 41776203]</t>
  </si>
  <si>
    <t>Natural Science Foundation of China(National Natural Science Foundation of China (NSFC))</t>
  </si>
  <si>
    <t>This research was funded by the Natural Science Foundation of China (42176242, 41776203).</t>
  </si>
  <si>
    <t>10.3390/plants11172213</t>
  </si>
  <si>
    <t>4K0TX</t>
  </si>
  <si>
    <t>WOS:000851674700001</t>
  </si>
  <si>
    <t>Wang, ZM; Liu, ML; Zhang, BJ; Song, XY; An, JC</t>
  </si>
  <si>
    <t>Wang, Zemin; Liu, Mingliang; Zhang, Baojun; Song, Xiangyu; An, Jiachun</t>
  </si>
  <si>
    <t>Temporal and spatial changes of the basal channel of the Getz Ice Shelf in Antarctica derived from multi-source data</t>
  </si>
  <si>
    <t>Getz Ice Shelf; basal channel; surface elevation; ICESat; DEM</t>
  </si>
  <si>
    <t>CIRCUMPOLAR DEEP-WATER; PINE ISLAND GLACIER; WARM WATER; SURFACE; MELT; BENEATH; MODEL; OCEAN; SENSITIVITY; CONVECTION</t>
  </si>
  <si>
    <t>Basal melting is an important factor affecting the stability of the ice shelf. The basal channel is formed from uneven melting, which also has an important impact on the stability of the ice shelf. Therefore, it has important scientific value to study the basal channel changes. This study combined datasets of Mosaics of Antarctica, Reference Elevation Model of Antarctica (REMA) and Operation IceBridge to study the temporal and spatial changes of basal channels at the Getz Ice Shelf in Antarctica. The relationships between the cross-sectional area and width of basal channel and those of its corresponding surface depression were statistically analyzed. Then, the changes of the basal channels of Getz Ice Shelf were derived from the ICESat observations and REMA digital elevation models (DEMs). After a detailed analysis of the factors affecting the basal channel changes, we found that the basal channels of Getz Ice Shelf were mainly concentrated in the eastern of the ice shelf, and most of them belonged to the ocean-sourced basal channel. From 2009 to 2016, the total length of the basal channel has increased by approximately 60 km. Affected by the warm Circumpolar Deep Water (CDW), significant changes in the basal channel occurred in the middle reaches of the Getz Ice Shelf. The change of the basal channels at the edge of the Getz Ice Shelf is significantly weaker than that in its middle and upper reaches. Especially in 2005-2012, the eastward wind on the ocean wind field and the westward wind around the continental shelf caused the invasion and upwelling of CDW. Meanwhile, the continuous warming of deep seawater also caused the deepening of the basal channel. During from 2012 to 2020, the fluctuations of the basal channels seem to be caused by the changes in temperature of CDW.</t>
  </si>
  <si>
    <t>[Wang, Zemin; Liu, Mingliang; Zhang, Baojun; An, Jiachun] Wuhan Univ, Chinese Antarctic Ctr Surveying &amp; Mapping, Wuhan 430079, Peoples R China; [Song, Xiangyu] Shijiazhuang Tiedao Univ, Sch Civil Engn, Shijiazhuang 050043, Hebei, Peoples R China; [Song, Xiangyu] Shijiazhuang Tiedao Univ, Minist Educ, Key Lab Rd &amp; Railway Engn Safety Control, Shijiazhuang 050043, Hebei, Peoples R China</t>
  </si>
  <si>
    <t>Wuhan University; Shijiazhuang Tiedao University; Shijiazhuang Tiedao University</t>
  </si>
  <si>
    <t>Zhang, BJ (corresponding author), Wuhan Univ, Chinese Antarctic Ctr Surveying &amp; Mapping, Wuhan 430079, Peoples R China.</t>
  </si>
  <si>
    <t>bjzhang@whu.edu.cn</t>
  </si>
  <si>
    <t>Zhang, Baojun/0000-0001-5438-8723</t>
  </si>
  <si>
    <t>National Natural Science Foundation of China [41941010, 42006184]; Independent Scientific Research Project of the State Key Laboratory of Information Engineering in Surveying, Mapping and Remote Sensing</t>
  </si>
  <si>
    <t>National Natural Science Foundation of China(National Natural Science Foundation of China (NSFC)); Independent Scientific Research Project of the State Key Laboratory of Information Engineering in Surveying, Mapping and Remote Sensing</t>
  </si>
  <si>
    <t>The National Natural Science Foundation of China under contract Nos 41941010 and 42006184; the Independent Scientific Research Project of the State Key Laboratory of Information Engineering in Surveying, Mapping and Remote Sensing.</t>
  </si>
  <si>
    <t>10.1007/s13131-022-1989-1</t>
  </si>
  <si>
    <t>4H8IA</t>
  </si>
  <si>
    <t>WOS:000850118600004</t>
  </si>
  <si>
    <t>Chen, XL; Zhou, CX; Zheng, L; Li, MC; Liu, Y; Liu, TT</t>
  </si>
  <si>
    <t>Chen, Xiaoli; Zhou, Chunxia; Zheng, Lei; Li, Mingci; Liu, Yong; Liu, Tingting</t>
  </si>
  <si>
    <t>Arctic summer sea ice phenology including ponding from 1982 to 2017</t>
  </si>
  <si>
    <t>Arctic sea ice; sea ice phenology; melt timings and durations; melt ponds; remote sensing</t>
  </si>
  <si>
    <t>MELT PONDS; PHYSICAL-CHARACTERISTICS; OPTICAL-PROPERTIES; ALBEDO RETRIEVAL; MERIS DATA; BAND SAR; IN-SITU; FRACTION; AERIAL; RADIATION</t>
  </si>
  <si>
    <t>Information on the Arctic sea ice climate indicators is crucial to business strategic planning and climate monitoring. Data on the evolvement of the Arctic sea ice and decadal trends of phenology factors during melt season are necessary for climate prediction under global warming. Previous studies on Arctic sea ice phenology did not involve melt ponds that dramatically lower the ice surface albedo and tremendously affect the process of sea ice surface melt. Temporal means and trends of the Arctic sea ice phenology from 1982 to 2017 were examined based on satellite-derived sea ice concentration and albedo measurements. Moreover, the timing of ice ponding and two periods corresponding to it were newly proposed as key stages in the melt season. Therefore, four timings, i.e., date of snow and ice surface melt onset (MO), date of pond onset (PO), date of sea ice opening (DOO), and date of sea ice retreat (DOR); and three durations, i.e., melt pond formation period (MPFP, i.e., MO-PO), melt pond extension period (MPEP, i.e., PO-DOR), and seasonal loss of ice period (SLIP, i.e., DOO-DOR), were used. PO ranged from late April in the peripheral seas to late June in the central Arctic Ocean in Bootstrap results, whereas the pan-Arctic was observed nearly 4 days later in NASA Team results. Significant negative trends were presented in the MPEP in the Hudson Bay, the Baffin Bay, the Greenland Sea, the Kara and Barents seas in both results, indicating that the Arctic sea ice undergoes a quick transition from ice to open water, thereby extending the melt season year to year. The high correlation coefficient between MO and PO, MPFP illustrated that MO predominates the process of pond formation.</t>
  </si>
  <si>
    <t>[Chen, Xiaoli; Zhou, Chunxia; Li, Mingci; Liu, Yong; Liu, Tingting] Wuhan Univ, Chinese Antarctic Ctr Surveying &amp; Mapping, Wuhan 430079, Peoples R China; [Zheng, Lei] Sun Yat Sen Univ, Sch Geospatial Engn &amp; Sci, Guangzhou 519082, Peoples R China; [Zheng, Lei] Southern Marine Sci &amp; Engn Guangdong Lab Zhuhai, Zhuhai 519000, Peoples R China</t>
  </si>
  <si>
    <t>Wuhan University; Sun Yat Sen University; Southern Marine Science &amp; Engineering Guangdong Laboratory; Southern Marine Science &amp; Engineering Guangdong Laboratory (Zhuhai)</t>
  </si>
  <si>
    <t>Zhou, CX (corresponding author), Wuhan Univ, Chinese Antarctic Ctr Surveying &amp; Mapping, Wuhan 430079, Peoples R China.</t>
  </si>
  <si>
    <t>zhoucx@whu.edu.cn</t>
  </si>
  <si>
    <t>liu, ting/GZM-3326-2022; liu, liu/JEO-6900-2023</t>
  </si>
  <si>
    <t>National Key Research and Development Program of China [2018YFC1406102]; Funds for the Distinguished Young Scientists of Hubei Province (China) [2019CFA057]; National Natural Science Foundation of China [41941010, 41776200]</t>
  </si>
  <si>
    <t>National Key Research and Development Program of China; Funds for the Distinguished Young Scientists of Hubei Province (China); National Natural Science Foundation of China(National Natural Science Foundation of China (NSFC))</t>
  </si>
  <si>
    <t>The National Key Research and Development Program of China under contract No. 2018YFC1406102; the Funds for the Distinguished Young Scientists of Hubei Province (China) under contract No. 2019CFA057; the National Natural Science Foundation of China under contract Nos 41941010 and 41776200.</t>
  </si>
  <si>
    <t>10.1007/s13131-022-1993-5</t>
  </si>
  <si>
    <t>WOS:000850118600014</t>
  </si>
  <si>
    <t>Dong, YX; Bakker, DCE; Bell, TG; Huang, B; Landschützer, P; Liss, PS; Yang, MX</t>
  </si>
  <si>
    <t>Dong, Yuanxu; Bakker, Dorothee C. E.; Bell, Thomas G.; Huang, Boyin; Landschutzer, Peter; Liss, Peter S.; Yang, Mingxi</t>
  </si>
  <si>
    <t>Update on the Temperature Corrections of Global Air-Sea CO2 Flux Estimates</t>
  </si>
  <si>
    <t>air-sea CO2 flux; temperature effects; updated correction</t>
  </si>
  <si>
    <t>SURFACE TEMPERATURE; GAS-EXCHANGE; OCEANIC SINK; CARBON; SKIN; VARIABILITY; CLIMATE; VALIDATION; NUTRIENTS</t>
  </si>
  <si>
    <t>The oceans are a major carbon sink. Sea surface temperature (SST) is a crucial variable in the calculation of the air-sea carbon dioxide (CO2) flux from surface observations. Any bias in the SST or any upper ocean vertical temperature gradient (e.g., the cool skin effect) potentially generates a bias in the CO2 flux estimates. A recent study suggested a substantial increase (similar to 50% or similar to 0.9 Pg C yr(-1)) in the global ocean CO2 uptake due to this temperature effect. Here, we use a gold standard buoy SST data set as the reference to assess the accuracy of insitu SST used for flux calculation. A physical model is then used to estimate the cool skin effect, which varies with latitude. The bias-corrected SST (assessed by buoy SST) coupled with the physics-based cool skin correction increases the average ocean CO2 uptake by similar to 35% (0.6 Pg C yr(-1)) from 1982 to 2020, which is substantially smaller than the previous correction. After these temperature considerations, we estimate an average net ocean CO2 uptake of 2.2 +/- 0.4 Pg C yr(-1) from 1994 to 2007 based on an ensemble of surface observation-based flux estimates, in line with the independent interior ocean carbon storage estimate corrected for the river induced natural outgassing flux (2.1 +/- 0.4 Pg C yr(-1)).</t>
  </si>
  <si>
    <t>[Dong, Yuanxu; Bakker, Dorothee C. E.; Liss, Peter S.] Univ East Anglia, Ctr Ocean &amp; Atmospher Sci, Sch Environm Sci, Norwich, Norfolk, England; [Dong, Yuanxu; Bell, Thomas G.; Yang, Mingxi] Plymouth Marine Lab, Prospect Pl, Plymouth, Devon, England; [Huang, Boyin] NOAA, Natl Ctr Environm Informat, Ashddeeville, NC USA; [Landschutzer, Peter] Max Planck Int Meterol, Hamburg, Germany</t>
  </si>
  <si>
    <t>University of East Anglia; Plymouth Marine Laboratory; National Oceanic Atmospheric Admin (NOAA) - USA</t>
  </si>
  <si>
    <t>Dong, YX; Bakker, DCE (corresponding author), Univ East Anglia, Ctr Ocean &amp; Atmospher Sci, Sch Environm Sci, Norwich, Norfolk, England.;Dong, YX (corresponding author), Plymouth Marine Lab, Prospect Pl, Plymouth, Devon, England.</t>
  </si>
  <si>
    <t>Yuanxu.Dong@uea.ac.uk; D.Bakker@uea.ac.uk</t>
  </si>
  <si>
    <t>Landschützer, Peter/IQU-3835-2023; Yang, Mingxi/ABC-7118-2020; Bell, Tom/E-8488-2011; LISS, Peter S./A-8219-2013; Bakker, Dorothee/E-4951-2015</t>
  </si>
  <si>
    <t>Landschützer, Peter/0000-0002-7398-3293; Yang, Mingxi/0000-0002-8321-5984; Bell, Tom/0000-0002-4108-7048; Bakker, Dorothee/0000-0001-9234-5337; Dong, Yuanxu/0000-0002-1468-1623; Huang, Boyin/0000-0002-2286-1659</t>
  </si>
  <si>
    <t>China Scholarship Council [CSC/201906330072]; Natural Environment Research Council (NERC) [NE/P021395/1, NE/P021263/1, NE/N018095/1, NE/P021409/1]; European Space Agency AMT4oceanSatFluxCCN [4000125730/18/NL/FF/gp]; NERC [NE/P021395/1, NE/P021409/1, NE/N018095/1, NE/V013297/1, NE/P021263/1] Funding Source: UKRI</t>
  </si>
  <si>
    <t>China Scholarship Council(China Scholarship Council); Natural Environment Research Council (NERC)(UK Research &amp; Innovation (UKRI)Natural Environment Research Council (NERC)); European Space Agency AMT4oceanSatFluxCCN(European Space Agency); NERC(UK Research &amp; Innovation (UKRI)Natural Environment Research Council (NERC))</t>
  </si>
  <si>
    <t>We are grateful to H. Zhang (NOAA), C. Merchant (University of Reading), and H. Beggs (Bureau of Meteorology, Australia) for their advice on choosing the appropriate SST product, as well as to J. Kennedy (Met Office Hadley Centre), and S. Zhou (British Antarctic Survey) for suggestions on assessing the bias in the SOCAT SST. We also greatly appreciate the inspirational and helpful discussions with R. Wanninkhof (NOAA) and J. Shutler (University of Exeter). The surface ocean CO2 Atlas (SOCAT) is an international effort, endorsed by the International Ocean Carbon Coordination Project (IOCCP), the Surface Ocean Lower Atmosphere Study (SOLAS), and the Integrated Marine Biogeochemistry and Ecosystem Research program (IMBER), to deliver a uniformly quality controlled surface ocean CO2 database. The many researchers and funding agencies responsible for the collection of data and quality control are thanked for their contributions to SOCAT. In this study, Y. Dong has been supported by the China Scholarship Council (CSC/201906330072). The Natural Environment Research Council (NERC) has enabled D. C. E. Bakker's work (PICCOLO, NE/P021395/1, and CUSTARD, NE/P021263/1 projects). The contributions of T. G. Bell and M. Yang have been made possible by support from the NERC (ORCHESTRA, NE/N018095/1, and PICCOLO NE/P021409/1 projects) and the European Space Agency AMT4oceanSatFluxCCN (4000125730/18/NL/FF/gp). In the end, we would like to thank both reviewers for their valuable comments and suggestions, which helped us to improve the quality of the manuscript.</t>
  </si>
  <si>
    <t>e2022GB007360</t>
  </si>
  <si>
    <t>10.1029/2022GB007360</t>
  </si>
  <si>
    <t>4H4KY</t>
  </si>
  <si>
    <t>Green Published, hybrid, Green Accepted, Green Submitted</t>
  </si>
  <si>
    <t>WOS:000849850500001</t>
  </si>
  <si>
    <t>Forbes, H; Shelamoff, V; Visch, W; Layton, C</t>
  </si>
  <si>
    <t>Forbes, Hunter; Shelamoff, Victor; Visch, Wouter; Layton, Cayne</t>
  </si>
  <si>
    <t>Farms and forests: evaluating the biodiversity benefits of kelp aquaculture</t>
  </si>
  <si>
    <t>JOURNAL OF APPLIED PHYCOLOGY</t>
  </si>
  <si>
    <t>Artificial habitat; Afforestation; Ecosystem services; Macroalgae; Restoration; Seaweed</t>
  </si>
  <si>
    <t>SANGGOU BAY; CULTIVATION; IMPACT; HABITAT</t>
  </si>
  <si>
    <t>The biodiversity benefits of kelp aquaculture and afforestation are increasingly acclaimed as the industry continues to grow and develop globally, however, whether farmed kelp can provide this ecosystem service remains unclear. Using peer-reviewed literature, we evaluated whether kelp farms provide biodiversity benefits, and identified only 23 studies that discussed the effects of kelp aquaculture on biodiversity, half of which were broad reviews that only assessed the concept of 'biodiversity' peripherally (e.g. did not focus on specific responses or taxa). There is also a general lack of experimental research on the topic. Based on the evidence, it seems that kelp farms can create habitat via changes to the local environment, particularly through the provision of structure and changed nutrient cycling. While this can lead to increased abundance and diversity among certain taxa (e.g. fouling organisms), it seems that kelp farms typically create novel habitats that support distinct communities not equivalent to natural kelp forests. Moreover, the potential for kelp farms to support biodiversity depends on a range of operational factors, many of which may be at odds with farming objectives that require the harvest and removal of the habitat that farms provide. While more work needs to be done to address the complexity of comparisons between kelp farms and forests, especially at appropriate experimental scales, it currently seems unlikely that kelp farms will act as kelp forests and deliver meaningful biodiversity outcomes. We should instead recognise farms for providing their own valuable services and support restoration and conservation practices of kelp forests to pursue biodiversity outcomes.</t>
  </si>
  <si>
    <t>[Forbes, Hunter; Shelamoff, Victor; Visch, Wouter; Layton, Cayne] Univ Tasmania, Inst Marine &amp; Antarctic Studies, Hobart, Tas, Australia; [Layton, Cayne] Univ Tasmania, Ctr Marine Socioecol, Hobart, Tas, Australia</t>
  </si>
  <si>
    <t>Forbes, H (corresponding author), Univ Tasmania, Inst Marine &amp; Antarctic Studies, Hobart, Tas, Australia.</t>
  </si>
  <si>
    <t>hunter.forbes@utas.edu.au</t>
  </si>
  <si>
    <t>Forbes, Hunter/JHU-7939-2023; Layton, Cayne/J-8443-2013</t>
  </si>
  <si>
    <t>Forbes, Hunter/0000-0002-4416-0415; Visch, Wouter/0000-0003-4291-6239; Layton, Cayne/0000-0002-3390-6437</t>
  </si>
  <si>
    <t>Nature Conservancy California Oceans Program</t>
  </si>
  <si>
    <t>Open Access funding enabled and organized by CAUL and its Member Institutions. Cayne Layton receives funding support from The Nature Conservancy California Oceans Program.</t>
  </si>
  <si>
    <t>0921-8971</t>
  </si>
  <si>
    <t>1573-5176</t>
  </si>
  <si>
    <t>J APPL PHYCOL</t>
  </si>
  <si>
    <t>J. Appl. Phycol.</t>
  </si>
  <si>
    <t>10.1007/s10811-022-02822-y</t>
  </si>
  <si>
    <t>Biotechnology &amp; Applied Microbiology; Marine &amp; Freshwater Biology</t>
  </si>
  <si>
    <t>7B9BF</t>
  </si>
  <si>
    <t>WOS:000849308800001</t>
  </si>
  <si>
    <t>Gu, XD; Wang, QS; Ni, BB; Xu, W; Wang, SW; Yi, J; Hu, ZJ; Li, B; He, F; Chen, XC; Hu, HQ</t>
  </si>
  <si>
    <t>Gu, Xudong; Wang, Qingshan; Ni, Binbin; Xu, Wei; Wang, Shiwei; Yi, Juan; Hu, Ze-Jun; Li, Bin; He, Fang; Chen, Xiang-Cai; Hu, Hong-Qiao</t>
  </si>
  <si>
    <t>First Results of the Wave Measurements by the WHU VLF Wave Detection System at the Chinese Great Wall Station in Antarctica</t>
  </si>
  <si>
    <t>LOWER IONOSPHERE; JJI TRANSMITTER; RADIO-WAVES; IONIZATION; PROPAGATION; AWESOME; SIGNALS; BELT</t>
  </si>
  <si>
    <t>A Very Low Frequency (VLF) wave detection system has been designed at Wuhan University (WHU) and recently deployed by the Polar Research Institute of China at the Chinese Great Wall station (GWS, 62.22 degrees S, 58.96 degrees W) in Antarctica. With a dynamic range of similar to 110 dB and timing accuracy of similar to 100 ns, this detection system can provide observational data with a resolution that can facilitate space physics and space weather studies. This paper presents the first results of the wave measurements by the WHU VLF wave detection system at GWS to verify the performance of the system. With the routine operation for 3 months, the system can acquire the dynamic changes of the wave amplitudes and phases of various ground-based VLF transmitter signals emitted in both North America and Europe. A preliminary analysis indicates that the properties of the VLF transmitter signals observed at GWS during the X-class solar flare events are consistent with previous studies. As the HWU-GWS path crosses the South Atlantic Anomaly region, the observations also imply a good connection in space and time between the VLF wave disturbances and the lower ionosphere variation potentially caused by magnetospheric electron precipitation during the geomagnetic storm period. It is therefore well expected that the acquisition of VLF wave data at GWS, in combination with datasets from other instruments, can be beneficial for space weather studies related to the radiation belt dynamics, terrestrial lightning discharge, whistler wave propagation, and the lower ionosphere disturbance, etc., in the polar region.</t>
  </si>
  <si>
    <t>[Gu, Xudong; Wang, Qingshan; Ni, Binbin; Xu, Wei; Wang, Shiwei; Yi, Juan] Wuhan Univ, Dept Space Phys, Sch Elect Informat, Wuhan, Peoples R China; [Ni, Binbin; Xu, Wei] Hubei Luojia Lab, Wuhan, Peoples R China; [Hu, Ze-Jun; Li, Bin; He, Fang; Chen, Xiang-Cai; Hu, Hong-Qiao] Polar Res Inst China, MNR Key Lab Polar Sci, Shanghai, Peoples R China</t>
  </si>
  <si>
    <t>Wuhan University; Polar Research Institute of China</t>
  </si>
  <si>
    <t>Hu, ZJ; Li, B (corresponding author), Polar Res Inst China, MNR Key Lab Polar Sci, Shanghai, Peoples R China.</t>
  </si>
  <si>
    <t>guxudong@whu.edu.cn; huzejun@pric.org.cn; libin@pric.org.cn</t>
  </si>
  <si>
    <t>WANG, SHIWEI/GOK-0834-2022; Chen, Xiangcai/S-9746-2019; Hu, Ze-Jun/X-8090-2019; Li, Bin/P-7806-2014</t>
  </si>
  <si>
    <t>Chen, Xiangcai/0000-0002-6325-5049; Hu, Ze-Jun/0000-0003-2448-2094; Yi, Juan/0000-0002-1829-2262; Wang, Shiwei/0000-0002-0336-3849; He, Fang/0000-0001-6781-6977</t>
  </si>
  <si>
    <t>National Natural Science Foundation of China [42188101, 42025404, 41874195]; B-type Strategic Priority Program of the Chinese Academy of Sciences [XDB41000000]; Pre-research projects on Civil Aerospace Technologies [D020308, D020104, D020303]; open fund of Hubei Luojia Laboratory [220100051]; Chinese Meridian Project II; Chinese National Antarctic Research Expedition; School of Electronic information, Wuhan University</t>
  </si>
  <si>
    <t>National Natural Science Foundation of China(National Natural Science Foundation of China (NSFC)); B-type Strategic Priority Program of the Chinese Academy of Sciences; Pre-research projects on Civil Aerospace Technologies; open fund of Hubei Luojia Laboratory; Chinese Meridian Project II; Chinese National Antarctic Research Expedition; School of Electronic information, Wuhan University</t>
  </si>
  <si>
    <t>This work was supported by the National Natural Science Foundation of China (Grant Nos. 42188101, 42025404, 41874195), the B-type Strategic Priority Program of the Chinese Academy of Sciences (Grant No.XDB41000000), and the Pre-research projects on Civil Aerospace Technologies (Grant Nos. D020308, D020104, D020303). This project was supported by the open fund of Hubei Luojia Laboratory (Grant No. 220100051). The authors acknowledge the Chinese Meridian Project II and the Chinese National Antarctic Research Expedition for the support to the VLF wave detection program at GWS, and the 985 funded project of School of Electronic information, Wuhan University.</t>
  </si>
  <si>
    <t>e2022JA030784</t>
  </si>
  <si>
    <t>10.1029/2022JA030784</t>
  </si>
  <si>
    <t>4H5BP</t>
  </si>
  <si>
    <t>WOS:000849894200001</t>
  </si>
  <si>
    <t>Convey, P; Hughes, KA</t>
  </si>
  <si>
    <t>Convey, Peter; Hughes, Kevin A.</t>
  </si>
  <si>
    <t>Untangling unexpected terrestrial conservation challenges arising from the historical human exploitation of marine mammals in the Atlantic sector of the Southern Ocean</t>
  </si>
  <si>
    <t>AMBIO</t>
  </si>
  <si>
    <t>Antarctic fur seal; Climate change; Conservation; Environmental protection and management; Human impacts; Terrestrial ecosystems</t>
  </si>
  <si>
    <t>ANTARCTIC FUR SEALS; ARCTOCEPHALUS-GAZELLA; CLIMATE-CHANGE; POPULATION-CHANGES; SIGNY ISLAND; COMMUNITY STRUCTURE; PENINSULA; IMPACTS; ICE; ECOSYSTEMS</t>
  </si>
  <si>
    <t>Intensive human exploitation of the Antarctic fur seal (Arctocephalus gazella) in its primary population centre on sub-Antarctic South Georgia, as well as on other sub-Antarctic islands and parts of the South Shetland Islands, in the eighteenth and nineteenth centuries rapidly brought populations to the brink of extinction. The species has now recovered throughout its original distribution. Non-breeding and yearling seals, almost entirely males, from the South Georgia population now disperse in the summer months far more widely and in higher numbers than there is evidence for taking place in the pre-exploitation era. Large numbers now haul out in coastal terrestrial habitats in the South Orkney Islands and also along the north-east and west coast of the Antarctic Peninsula to at least Marguerite Bay. In these previously less- or non-visited areas, the seals cause levels of damage likely never to have been experienced previously to fragile terrestrial habitats through trampling and over-fertilisation, as well as eutrophication of sensitive freshwater ecosystems. This increased area of summer impact is likely to have further synergies with aspects of regional climate change, including reduction in extent and duration of sea ice permitting seals access farther south, and changes in krill abundance and distribution. The extent and conservation value of terrestrial habitats and biodiversity now threatened by fur seal distribution expansion, and the multiple anthropogenic factors acting in synergy both historically and to the present day, present a new and as yet unaddressed challenge to the agencies charged with ensuring the protection and conservation of Antarctica's unique ecosystems.</t>
  </si>
  <si>
    <t>[Convey, Peter; Hughes, Kevin A.] British Antarctic Survey, NERC, High Cross,Madingley Rd, Cambridge CB3 0ET, England; [Convey, Peter] Univ Johannesburg, Dept Zool, ZA-2006 Auckland Pk, South Africa</t>
  </si>
  <si>
    <t>UK Research &amp; Innovation (UKRI); Natural Environment Research Council (NERC); NERC British Antarctic Survey; University of Johannesburg</t>
  </si>
  <si>
    <t>Convey, P (corresponding author), British Antarctic Survey, NERC, High Cross,Madingley Rd, Cambridge CB3 0ET, England.;Convey, P (corresponding author), Univ Johannesburg, Dept Zool, ZA-2006 Auckland Pk, South Africa.</t>
  </si>
  <si>
    <t>pcon@bas.ac.uk</t>
  </si>
  <si>
    <t>Convey, Peter/AAV-5728-2020; Hughes, Kevin/JVZ-0793-2024</t>
  </si>
  <si>
    <t>Convey, Peter/0000-0001-8497-9903;</t>
  </si>
  <si>
    <t>Natural Environment Research Council</t>
  </si>
  <si>
    <t>Funding was provided by Natural Environment Research Council.</t>
  </si>
  <si>
    <t>0044-7447</t>
  </si>
  <si>
    <t>1654-7209</t>
  </si>
  <si>
    <t>Ambio</t>
  </si>
  <si>
    <t>10.1007/s13280-022-01782-4</t>
  </si>
  <si>
    <t>7C1JH</t>
  </si>
  <si>
    <t>WOS:000849299700001</t>
  </si>
  <si>
    <t>Li, XW; Yang, QH; Yu, LJ; Holland, PR; Min, C; Mu, LJ; Chen, DK</t>
  </si>
  <si>
    <t>Li, Xuewei; Yang, Qinghua; Yu, Lejiang; Holland, Paul R.; Min, Chao; Mu, Longjiang; Chen, Dake</t>
  </si>
  <si>
    <t>Unprecedented Arctic sea ice thickness loss and multiyear-ice volume export through Fram Strait during 2010-2011</t>
  </si>
  <si>
    <t>Arctic; sea ice thickness; thermodynamics; dynamics</t>
  </si>
  <si>
    <t>OCEAN; IMPACT; MODEL</t>
  </si>
  <si>
    <t>The satellite-observed sea ice thickness (SIT) records from 2003 to 2020 identify an extreme SIT loss during 2010-2011. Ice thickness budget analysis demonstrates that the thickness loss was associated with an extraordinarily large multiyear ice (MYI) volume export through the Fram Strait during the season of sea ice advance. High cloudiness led to positive anomalies of net longwave radiation, and positive net surface energy flux anomalies supported enhanced sea ice melt from June to August. Due to the MYI loss, the Arctic sea ice became more sensitive to subsequent atmospheric anomalies. The reduced surface albedo triggering a positive ice-albedo amplifying feedback and contributed to the accelerating loss of ice thickness. These tightly coupled events highlight that the increasingly younger and thinner Arctic sea ice is becoming more vulnerable to external forcing and created the precondition for the rapid reduction in sea ice extent in 2012.</t>
  </si>
  <si>
    <t>[Li, Xuewei; Yang, Qinghua; Min, Chao; Chen, Dake] Sun Yat Sen Univ, Sch Atmospher Sci, Zhuhai 519082, Peoples R China; [Li, Xuewei; Yang, Qinghua; Min, Chao; Chen, Dake] Southern Marine Sci &amp; Engn Guangdong Lab, Zhuhai 519082, Peoples R China; [Yu, Lejiang] Polar Res Inst China, MNR Key Lab Polar Sci, Shanghai 200136, Peoples R China; [Holland, Paul R.] British Antarctic Survey, Cambridge CB3 0ET, England; [Mu, Longjiang] Pilot Natl Lab Marine Sci &amp; Technol, Qingdao 266237, Peoples R China</t>
  </si>
  <si>
    <t>Sun Yat Sen University; Southern Marine Science &amp; Engineering Guangdong Laboratory; Polar Research Institute of China; UK Research &amp; Innovation (UKRI); Natural Environment Research Council (NERC); NERC British Antarctic Survey; Laoshan Laboratory</t>
  </si>
  <si>
    <t>Yang, QH (corresponding author), Sun Yat Sen Univ, Sch Atmospher Sci, Zhuhai 519082, Peoples R China.;Yang, QH (corresponding author), Southern Marine Sci &amp; Engn Guangdong Lab, Zhuhai 519082, Peoples R China.</t>
  </si>
  <si>
    <t>Holland, Paul R/G-2796-2012; Li, Xuewei/HSH-3459-2023</t>
  </si>
  <si>
    <t>Li, Xuewei/0000-0003-3435-7422; Yu, Lejiang/0000-0003-0535-1937; Min, Chao/0000-0002-4181-2107</t>
  </si>
  <si>
    <t>National Natural Science Foundation of China [42106233, 41922044, 41941009, 41676185, 42106226]; Southern Marine Science and Engineering Guangdong Laboratory (Zhuhai) [SML2020SP007]; Guangdong Basic and Applied Basic Research Foundation [2020B1515020025]; State Key Laboratory of Cryospheric Science [SKLCS-OP2020-3]; China Postdoctoral Science Foundation [2020M683022]; fundamental research funds for the Norges Forskningsrad [328886]</t>
  </si>
  <si>
    <t>National Natural Science Foundation of China(National Natural Science Foundation of China (NSFC)); Southern Marine Science and Engineering Guangdong Laboratory (Zhuhai); Guangdong Basic and Applied Basic Research Foundation; State Key Laboratory of Cryospheric Science; China Postdoctoral Science Foundation(China Postdoctoral Science Foundation); fundamental research funds for the Norges Forskningsrad(Research Council of Norway)</t>
  </si>
  <si>
    <t>This work was supported by the National Natural Science Foundation of China (Nos. 42106233, 41922044, 41941009, 41676185 and 42106226), the Southern Marine Science and Engineering Guangdong Laboratory (Zhuhai) (No. SML2020SP007), the Guangdong Basic and Applied Basic Research Foundation (No. 2020B1515020025), the State Key Laboratory of Cryospheric Science (No. SKLCS-OP2020-3), the China Postdoctoral Science Foundation (No. 2020M683022) and the fundamental research funds for the Norges Forskningsrad. (No. 328886). We thank two anonymous reviewers for their helpful comments which improved the paper. We acknowledge the WMO WWRP for its role in coordinating this international research activity. This is a contribution to the Year of Polar Prediction (YOPP), a flagship activity of the Polar Prediction Project (PPP), initiated by the World Weather Research Programme (WWRP) of the World Meteorological Organisation (WMO).</t>
  </si>
  <si>
    <t>10.1088/1748-9326/ac8be7</t>
  </si>
  <si>
    <t>4F9UL</t>
  </si>
  <si>
    <t>WOS:000848854000001</t>
  </si>
  <si>
    <t>Mitsui, T; Tzedakis, PC; Wolff, EW</t>
  </si>
  <si>
    <t>Mitsui, Takahito; Tzedakis, Polychronis C.; Wolff, Eric W.</t>
  </si>
  <si>
    <t>Insolation evolution and ice volume legacies determine interglacial and glacial intensity</t>
  </si>
  <si>
    <t>ANTARCTIC ICE; SEA-ICE; CLIMATE; CYCLES; MODEL; OBLIQUITY; TEMPERATURE; PRECESSION; SIMULATION; MARINE</t>
  </si>
  <si>
    <t>Interglacials and glacials represent low and high ice volume end-members of ice age cycles. While progress has been made in our understanding of how and when transitions between these states occur, their relative intensity has been lacking an explanatory framework. With a simple quantitative model, we show that over the last 800 000 years interglacial intensity can be described as a function of the strength of the previous glacial and the summer insolation at high latitudes in both hemispheres during the deglaciation. Since the precession components in the boreal and austral insolations counteract each other, the amplitude increase in obliquity cycles after 430 000 years ago is imprinted in interglacial intensities, contributing to the manifestation of the so-called Mid-Brunhes Event. Glacial intensity is also linked to the strength of the previous interglacial, the time elapsed from it, and the evolution of boreal summer insolation. Our results suggest that the memory of previous climate states and the time course of the insolation are crucial for understanding interglacial and glacial intensities.</t>
  </si>
  <si>
    <t>[Mitsui, Takahito] Tech Univ Munich, Sch Engn &amp; Design, Earth Syst Modelling, Munich, Germany; [Mitsui, Takahito] Potsdam Inst Climate Impact Res, Potsdam, Germany; [Tzedakis, Polychronis C.] UCL, Dept Geog, Environm Change Res Ctr, London, England; [Wolff, Eric W.] Univ Cambridge, Dept Earth Sci, Cambridge, England</t>
  </si>
  <si>
    <t>Technical University of Munich; Potsdam Institut fur Klimafolgenforschung; University of London; University College London; University of Cambridge</t>
  </si>
  <si>
    <t>Mitsui, T (corresponding author), Tech Univ Munich, Sch Engn &amp; Design, Earth Syst Modelling, Munich, Germany.;Mitsui, T (corresponding author), Potsdam Inst Climate Impact Res, Potsdam, Germany.</t>
  </si>
  <si>
    <t>takahito321@gmail.com</t>
  </si>
  <si>
    <t>Tzedakis, Polychronis C/J-1894-2012; IPO, PAGES/JXY-7546-2024; Wolff, Eric W/D-7925-2014</t>
  </si>
  <si>
    <t>Wolff, Eric W/0000-0002-5914-8531; Tzedakis, Polychronis/0000-0001-6072-1166; Mitsui, Takahito/0000-0002-2825-3996</t>
  </si>
  <si>
    <t>German Research Foundation (DFG); Technical University of Munich (TUM); NERC [NE/V001620/1] Funding Source: UKRI</t>
  </si>
  <si>
    <t>German Research Foundation (DFG)(German Research Foundation (DFG)); Technical University of Munich (TUM); NERC(UK Research &amp; Innovation (UKRI)Natural Environment Research Council (NERC))</t>
  </si>
  <si>
    <t>This work was supported by the German Research Foundation (DFG) and the Technical University of Munich (TUM) in the framework of the Open Access Publishing Program.</t>
  </si>
  <si>
    <t>10.5194/cp-18-1983-2022</t>
  </si>
  <si>
    <t>4F0LX</t>
  </si>
  <si>
    <t>WOS:000848209200001</t>
  </si>
  <si>
    <t>Bax, N; Bayley, D</t>
  </si>
  <si>
    <t>Bax, Narissa; Bayley, Daniel</t>
  </si>
  <si>
    <t>Yorke Bay, Falkland Islands: a question for coastal management</t>
  </si>
  <si>
    <t>[Bax, Narissa; Bayley, Daniel] South Atlantic Environm Res Inst SAERI, Stanley, Falkland Island; [Bax, Narissa] Univ Tasmania, Ctr Marine Socioecol CMS, Inst Marine &amp; Antarctic Studies IMAS, Battery Point, Australia</t>
  </si>
  <si>
    <t>Bax, N (corresponding author), South Atlantic Environm Res Inst SAERI, Stanley, Falkland Island.;Bax, N (corresponding author), Univ Tasmania, Ctr Marine Socioecol CMS, Inst Marine &amp; Antarctic Studies IMAS, Battery Point, Australia.</t>
  </si>
  <si>
    <t>Bayley, Daniel/0000-0002-7715-0387</t>
  </si>
  <si>
    <t>10.1002/fee.2555</t>
  </si>
  <si>
    <t>4E7ZM</t>
  </si>
  <si>
    <t>WOS:000848040100007</t>
  </si>
  <si>
    <t>Prillaman, M</t>
  </si>
  <si>
    <t>Prillaman, McKenzie</t>
  </si>
  <si>
    <t>ANTARCTIC ICE CORE COULD BE WORLD'S OLDEST SO FAR</t>
  </si>
  <si>
    <t>Climate sciences; Climate change; Geochemistry; Environmental sciences</t>
  </si>
  <si>
    <t>Antarctic sample dated to between three million and five million years old extracted as international ice-drilling teams race to extend Earth's climate record.</t>
  </si>
  <si>
    <t>10.1038/d41586-022-02129-5</t>
  </si>
  <si>
    <t>4E3DN</t>
  </si>
  <si>
    <t>WOS:000847709400007</t>
  </si>
  <si>
    <t>Na, JS; Kim, T; Jin, EK; Yoon, ST; Lee, WS; Yun, S; Lee, J</t>
  </si>
  <si>
    <t>Na, Ji Sung; Kim, Taekyun; Jin, Emilia Kyung; Yoon, Seung-Tae; Lee, Won Sang; Yun, Sukyoung; Lee, Jiyeon</t>
  </si>
  <si>
    <t>Large-eddy simulations of the ice-shelf-ocean boundary layer near the ice front of Nansen Ice Shelf, Antarctica</t>
  </si>
  <si>
    <t>FRAZIL-ICE; SEA-ICE; MELT RATE; MODEL; SALINITY; SURFACE; PARAMETERIZATION; TEMPERATURE; VARIABILITY; CONVECTION</t>
  </si>
  <si>
    <t>Ice melting beneath Antarctic ice shelves is caused by heat transfer through the ice-shelf-ocean boundary layer (IOBL). However, our understanding of the fluid dynamics and thermohaline physics of the IOBL flow is poor. In this study, we utilize a large-eddy simulation (LES) model to investigate ocean dynamics and the role of turbulence within the IOBL flow near the ice front. To simulate the varying turbulence intensities, we imposed different theoretical profiles of the velocity. Far-field ocean conditions for the melting at the ice-shelf base and freezing at the sea surface were derived based on in situ observations of temperature and salinity near the ice front of the Nansen Ice Shelf. In terms of overturning features near the ice front, we validated the LES simulation results by comparing them with the in situ observational data. In the comparison of the velocity profiles to shipborne lowered acoustic Doppler current profiler (LADCP) data, the LES-derived strength of the overturning cells is similar to that obtained from the observational data. Moreover, the vertical distribution of the simulated temperature and salinity, which were mainly determined by the positively buoyant meltwater and sea-ice formation, was also comparable to that of the observations. We conclude that the IOBL flow near the ice front and its contribution to the ocean dynamics can be realistically resolved using our proposed method. Based on validated 3D-LES results, we revealed that the main forces of ocean dynamics near the ice front are driven by positively buoyant meltwater, concentrated salinity at the sea surface, and outflowing momentum of the sub-ice-shelf plume. Moreover, in the strong-turbulence case, distinct features such as a higher basal melt rate (0.153 m yr(-1)), weak upwelling of the positively buoyant ice-shelf water, and a higher sea-ice formation were observed, suggesting a relatively high speed current within the IOBL because of highly turbulent mixing. The findings of this study will contribute toward a deeper understanding of the complex IOBL-flow physics and its impact on the ocean dynamics near the ice front.</t>
  </si>
  <si>
    <t>[Na, Ji Sung; Jin, Emilia Kyung; Lee, Won Sang; Yun, Sukyoung; Lee, Jiyeon] Korea Polar Res Inst, Div Glacial Environm Res, Incheon 21990, South Korea; [Kim, Taekyun] Jeju Natl Univ, Dept Earth &amp; Marine Sci, Jeju 63243, South Korea; [Yoon, Seung-Tae] Kyungpook Natl Univ, Sch Earth Syst Sci, Daegu 41566, South Korea</t>
  </si>
  <si>
    <t>Korea Polar Research Institute (KOPRI); Jeju National University; Kyungpook National University</t>
  </si>
  <si>
    <t>Jin, EK (corresponding author), Korea Polar Res Inst, Div Glacial Environm Res, Incheon 21990, South Korea.</t>
  </si>
  <si>
    <t>jin@kopri.re.kr</t>
  </si>
  <si>
    <t>Yoon, Seung-Tae/GXV-4573-2022</t>
  </si>
  <si>
    <t>Yoon, Seung-Tae/0000-0002-0540-7577; Yun, Sukyoung/0000-0003-0778-7259; Lee, Won Sang/0000-0002-1074-7672</t>
  </si>
  <si>
    <t>Korea Institute of Marine Science and Technology Promotion (KIMST) - Ministry of Oceans and Fisheries; KIMST [20190361]</t>
  </si>
  <si>
    <t>Korea Institute of Marine Science and Technology Promotion (KIMST) - Ministry of Oceans and Fisheries(Korea Institute of Marine Science &amp; Technology Promotion (KIMST)); KIMST(Korea Institute of Marine Science &amp; Technology Promotion (KIMST))</t>
  </si>
  <si>
    <t>This work was supported by the Korea Institute of Marine Science and Technology Promotion (KIMST) grant funded by the Ministry of Oceans and Fisheries (grant no. KIMST 20190361).</t>
  </si>
  <si>
    <t>10.5194/tc-16-3451-2022</t>
  </si>
  <si>
    <t>4F0DU</t>
  </si>
  <si>
    <t>WOS:000848187800001</t>
  </si>
  <si>
    <t>Wu, LW; Wang, GH</t>
  </si>
  <si>
    <t>Wu, Lingwei; Wang, Guihua</t>
  </si>
  <si>
    <t>Surface net heat flux estimated from drifter observations</t>
  </si>
  <si>
    <t>drifter; air-sea net heat flux; entrainment velocity; eddy diffusivity; tropical cyclone</t>
  </si>
  <si>
    <t>TROPICAL CYCLONES; ENERGY-BALANCE; OCEAN; VARIABILITY; CIRCULATION; BUDGET; UNCERTAINTIES; CLIMATOLOGIES; TEMPERATURE; DIFFUSIVITY</t>
  </si>
  <si>
    <t>The ocean mixed layer temperature equation is used to estimate the surface net heat flux from drifter measurements. The net heat flux is determined for both the climatologic and tropical cyclone (TC) conditions. The spatial distributions of the drifter-derived heat fluxes under both the two conditions are similar to those derived from satellite observations. However, the drifter-derived climatologic heat flux appears to be weaker in magnitude than that derived from satellites, and performs better in closing the energy budget with a global mean value of 3.9 W m(-2). The drifter-derived heat flux also performs better than the satellite-derived heat flux under TCs, using the buoy observations as a reference considering metrics such as the meen error, mean absolute error, root mean-square error and percent bias. The spatially averaged mean net heat flux derived from drifters under TCs is -124 W m(-2) at 10 degrees N, and decreases to -85 W m(-2) at 30 degrees N, however, these values are much larger than those obtained from satellites (-63 W m(-2) and -21 W m(-2), respectively). As additional components for the mixed layer temperature equation, both the entrainment velocity and eddy diffusivity in climatology show large amplitudes in regions with strong currents such as the Western Boundary Current and Antarctic Circumpolar Current. However, under TC conditions large values of the entrainment velocity and eddy diffusivity mostly appear in regions with strong winds.</t>
  </si>
  <si>
    <t>[Wu, Lingwei; Wang, Guihua] Fudan Univ, Dept Atmospher &amp; Ocean Sci, Shanghai, Peoples R China; [Wu, Lingwei; Wang, Guihua] Fudan Univ, Inst Atmospher Sci, Shanghai, Peoples R China; [Wang, Guihua] Fudan Univ, CMA FDU Joint Lab Marine Meteorol, Shanghai, Peoples R China</t>
  </si>
  <si>
    <t>Fudan University; Fudan University; Fudan University</t>
  </si>
  <si>
    <t>Wang, GH (corresponding author), Fudan Univ, Dept Atmospher &amp; Ocean Sci, Shanghai, Peoples R China.;Wang, GH (corresponding author), Fudan Univ, Inst Atmospher Sci, Shanghai, Peoples R China.;Wang, GH (corresponding author), Fudan Univ, CMA FDU Joint Lab Marine Meteorol, Shanghai, Peoples R China.</t>
  </si>
  <si>
    <t>wghocean@yahoo.com</t>
  </si>
  <si>
    <t>Wang, Guihua/B-4458-2010</t>
  </si>
  <si>
    <t>National Key R&amp;D Program of China [2019YFC1510101]; National Natural Science Foundation of China [41976003]</t>
  </si>
  <si>
    <t>National Key R&amp;D Program of China; National Natural Science Foundation of China(National Natural Science Foundation of China (NSFC))</t>
  </si>
  <si>
    <t>L W W and G H W are supported by the National Key R&amp;D Program of China No. 2019YFC1510101 and the National Natural Science Foundation of China No. 41976003.</t>
  </si>
  <si>
    <t>10.1088/1748-9326/ac8821</t>
  </si>
  <si>
    <t>4D4ZB</t>
  </si>
  <si>
    <t>WOS:000847149000001</t>
  </si>
  <si>
    <t>Dodino, S; Riccialdelli, L; Polito, MJ; Pütz, K; Rey, AR</t>
  </si>
  <si>
    <t>Dodino, Samanta; Riccialdelli, Luciana; Polito, Michael J.; Putz, Klemens; Rey, Andrea Raya</t>
  </si>
  <si>
    <t>Intraspecific trophic variation during the early chick-rearing period in Magellanic penguins Spheniscus magellanicus: influence of age and colony location</t>
  </si>
  <si>
    <t>MARINE BIOLOGY</t>
  </si>
  <si>
    <t>Intraspecific competition; Trophic niche; Stable isotopes; Southern Ocean; Seabirds</t>
  </si>
  <si>
    <t>STABLE-ISOTOPE SIGNATURES; INTERANNUAL VARIATION; ROCKHOPPER PENGUINS; BEAGLE CHANNEL; DISCRIMINATION FACTORS; PROVISIONING BEHAVIOR; MARINE ECOSYSTEMS; DELTA-N-15 VALUES; POPULATION TRENDS; FORAGING BEHAVIOR</t>
  </si>
  <si>
    <t>Intraspecific competition for food resources has the potential to be high for central-place foragers such as penguins and can result in spatial and dietary foraging niche segregation among individuals of the same species. We sampled adults, chicks, and juvenile individuals' whole blood from three colonies of Magellanic penguins (Spheniscus magellanicus) from Tierra del Fuego along an inshore-offshore corridor. We analyzed the isotopic niche, the trophic position and the diet composition in penguins to investigate intraspecific trophic niche variation in relation to biological (age of individuals) and external factors (foraging habitats, colony location) using carbon (delta C-13) and nitrogen (delta N-15) stable isotope values. We found isotopic niche segregation between age classes within each colony. When comparing across colonies, only juvenile exhibited some degree of isotopic niche overlap among colonies. In addition, at all three colonies juveniles had the largest isotopic niches with relatively higher variation in delta C-13 values. All individuals consumed low trophic position (TP) prey items such as the pelagic form of Munida gregaria based on stable isotope mixing model results. Adults and juveniles incorporated high TP (silverside and nototheniids) prey items into their diets, except for juveniles from Martillo Island whose proportions mirror chicks' values. These results denote that parents consumed different prey items for themselves than for their chicks. Intraspecific trophic niche partitioning between colonies showed a decreasing delta C-13 and delta N-15 values from the nearest inshore colony relative to the farther offshore colonies. Understanding within and between colonies foraging strategies are important to set up connectivity between populations, status of the different colonies, and to develop adequate conservation actions.</t>
  </si>
  <si>
    <t>[Dodino, Samanta; Riccialdelli, Luciana; Rey, Andrea Raya] Consejo Nacl Invest Cient &amp; Tecn, Ctr Austral Invest Cient, Ecol &amp; Conservac Vida Silvestre, Ushuaia, Tierra Fuego, Argentina; [Polito, Michael J.] Louisiana State Univ, Dept Oceanog &amp; Coastal Sci, Baton Rouge, LA 70803 USA; [Putz, Klemens] Antarctic Res Trust, Bremervorde, Germany; [Rey, Andrea Raya] Univ Nacl Tierra del Fuego, Inst Ciencias Polares Ambiente &amp; Recursos Nat, Ushuaia, Tierra Fuego, Argentina; [Rey, Andrea Raya] Wildlife Conservat Soc, Buenos Aires, DF, Argentina</t>
  </si>
  <si>
    <t>Consejo Nacional de Investigaciones Cientificas y Tecnicas (CONICET); Louisiana State University System; Louisiana State University</t>
  </si>
  <si>
    <t>Dodino, S (corresponding author), Consejo Nacl Invest Cient &amp; Tecn, Ctr Austral Invest Cient, Ecol &amp; Conservac Vida Silvestre, Ushuaia, Tierra Fuego, Argentina.</t>
  </si>
  <si>
    <t>sami.dodino@gmail.com</t>
  </si>
  <si>
    <t>Polito, Michael/G-9118-2012; Dodino, Samanta/HHS-1916-2022</t>
  </si>
  <si>
    <t>Polito, Michael/0000-0001-8639-4431; Dodino, Samanta/0000-0002-5091-6063</t>
  </si>
  <si>
    <t>Agencia Nacional de Promocion Cientifica y Tecnologica [PICT 2012-1832, PICT 20141870]; Wildlife Conservation Society; Consejo Nacional de Investigaciones Cientificas y Tecnicas (CONICET); Antarctic Research Trust; CONICET</t>
  </si>
  <si>
    <t>Agencia Nacional de Promocion Cientifica y Tecnologica(ANPCyTSpanish Government); Wildlife Conservation Society; Consejo Nacional de Investigaciones Cientificas y Tecnicas (CONICET)(Consejo Nacional de Investigaciones Cientificas y Tecnicas (CONICET)); Antarctic Research Trust; CONICET(Consejo Nacional de Investigaciones Cientificas y Tecnicas (CONICET))</t>
  </si>
  <si>
    <t>This study was financially supported by the Agencia Nacional de Promocion Cientifica y Tecnologica (PICT 2012-1832, PICT 20141870), Wildlife Conservation Society, Consejo Nacional de Investigaciones Cientificas y Tecnicas (CONICET), and the Antarctic Research Trust. Research by S.D. was carried out under a PhD fellowship from CONICET.</t>
  </si>
  <si>
    <t>0025-3162</t>
  </si>
  <si>
    <t>1432-1793</t>
  </si>
  <si>
    <t>MAR BIOL</t>
  </si>
  <si>
    <t>Mar. Biol.</t>
  </si>
  <si>
    <t>10.1007/s00227-022-04100-4</t>
  </si>
  <si>
    <t>4E2QF</t>
  </si>
  <si>
    <t>WOS:000847674800001</t>
  </si>
  <si>
    <t>Chaput, J; Aster, RC; Karplus, M</t>
  </si>
  <si>
    <t>Chaput, Julien; Aster, Richard C.; Karplus, Marianne</t>
  </si>
  <si>
    <t>The singing firn</t>
  </si>
  <si>
    <t>ANNALS OF GLACIOLOGY</t>
  </si>
  <si>
    <t>Anisotropic ice; seismology; snow physics</t>
  </si>
  <si>
    <t>ROSS ICE SHELF; MELTWATER RETENTION; ACOUSTIC ANISOTROPY; SEISMIC NOISE; MODEL; DENSIFICATION; SITES</t>
  </si>
  <si>
    <t>Antarctic firn presents an exotic seismological environment in which the behaviors of propagating waves can be significantly at odds with those in other Earth media. We present a condensed view of the nascent field of ambient noise seismology in Antarctic firn-covered media, and highlight multiple unusual and information-rich observations framed through the lens of the firn's important role as a buffer for air temperature anomalies and a complex contributor to ice mass balance. We summarize key results from several recent papers depicting novel wind-excited firn resonances and point to the plethora of ways these observations could facilitate imaging and monitoring of glacial systems at single, isolated seismometers. Finally, we propose significant instrumental and computational objectives necessary to constrain resonance excitation mechanisms and broadly apply these observations as useful monitoring tools in Antarctica.</t>
  </si>
  <si>
    <t>[Chaput, Julien; Karplus, Marianne] Univ Texas Paso, Dept Earth Environm &amp; Resource Sci, El Paso, TX 79968 USA; [Aster, Richard C.] Colorado State Univ, Dept Geosci, Ft Collins, CO USA; [Aster, Richard C.] Colorado State Univ, Warner Coll Nat Resources, Ft Collins, CO USA</t>
  </si>
  <si>
    <t>Colorado State University; Colorado State University</t>
  </si>
  <si>
    <t>Chaput, J (corresponding author), Univ Texas Paso, Dept Earth Environm &amp; Resource Sci, El Paso, TX 79968 USA.</t>
  </si>
  <si>
    <t>jachaput@utep.edu</t>
  </si>
  <si>
    <t>The WAIS Divide data are from the Thwaites Interdisciplinary Margin Evolution (TIME) project of the NSF-NERC International Thwaites Glacier Collaboration. The RIS data were collected under NSF-PLR 1141916 and are archived at the EarthScope Data Management; Thwaites Interdisciplinary Margin Evolution (TIME) project of the NSF-NERC International Thwaites Glacier Collaboration [OPP-1739027, OPP-1744852]; National Science Foundation from awards [EAR-1851048]; Seismological Facility for the Advancement of Geoscience (SAGE) Award of the National Science Foundation; US Antarctic Program - University of Texas, El Paso startup funds [PLR-1142518, 1141916, 1142126, 1246151, 1246416, 1853896, 1142518, 1148982, 1249631, 1249602, 1249513, 1246666, 1246712, 1246776, 1247518]; National Science Foundation (NSF)</t>
  </si>
  <si>
    <t>The WAIS Divide data are from the Thwaites Interdisciplinary Margin Evolution (TIME) project of the NSF-NERC International Thwaites Glacier Collaboration. The RIS data were collected under NSF-PLR 1141916 and are archived at the EarthScope Data Management; Thwaites Interdisciplinary Margin Evolution (TIME) project of the NSF-NERC International Thwaites Glacier Collaboration; National Science Foundation from awards; Seismological Facility for the Advancement of Geoscience (SAGE) Award of the National Science Foundation; US Antarctic Program - University of Texas, El Paso startup funds; National Science Foundation (NSF)(National Science Foundation (NSF))</t>
  </si>
  <si>
    <t>The WAIS Divide data are from the Thwaites Interdisciplinary Margin Evolution (TIME) project of the NSF-NERC International Thwaites Glacier Collaboration. The RIS data were collected under NSF-PLR 1141916 and are archived at the EarthScope Data Management Center. The authors also acknowledge support by the National Science Foundation from awards OPP-1739027 and OPP-1744852. The facilities of the EarthScope Consortium were used for access to waveforms and related metadata used in this study. These services are funded through the Seismological Facility for the Advancement of Geoscience (SAGE) Award of the National Science Foundation under Cooperative Support Agreement EAR-1851048. We thank Galen Kaip, Reinhard Flick, and Patrick Shore for their technical support during field work. We thank the US Antarctic Program and the WAIS Divide Camp and support staff during the field work. This work was also partially funded by the University of Texas, El Paso startup funds (JC). Critical data collection from the Ross Ice Shelf and West Antarctica were supported by the National Science Foundation (NSF) Grant Numbers PLR-1142518, 1141916, 1142126, 1246151, 1246416, 1853896, 1142126, 1142518, 1148982, 1246151, 1249631, 1249602, 1249513, 1246666, 1246712, 1246776 and 1247518.)</t>
  </si>
  <si>
    <t>0260-3055</t>
  </si>
  <si>
    <t>1727-5644</t>
  </si>
  <si>
    <t>ANN GLACIOL</t>
  </si>
  <si>
    <t>Ann. Glaciol.</t>
  </si>
  <si>
    <t>87-89</t>
  </si>
  <si>
    <t>10.1017/aog.2023.34</t>
  </si>
  <si>
    <t>U6EA8</t>
  </si>
  <si>
    <t>WOS:001085702100027</t>
  </si>
  <si>
    <t>Kochtitzky, W; Copland, L; Van Wychen, W; Hock, R; Rounce, DR; Jiskoot, H; Scambos, TA; Morlighem, M; King, M; Cha, L; Gould, L; Merrill, PM; Glazovsky, A; Hugonnet, R; Strozzi, T; Nöel, B; Navarro, F; Millan, R; Dowdeswell, JA; Cook, A; Dalton, A; Khan, S; Jania, J</t>
  </si>
  <si>
    <t>Kochtitzky, William; Copland, Luke; Van Wychen, Wesley; Hock, Regine; Rounce, David R.; Jiskoot, Hester; Scambos, Ted A.; Morlighem, Mathieu; King, Michalea; Cha, Leo; Gould, Luke; Merrill, Paige-Marie; Glazovsky, Andrey; Hugonnet, Romain; Strozzi, Tazio; Noel, Brice; Navarro, Francisco; Millan, Romain; Dowdeswell, Julian A.; Cook, Alison; Dalton, Abigail; Khan, Shfaqat; Jania, Jacek</t>
  </si>
  <si>
    <t>Progress toward globally complete frontal ablation estimates of marine-terminating glaciers</t>
  </si>
  <si>
    <t>Antarctic glaciology; arctic glaciology; calving; glacier calving; remote sensing</t>
  </si>
  <si>
    <t>GREENLAND OUTLET GLACIERS; SURFACE MASS-BALANCE; BASAL MELT RATES; ICE DISCHARGE; COMPLETE INVENTORY; TIDEWATER GLACIER; LECONTE GLACIER; SUBMARINE MELT; SHELVES; DRIVEN</t>
  </si>
  <si>
    <t>Knowledge of frontal ablation from marine-terminating glaciers (i.e., mass lost at the calving face) is critical for constraining glacier mass balance, improving projections of mass change, and identifying the processes that govern frontal mass loss. Here, we discuss the challenges involved in computing frontal ablation and the unique issues pertaining to both glaciers and ice sheets. Frontal ablation estimates require numerous datasets, including glacier terminus area change, thickness, surface velocity, density, and climatic mass balance. Observations and models of these variables have improved over the past decade, but significant gaps and regional discrepancies remain, and better quantification of temporal variability in frontal ablation is needed. Despite major advances in satellite-derived large-scale datasets, large uncertainties remain with respect to ice thickness, depth-averaged velocities, and the bulk density of glacier ice close to calving termini or grounding lines. We suggest ways in which we can move toward globally complete frontal ablation estimates, highlighting areas where we need improved datasets and increased collaboration.</t>
  </si>
  <si>
    <t>[Kochtitzky, William; Cha, Leo; Gould, Luke; Merrill, Paige-Marie] Univ New England, Sch Marine &amp; Environm Programs, Biddeford, ME 04005 USA; [Copland, Luke; Van Wychen, Wesley; Dalton, Abigail] Univ Ottawa, Dept Geog Environm &amp; Geomat, Ottawa, ON, Canada; [Van Wychen, Wesley] Univ Waterloo, Dept Geog &amp; Environm Management, Waterloo, ON, Canada; [Hock, Regine] Univ Oslo, Dept Geosci, Oslo, Norway; [Hock, Regine] Univ Alaska Fairbanks, Geophys Inst, Fairbanks, AK USA; [Rounce, David R.] Carnegie Mellon Univ, Dept Civil &amp; Environm Engn, Pittsburgh, PA USA; [Jiskoot, Hester] Univ Lethbridge, Dept Geog &amp; Environm, Lethbridge, AB, Canada; [Scambos, Ted A.] Univ Colorado, Earth Sci Observat Ctr, CIRES, Boulder, CO USA; [Morlighem, Mathieu] Dartmouth Coll, Dept Earth Sci, Hanover, NH USA; [King, Michalea] Univ Washington, Appl Phys Lab, Seattle, WA USA; [Glazovsky, Andrey] Russian Acad Sci, Inst Geog, Moscow, Russia; [Hugonnet, Romain] Univ Toulouse, LEGOS, CNES, CNRS,IRD,UPS, Toulouse, France; [Hugonnet, Romain] Swiss Fed Inst Technol, Lab Hydraul Hydrol &amp; Glaciol VAW, Zurich, Switzerland; [Hugonnet, Romain] Swiss Fed Inst Forest Snow &amp; Landscape Res WSL, Birmensdorf, Switzerland; [Strozzi, Tazio] Gamma Remote Sensing, Gumlingen, BE, Switzerland; [Strozzi, Tazio; Noel, Brice] Univ Liege, Dept Geog, Lab Climatol &amp; Topoclimatol, Liege, Belgium; [Noel, Brice] Univ Utrecht, Inst Marine &amp; Atmospher Res Utrecht, Utrecht, Netherlands; [Navarro, Francisco] Univ Politecn Madrid, Dept Matemat Aplicada TIC, Madrid, Spain; [Millan, Romain] CNES, Inst Geosci Environm, Grenoble, France; [Dowdeswell, Julian A.] Univ Cambridge, Scott Polar Res Inst, Cambridge, England; [Cook, Alison] Scottish Assoc Marine Sci, Oban, Scotland; [Khan, Shfaqat] Tech Univ Denmark, DTU Space, Lyngby, Denmark; [Jania, Jacek] Univ Silesia, Katowice, Poland</t>
  </si>
  <si>
    <t>University of New England - Maine; University of Ottawa; University of Waterloo; University of Oslo; University of Alaska System; University of Alaska Fairbanks; Carnegie Mellon University; University of Lethbridge; University of Colorado System; University of Colorado Boulder; Dartmouth College; University of Washington; University of Washington Seattle; Russian Academy of Sciences; Institute of Geography, Russian Academy of Sciences; Universite de Toulouse; Universite Toulouse III - Paul Sabatier; Centre National de la Recherche Scientifique (CNRS); Institut de Recherche pour le Developpement (IRD); Laboratoire d'Etudes en Geophysique et oceanographie spatiales; Swiss Federal Institutes of Technology Domain; ETH Zurich; Swiss Federal Institutes of Technology Domain; Swiss Federal Institute for Forest, Snow &amp; Landscape Research; GAMMA Remote Sensing AG; University of Liege; Utrecht University; Universidad Politecnica de Madrid; University of Cambridge; UHI Millennium Institute; Technical University of Denmark; University of Silesia in Katowice</t>
  </si>
  <si>
    <t>Kochtitzky, W (corresponding author), Univ New England, Sch Marine &amp; Environm Programs, Biddeford, ME 04005 USA.</t>
  </si>
  <si>
    <t>wkochtitzky@une.edu</t>
  </si>
  <si>
    <t>Hock, Regine/JTT-4089-2023; Hugonnet, Romain/JYP-3465-2024; Morlighem, Mathieu/O-9942-2014; Khan, Shfaqat Abbas/B-2664-2012</t>
  </si>
  <si>
    <t>Hock, Regine/0000-0001-8336-9441; Hugonnet, Romain/0000-0002-0955-1306; Morlighem, Mathieu/0000-0001-5219-1310; Rounce, David/0000-0002-4481-4191; Kochtitzky, William/0000-0001-9487-1509; Jania, Jacek/0000-0002-8531-7394; Khan, Shfaqat Abbas/0000-0002-2689-8563; SCAMBOS, Ted A./0000-0003-4268-6322; Copland, Luke/0000-0001-5374-2145; Jiskoot, Hester/0000-0003-0849-5223</t>
  </si>
  <si>
    <t>We thank Tavi Murray for establishing the International Glaciological Society Global Seminar Series talks from which this contribution developed, and we thank two anonymous reviewers and the Annals of Glaciology issue editors, especially Dr Michael Wood, f; University of Ottawa, Natural Sciences and Engineering Research Council of Canada; ArcticNet Network of Centres of Excellence Canada [80NSSC20K1296, 80NSSC20K1595]; NASA</t>
  </si>
  <si>
    <t>We thank Tavi Murray for establishing the International Glaciological Society Global Seminar Series talks from which this contribution developed, and we thank two anonymous reviewers and the Annals of Glaciology issue editors, especially Dr Michael Wood, f; University of Ottawa, Natural Sciences and Engineering Research Council of Canada; ArcticNet Network of Centres of Excellence Canada; NASA(National Aeronautics &amp; Space Administration (NASA))</t>
  </si>
  <si>
    <t>We thank Tavi Murray for establishing the International Glaciological Society Global Seminar Series talks from which this contribution developed, and we thank two anonymous reviewers and the Annals of Glaciology issue editors, especially Dr Michael Wood, for their comments and suggestions. We acknowledge funding from the University of Ottawa, Natural Sciences and Engineering Research Council of Canada, and ArcticNet Network of Centres of Excellence Canada, which helped to support this work. DR and RH were supported by NASA grants 80NSSC20K1296 and 80NSSC20K1595</t>
  </si>
  <si>
    <t>10.1017/aog.2023.35</t>
  </si>
  <si>
    <t>WOS:001085702100028</t>
  </si>
  <si>
    <t>Alley, RB; Holschuh, N; Parizek, B; Zoet, LK; Riverman, K; Muto, A; Christianson, K; Clyne, E; Anandakrishnan, S; Stevens, NT</t>
  </si>
  <si>
    <t>Alley, Richard B.; Holschuh, Nick; Parizek, Byron; Zoet, Lucas K.; Riverman, Kiya; Muto, Atsuhiro; Christianson, Knut; Clyne, Elisabeth; Anandakrishnan, Sridhar; Stevens, Nathan T.</t>
  </si>
  <si>
    <t>GHOSTly flute music: drumlins, moats and the bed of Thwaites Glacier</t>
  </si>
  <si>
    <t>Glacial tills; glacier modelling; subglacial processes</t>
  </si>
  <si>
    <t>ANTARCTIC ICE-SHEET; BENEATH; STABILITY</t>
  </si>
  <si>
    <t>Glacier-bed characteristics that are poorly known and modeled are important in projected sea-level rise from ice-sheet changes under strong warming, especially in the Thwaites Glacier drainage of West Antarctica. Ocean warming may induce ice-shelf thinning or loss, or thinning of ice in estuarine zones, reducing backstress on grounded ice. Models indicate that, in response, more-nearly-plastic beds favor faster ice loss by causing larger flow acceleration, but more-nearly-viscous beds favor localized near-coastal thinning that could speed grounding-zone retreat into interior basins where marine-ice-sheet instability or cliff instability could develop and cause very rapid ice loss. Interpretation of available data indicates that the bed is spatially mosaicked, with both viscous and plastic regions. Flow against bedrock topography removes plastic lubricating tills, exposing bedrock that is eroded on up-glacier sides of obstacles to form moats with exposed bedrock tails extending downglacier adjacent to lee-side soft-till bedforms. Flow against topography also generates high-ice-pressure zones that prevent inflow of lubricating water over distances that scale with the obstacle size. Extending existing observations to sufficiently large regions, and developing models assimilating such data at the appropriate scale, present large, important research challenges that must be met to reliably project future forced sea-level rise.</t>
  </si>
  <si>
    <t>[Alley, Richard B.; Parizek, Byron; Clyne, Elisabeth; Anandakrishnan, Sridhar; Stevens, Nathan T.] Penn State Univ, Dept Geosci, University Pk, PA 16802 USA; [Alley, Richard B.; Parizek, Byron; Clyne, Elisabeth; Anandakrishnan, Sridhar; Stevens, Nathan T.] Penn State Univ, Earth &amp; Environm Syst Inst, University Pk, PA 16802 USA; [Holschuh, Nick] Amherst Coll, Dept Geol, Amherst, MA USA; [Parizek, Byron] Penn State Univ, Math &amp; Geosci, Du Bois, PA USA; [Zoet, Lucas K.] Univ Wisconsin, Dept Geosci, Madison, WI USA; [Riverman, Kiya] Univ Portland, Dept Environm Studies, Portland, OR USA; [Muto, Atsuhiro] Temple Univ, Dept Earth &amp; Environm Sci, Philadelphia, PA USA; [Christianson, Knut] Univ Washington, Dept Earth &amp; Space Sci, Seattle, WA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</si>
  <si>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Amherst College; Pennsylvania Commonwealth System of Higher Education (PCSHE); Pennsylvania State University; University of Wisconsin System; University of Wisconsin Madison; University of Portland; Pennsylvania Commonwealth System of Higher Education (PCSHE); Temple University; University of Washington; University of Washington Seattle</t>
  </si>
  <si>
    <t>Alley, RB (corresponding author), Penn State Univ, Dept Geosci, University Pk, PA 16802 USA.;Alley, RB (corresponding author), Penn State Univ, Earth &amp; Environm Syst Inst, University Pk, PA 16802 USA.</t>
  </si>
  <si>
    <t>rba6@psu.edu</t>
  </si>
  <si>
    <t>Alley, Richard/0000-0003-1833-0115; Muto, Atsuhiro/0000-0002-1722-2457; Holschuh, Nicholas/0000-0003-1703-5085</t>
  </si>
  <si>
    <t>We thank Doug MacAyeal, who was essential in the research but who is an editor of this volume and chose not to be a coauthor to avoid perceived conflict of interest. We thank Andy Smith and other colleagues in GHOST and other parts of the International Thw [AGS-1338832, NSF-NERC-OPP-1738934]; U.S. National Science Foundation [80NSSC22K0384]; NASA [2018-0769]; Heising-Simons Foundation</t>
  </si>
  <si>
    <t>We thank Doug MacAyeal, who was essential in the research but who is an editor of this volume and chose not to be a coauthor to avoid perceived conflict of interest. We thank Andy Smith and other colleagues in GHOST and other parts of the International Thw; U.S. National Science Foundation(National Science Foundation (NSF)); NASA(National Aeronautics &amp; Space Administration (NASA)); Heising-Simons Foundation</t>
  </si>
  <si>
    <t>We thank Doug MacAyeal, who was essential in the research but who is an editor of this volume and chose not to be a coauthor to avoid perceived conflict of interest. We thank Andy Smith and other colleagues in GHOST and other parts of the International Thwaites Glacier Collaboration (ITGC), many of whom were in the field as this was being written. We also thank colleagues at the Center for Remote Sensing of Ice Sheets (CReSIS). This research was supported by the U.S. National Science Foundation under grants AGS-1338832 and NSF-NERC-OPP-1738934, NASA under grant 80NSSC22K0384, and the Heising-Simons Foundation under grant 2018-0769. The seismic and radar data for this study were published with the papers cited. No new data are presented here; data are available through the papers cited.</t>
  </si>
  <si>
    <t>10.1017/aog.2023.43</t>
  </si>
  <si>
    <t>WOS:001085702100029</t>
  </si>
  <si>
    <t>Graly, JA; Rezvanbehbahani, S</t>
  </si>
  <si>
    <t>Graly, Joseph A.; Rezvanbehbahani, Soroush</t>
  </si>
  <si>
    <t>Geological and glacial-hydrologic controls on chemical weathering in the subglacial environment</t>
  </si>
  <si>
    <t>glacier hydrochemistry; glacier hydrology; subglacial processes</t>
  </si>
  <si>
    <t>GREENLAND ICE-SHEET; MCMURDO DRY VALLEYS; HIGH-ARCTIC GLACIER; BULK MELT WATERS; SOLUTE ACQUISITION; HYDROCHEMICAL CHARACTERISTICS; GARHWAL HIMALAYA; DRAINAGE SYSTEM; SOUTH SVALBARD; THERMAL STATE</t>
  </si>
  <si>
    <t>A comparison of major ion chemistry of subglacial boreholes and discharging subglacial waters reveals three fundamentally different glacier hydrochemical regimes. Subglacial waters from alpine glaciers have chemistry distinct from the subglacial waters of Greenland or Antarctica. Greenland and Antarctica also differ fundamentally from each other, with Greenland Ice Sheet waters, at least during the summer melt season, remaining dilute and unaffected by saturation reactions and Antarctic Ice Sheet waters controlled by a range of saturation states. Some Antarctic waters form concentrated brines, capable of depressing the freezing point by &gt;10(degrees)C. While these waters have only been directly sampled where they rarely emerge, geophysical observations from Devon Ice Cap and Greenland show liquid water at the glacier bed in locations where ice is thin and slowly moving and a cold bed is otherwise expected. This raises the possibility that lithogenic subglacial brines could be widespread and that our existing subglacial hydrochemical measurements might be biased by seasonal sampling of freely discharging water. The potential for diverse ranges of subglacial environments under ice sheets suggests the need for new and ambitious sampling programs to characterize difficult to access subglacial waters and quantify their impact on glacier dynamics, geobiology and global geochemical cycling.</t>
  </si>
  <si>
    <t>[Graly, Joseph A.] Northumbria Univ, Dept Geog &amp; Environm Sci, Newcastle Upon Tyne NE1 8ST, England; [Rezvanbehbahani, Soroush] Univ Kansas, Dept Geol, Lawrence, KS USA</t>
  </si>
  <si>
    <t>Northumbria University; University of Kansas</t>
  </si>
  <si>
    <t>Graly, JA (corresponding author), Northumbria Univ, Dept Geog &amp; Environm Sci, Newcastle Upon Tyne NE1 8ST, England.</t>
  </si>
  <si>
    <t>joseph.graly@northumbria.ac.uk</t>
  </si>
  <si>
    <t>Graly, Joseph/0000-0002-7939-6022</t>
  </si>
  <si>
    <t>We gratefully acknowledge Tavi Murry and the IGS for organising the online seminar series and inviting J Gralyapos;s talk, on which this paper is based. We also thank Martyn Tranter for editing and two anonymous reviewers for their constructive feedback.</t>
  </si>
  <si>
    <t>We gratefully acknowledge Tavi Murry and the IGS for organising the online seminar series and inviting J Graly's talk, on which this paper is based. We also thank Martyn Tranter for editing and two anonymous reviewers for their constructive feedback.</t>
  </si>
  <si>
    <t>10.1017/aog.2023.56</t>
  </si>
  <si>
    <t>WOS:001085702100031</t>
  </si>
  <si>
    <t>Weiskopf, SR; Myers, BJE; Arce-Plata, MI; Blanchard, JL; Ferrier, S; Fulton, EA; Harfoot, M; Isbell, F; Johnson, JA; Mori, AS; Weng, ES; Harmácková, Z; Londoño-Murcia, MC; Miller, BW; Pereira, LM; Rosa, IMD</t>
  </si>
  <si>
    <t>Weiskopf, Sarah R.; Myers, Bonnie J. E.; Arce-Plata, Maria Isabel; Blanchard, Julia L.; Ferrier, Simon; Fulton, Elizabeth A.; Harfoot, Mike; Isbell, Forest; Johnson, Justin A.; Mori, Akira S.; Weng, Ensheng; Harmackova, Zuzana, V; Londono-Murcia, Maria Cecilia; Miller, Brian W.; Pereira, Laura M.; Rosa, Isabel M. D.</t>
  </si>
  <si>
    <t>A Conceptual Framework to Integrate Biodiversity, Ecosystem Function, and Ecosystem Service Models</t>
  </si>
  <si>
    <t>BIOSCIENCE</t>
  </si>
  <si>
    <t>biodiversity; biodiversity-ecosystem function relationships; ecosystem function; ecosystem services; modeling; sustainability; trait-based modeling</t>
  </si>
  <si>
    <t>DIVERSITY; MARINE; VEGETATION; FOREST; PRODUCTIVITY; REDUNDANCY; INSURANCE; SCENARIOS; GEOGRAPHY; DYNAMICS</t>
  </si>
  <si>
    <t>Global biodiversity and ecosystem service models typically operate independently. Ecosystem service projections may therefore be overly optimistic because they do not always account for the role of biodiversity in maintaining ecological functions. We review models used in recent global model intercomparison projects and develop a novel model integration framework to more fully account for the role of biodiversity in ecosystem function, a key gap for linking biodiversity changes to ecosystem services. We propose two integration pathways. The first uses empirical data on biodiversity-ecosystem function relationships to bridge biodiversity and ecosystem function models and could currently be implemented globally for systems and taxa with sufficient data. We also propose a trait-based approach involving greater incorporation of biodiversity into ecosystem function models. Pursuing both approaches will provide greater insight into biodiversity and ecosystem services projections. Integrating biodiversity, ecosystem function, and ecosystem service modeling will enhance policy development to meet global sustainability goals.</t>
  </si>
  <si>
    <t>[Weiskopf, Sarah R.] US Geol Survey, Natl Climate Adaptat Sci Ctr, 959 Natl Ctr, Reston, VA 22092 USA; [Myers, Bonnie J. E.] North Carolina State Univ, North Carolina Cooperat Fish &amp; Wildlife Res Unit, Raleigh, NC USA; [Myers, Bonnie J. E.] North Carolina State Univ, Dept Appl Ecol, Raleigh, NC USA; [Arce-Plata, Maria Isabel; Londono-Murcia, Maria Cecilia] Inst Invest Recursos Biol Alexander von Humboldt, Bogota, Colombia; [Blanchard, Julia L.] Univ Tasmania, Inst Marine &amp; Antarctic Studies, Hobart, Tas, Australia; [Blanchard, Julia L.; Fulton, Elizabeth A.] Univ Tasmania, Ctr Marine Socioecol, Hobart, Tas, Australia; [Ferrier, Simon] CSIRO, Land &amp; Water, Canberra, ACT, Australia; [Fulton, Elizabeth A.] Univ Tasmania, CSIRO, Oceans &amp; Atmosphere, Hobart, Tas, Australia; [Harfoot, Mike] World Conservat Monitoring Ctr, United Nations Environm Programme, Cambridge, England; [Harfoot, Mike] Vizzuality, Madrid, Spain; [Isbell, Forest] Univ Minnesota, Dept Ecol Evolut &amp; Behav, St Paul, MN USA; [Johnson, Justin A.] Univ Minnesota, Dept Appl Econ, St Paul, MN 55108 USA; [Mori, Akira S.] Univ Tokyo, Res Ctr Adv Sci &amp; Technol, Meguro, Tokyo, Japan; [Weng, Ensheng] Columbia Univ, Ctr Climate Syst Res, New York, NY USA; [Weng, Ensheng] NASA, Goddard Inst Space Studies, New York, NY 10025 USA; [Harmackova, Zuzana, V] Czech Acad Sci, Global Change Res Inst, Brno, Czech Republic; [Harmackova, Zuzana, V; Pereira, Laura M.] Stockholm Univ, Stockholm Resilience Ctr, Stockholm, Sweden; [Miller, Brian W.] US Geol Survey, North Cent Climate Adaptat Sci Ctr, Boulder, CO USA; [Pereira, Laura M.] Univ Witwatersrand, Global Change Inst, Johannesburg, South Africa; [Rosa, Isabel M. D.] Bangor Univ, Sch Nat Sci, Bangor, Gwynedd, Wales</t>
  </si>
  <si>
    <t>United States Department of the Interior; United States Geological Survey; North Carolina State University; North Carolina State University; Alliance; International Center for Tropical Agriculture - CIAT; University of Tasmania; University of Tasmania; Commonwealth Scientific &amp; Industrial Research Organisation (CSIRO); CSIRO Land &amp; Water; Commonwealth Scientific &amp; Industrial Research Organisation (CSIRO); University of Tasmania; University of Minnesota System; University of Minnesota Twin Cities; University of Minnesota System; University of Minnesota Twin Cities; University of Tokyo; Columbia University; National Aeronautics &amp; Space Administration (NASA); NASA Goddard Space Flight Center; Goddard Institute for Space Studies; Czech Academy of Sciences; Global Change Research Centre of the Czech Academy of Sciences; Stockholm University; United States Department of the Interior; United States Geological Survey; University of Witwatersrand; Bangor University</t>
  </si>
  <si>
    <t>Weiskopf, SR (corresponding author), US Geol Survey, Natl Climate Adaptat Sci Ctr, 959 Natl Ctr, Reston, VA 22092 USA.</t>
  </si>
  <si>
    <t>Weiskopf, Sarah/K-1633-2019; Harmáčková, Zuzana V./G-1886-2014; Isbell, Forest/C-6915-2012; Mori, Akira S/A-6570-2013; Miller, Brian W/D-3005-2016; Fulton, Beth/AAJ-1398-2021; Weng, Ensheng/E-4390-2012; Pereira, Laura/L-7258-2013; Ferrier, Simon/C-1490-2009</t>
  </si>
  <si>
    <t>Weiskopf, Sarah/0000-0002-5933-8191; Harmáčková, Zuzana V./0000-0001-7711-4135; Isbell, Forest/0000-0001-9689-769X; Mori, Akira S/0000-0002-8422-1198; Fulton, Beth/0000-0002-5904-7917; Pereira, Laura/0000-0002-4996-7234;</t>
  </si>
  <si>
    <t>National Socio-Environmental Synthesis Center under National Science Foundation [DBI-1639145]; US Geological Survey National Central Climate Adaptation Science Center; US Geological Survey North Central Climate Adaptation Science Center</t>
  </si>
  <si>
    <t>National Socio-Environmental Synthesis Center under National Science Foundation; US Geological Survey National Central Climate Adaptation Science Center; US Geological Survey North Central Climate Adaptation Science Center</t>
  </si>
  <si>
    <t>This work was supported by the National Socio-Environmental Synthesis Center under funding received from the National Science Foundation (grant no. DBI-1639145). A portion of this research was supported by the US Geological Survey National and North Central Climate Adaptation Science Centers. Any use of trade, firm, or product names is for descriptive purposes only and does not imply endorsement by the US government. We thank Toni Lyn Morelli and the journal reviewers for their helpful comments.</t>
  </si>
  <si>
    <t>0006-3568</t>
  </si>
  <si>
    <t>1525-3244</t>
  </si>
  <si>
    <t>Bioscience</t>
  </si>
  <si>
    <t>OCT 30</t>
  </si>
  <si>
    <t>10.1093/biosci/biac074</t>
  </si>
  <si>
    <t>5T4SF</t>
  </si>
  <si>
    <t>WOS:000848472700001</t>
  </si>
  <si>
    <t>Perskin, JB; Traum, MJ; von Hippel, T; Boetcher, SKS</t>
  </si>
  <si>
    <t>Perskin, Jennifer B.; Traum, Matthew J.; von Hippel, Ted; Boetcher, Sandra K. S.</t>
  </si>
  <si>
    <t>On the feasibility of precompression for direct atmospheric cryogenic carbon capture</t>
  </si>
  <si>
    <t>CARBON CAPTURE SCIENCE &amp; TECHNOLOGY</t>
  </si>
  <si>
    <t>CO 2 Desublimation; Direct-air capture; Thermodynamics; Cryogenics; Arctic/Antarctica</t>
  </si>
  <si>
    <t>CO2 CAPTURE; DIOXIDE; DEPOSITION; SEPARATION; PRESSURES; NITROGEN; SYSTEM; MODEL</t>
  </si>
  <si>
    <t>Carbon dioxide (CO2) capture is a crucial approach to reducing greenhouse gases in the atmosphere to directly combat climate change. Major components of the technology to desublimate CO2 at cryogenic temperatures are mature and have the potential to be applied to build large Artic/Antarctic direct-air CO2 capture plants. The discussion of precompression of atmospheric air for a direct-air capture CO2 system using an attached waste-cool  precooler is examined in this study. In this novel approach, a thermodynamic model based on psychrometric theories is evaluated to determine the required work input of the system at various inlet compression ratios and various inlet temperatures. Turbine recovery is also considered for the potential to capture waste energy. The results show that precompression integrated with a turbine recovery system does not provide a net energy benefit compared to a system with no precompression.</t>
  </si>
  <si>
    <t>[Perskin, Jennifer B.; Boetcher, Sandra K. S.] Embry Riddle Aeronaut Univ, Dept Mech Engn, Daytona Beach, FL USA; [Traum, Matthew J.] Univ Florida, Dept Mech &amp; Aerosp Engn, Gainesville, FL USA; [von Hippel, Ted] Embry Riddle Aeronaut Univ, Dept Phys Sci, Daytona Beach, FL USA; [Boetcher, Sandra K. S.] 1 Aerosp Blvd, Daytona Beach, FL 32114 USA</t>
  </si>
  <si>
    <t>Embry-Riddle Aeronautical University; State University System of Florida; University of Florida; Embry-Riddle Aeronautical University</t>
  </si>
  <si>
    <t>Boetcher, SKS (corresponding author), 1 Aerosp Blvd, Daytona Beach, FL 32114 USA.</t>
  </si>
  <si>
    <t>sandra.boetcher@erau.edu</t>
  </si>
  <si>
    <t>Boetcher, Sandra/0000-0003-2975-2073; Traum, Matthew/0000-0002-1105-0439; von Hippel, Ted/0000-0002-5775-2866</t>
  </si>
  <si>
    <t>2772-6568</t>
  </si>
  <si>
    <t>CARBON CAPTURE SCI T</t>
  </si>
  <si>
    <t>Carbon Capture Sci. Technol.</t>
  </si>
  <si>
    <t>10.1016/j.ccst.2022.100063</t>
  </si>
  <si>
    <t>Green &amp; Sustainable Science &amp; Technology; Engineering, Environmental; Engineering, Chemical</t>
  </si>
  <si>
    <t>Science &amp; Technology - Other Topics; Engineering</t>
  </si>
  <si>
    <t>Q8AB0</t>
  </si>
  <si>
    <t>WOS:001059683800002</t>
  </si>
  <si>
    <t>Sánchez-Jardón, L; Uribe-Paredes, R; alvarez-Saravia, D; Aldea, C; Raimilla, V; Velázquez, E; Millán, S; Aguila, J</t>
  </si>
  <si>
    <t>Sanchez-Jardon, Laura; Uribe-Paredes, Roberto; alvarez-Saravia, Diego; Aldea, Cristian; Raimilla, Victor; Velazquez, Eduardo; Millan, Susana; aguila, Julio</t>
  </si>
  <si>
    <t>Regional biodiversity information management: fostering participatory science in southern Chile</t>
  </si>
  <si>
    <t>ECOSISTEMAS</t>
  </si>
  <si>
    <t>biodiversity databases; Chilean Patagonia; GBIF; sub-Antarctic region</t>
  </si>
  <si>
    <t>CONSERVATION STATUS; INVENTORY DATA; FORESTS; SCALE; INDICATORS; HABITATS; THREATS; TOOLS; SPAIN</t>
  </si>
  <si>
    <t>Local management of biodiversity information: fostering community-based science in southern Chile. The Biodiversity Information Facility for Aysen (SIB-Aysen) is a collaborative and interactive platform for consultation and management of biological data that currently contains more than 10 000 records of some 2800 species of plants, animals, fungi and microalgae present in the sub-Antarctic region of Aysen, Chile. To build the database, records published in specialized journals, informative publications and technical documents validated by the scientific community were compiled and systematized according to the Darwin Core standard. The platform, built using open-access tools, shows for each species a file with a general description, photo gallery and georeferenced records. It is available to the public on the Internet through the link https://kataix.umag.cl/sib-aysen/. There is a module for citizen participation that allows local communities to enter their own participatory records, which must be validated by specialists. The participatory process has been developed through various social innovation initiatives such as Hongusto and the Open Laboratory of Subantarctic Sciences, in which scientists and local communities have been involved. This article presents the process of generating this system to expand the knowledge and valuation of local biodiversity.</t>
  </si>
  <si>
    <t>[Sanchez-Jardon, Laura; Raimilla, Victor; Velazquez, Eduardo; Millan, Susana] Univ Magallanes, Ctr Univ Coyha, Jose Miguel Carrera 485, Coyhaique, Chile; [Sanchez-Jardon, Laura] Ctr Int Cabo Hornos CHIC, Teniente Munoz 166, Puerto Williams, Chile; [Uribe-Paredes, Roberto; aguila, Julio] Univ Magallanes, Dept Ingn Comp, Ave Bulnes 01855, Punta Arenas, Chile; [alvarez-Saravia, Diego] Univ Magallanes, Escuela Med, Ave Bulnes 01855, Punta Arenas, Chile; [Aldea, Cristian] Univ Magallanes, Fac Ciencias, Dept Ciencias &amp; Recursos Nat, Ave Bulnes 01855, Punta Arenas, Chile; [Aldea, Cristian] Univ Magallanes, Ctr Invest GAIA Antartica, Ave Bulnes 01855, Punta Arenas, Chile; [Raimilla, Victor] Fdn Parque Tapera, Caleta Tortel, Region De Aysen, Chile; [Velazquez, Eduardo] Univ Valladolid, Inst Univ Gest Forestal Sostenible, Palencia, Spain; [Velazquez, Eduardo] Univ Valladolid, Escuela Ingn Agr, Palencia, Spain</t>
  </si>
  <si>
    <t>Universidad de Magallanes; Universidad de Magallanes; Universidad de Magallanes; Universidad de Magallanes; Universidad de Magallanes; Universidad de Valladolid; Universidad de Valladolid</t>
  </si>
  <si>
    <t>Sánchez-Jardón, L (corresponding author), Univ Magallanes, Ctr Univ Coyha, Jose Miguel Carrera 485, Coyhaique, Chile.;Sánchez-Jardón, L (corresponding author), Ctr Int Cabo Hornos CHIC, Teniente Munoz 166, Puerto Williams, Chile.</t>
  </si>
  <si>
    <t>laura.sanchez@umag.cl</t>
  </si>
  <si>
    <t>ASOCIACION ESPANOLA ECOLOGIA TERRESTRE</t>
  </si>
  <si>
    <t>MOSTOLES</t>
  </si>
  <si>
    <t>C/ TULIPSAN S-N, DEPT BIOLOGIA &amp; GEOLOGIA, UNIV REY JUAN CARLOS, MOSTOLES, 28933, SPAIN</t>
  </si>
  <si>
    <t>1697-2473</t>
  </si>
  <si>
    <t>Ecosistemas</t>
  </si>
  <si>
    <t>SEP-DEC</t>
  </si>
  <si>
    <t>10.7818/ECOS.2385</t>
  </si>
  <si>
    <t>GC1C1</t>
  </si>
  <si>
    <t>WOS:001150360600018</t>
  </si>
  <si>
    <t>Sánchez-Jardón, L; Miranda, BR; Peral, EG; Bunster, C; Acosta-Gallo, B</t>
  </si>
  <si>
    <t>Sanchez-Jardon, Laura; Miranda, Beatriz Ramos; Peral, Emma Gomez; Bunster, Claudia; Acosta-Gallo, Belen</t>
  </si>
  <si>
    <t>Monitoring of arthropod bioindicators in urban areas: objectives, experiences, and perspectives</t>
  </si>
  <si>
    <t>biodiversity databases; Chilean Patagonia; GBIF; sub-Antarctic region; whale watching</t>
  </si>
  <si>
    <t>BIOLOGICAL INVASIONS; FOREST; MANAGEMENT; INVENTORY; EXPANSION; FLORA; AUC</t>
  </si>
  <si>
    <t>The sub-Antarctic ecoregion of Chile, which includes the administrative regions of Aysen and Magallanes, is characterized by its high degree of endemicity and the uniqueness of its species given its proximity to Antarctica. In particular, the sub-Antarctic channels and fjords, with more than 100 000 km of coastline and a complex geomorphology, is one of the largest estuarine zones in the world and harbors a high diversity of marine mammals that is in any case higher than the values recorded in more temperate areas of southern South America. However, biodiversity data records in this southern zone are still scarce and, when they do exist, they are published exclusively in specialized journals inaccessible to local communities. This lack of information hinders the design of conservation strategies on a regional scale and local socioeconomic development, such as the development of tourism specialized in whale watching or experiences similar to other regions of the southern cone. In this context and in order to visualize and integrate the existing records of marine mammals in information repositories, an exhaustive review of this group of organisms is pro-posed. A total of 484 records or sightings of marine mammals present in the Aysen region between 1852 and 2016 were compiled from bibliography published in specialized journals, books and technical documents. A total of 28 species, 6 belonging to the Order Carnivora (Families Mustelidae, Otariidae and Phocidae) and 22 to the Order Cetacea (Families Balaenidae, Balaenopteridae, Delphinidae, Hyperoodontidae, Phocoenidae and Physeteridae). This data collection began with the Biodiversity Information System for Aysen (SIB-Aysen) and continued with the Open Laboratory for Sub-Antarctic Sciences. Eventually it will be complemented with the observations of citizens associated with the SIB-Aysen. The relevance of in-tegrating biodiversity datasets into open repositories as an essential tool for designing conservation policies and promoting, as far as possible, eco-nomic development initiatives based on knowledge of their natural heritage is discussed.</t>
  </si>
  <si>
    <t>[Sanchez-Jardon, Laura; Bunster, Claudia] Univ Magallanes, Ctr Univ Coyha, Jose Miguel Carrera, Coyhaique 5950000, Chile; [Sanchez-Jardon, Laura] Ctr Int Cabo Hornos CHIC, Puerto Williams 6350000, Chile; [Miranda, Beatriz Ramos; Peral, Emma Gomez] Univ Complutense, Fac Ciencias Biol, Dept Biodivers Ecol &amp; Biodivers, Av Jose Antonio Novais 2, Madrid, Spain</t>
  </si>
  <si>
    <t>Universidad de Magallanes; Complutense University of Madrid</t>
  </si>
  <si>
    <t>Sánchez-Jardón, L (corresponding author), Univ Magallanes, Ctr Univ Coyha, Jose Miguel Carrera, Coyhaique 5950000, Chile.;Sánchez-Jardón, L (corresponding author), Ctr Int Cabo Hornos CHIC, Puerto Williams 6350000, Chile.</t>
  </si>
  <si>
    <t>10.7818/ECOS.2410</t>
  </si>
  <si>
    <t>WOS:001150360600007</t>
  </si>
  <si>
    <t>Sanchez-Jardon, Laura; Ramos Miranda, Beatriz; Gomez Peral, Emma; Bunster, Claudia; Acosta-Gallo, Belen</t>
  </si>
  <si>
    <t>Spanish</t>
  </si>
  <si>
    <t>NORTHERN PATAGONIA; KILLER WHALES; SOUTHERN; DIVERSITY; DOLPHINS; BIODIVERSITY; CORCOVADO; HABITATS; FJORDS; REGION</t>
  </si>
  <si>
    <t>The sub-Antarctic ecoregion of Chile, which includes the administrative regions of Aysen and Magallanes, is characterized by its high degree of endemicity and the uniqueness of its species given its proximity to Antarctica. In particular, the sub-Antarctic channels and fjords, with more than 100 000 km of coastline and a complex geomorphology, is one of the largest estuarine zones in the world and harbors a high diversity of marine mammals that is in any case higher than the values recorded in more temperate areas of southern South America. However, biodiversity data records in this southern zone are still scarce and, when they do exist, they are published exclusively in specialized journals inaccessible to local communities. This lack of information hinders the design of conservation strategies on a regional scale and local socioeconomic development, such as the development of tourism specialized in whale watching or experiences similar to other regions of the southern cone. In this context and in order to visualize and integrate the existing records of marine mammals in information repositories, an exhaustive review of this group of organisms is proposed. A total of 484 records or sightings of marine mammals present in the Aysen region between 1852 and 2016 were compiled from bibliography published in specialized journals, books and technical documents. A total of 28 species, 6 belonging to the Order Carnivora (Families Mustelidae, Otariidae and Phocidae) and 22 to the Order Cetacea (Families Balaenidae, Balaenopteridae, Delphinidae, Hyperoodontidae, Phocoenidae and Physeteridae). This data collection began with the Biodiversity Information System for Aysen (SIB-Aysen) and continued with the Open Laboratory for Sub-Antarctic Sciences. Eventually it will be complemented with the observations of citizens associated with the SIB-Aysen. The relevance of integrating biodiversity datasets into open repositories as an essential tool for designing conservation policies and promoting, as far as possible, economic development initiatives based on knowledge of their natural heritage is discussed.</t>
  </si>
  <si>
    <t>[Sanchez-Jardon, Laura; Bunster, Claudia] Univ Magallanes, Ctr Univ Coyhaique, Coyhaique 5950000, Chile; [Sanchez-Jardon, Laura] Ctr Int Cabo Hornos CHIC, Puerto Williams 6350000, Chile; [Ramos Miranda, Beatriz; Gomez Peral, Emma; Acosta-Gallo, Belen] Univ Complutense, Dept Biodiversidad Ecol &amp; Biodiversidad, Fac Ciencias Biol, Ave Jose Antonio Novais 2, Madrid, Spain</t>
  </si>
  <si>
    <t>Sánchez-Jardón, L (corresponding author), Univ Magallanes, Ctr Univ Coyhaique, Coyhaique 5950000, Chile.;Sánchez-Jardón, L (corresponding author), Ctr Int Cabo Hornos CHIC, Puerto Williams 6350000, Chile.</t>
  </si>
  <si>
    <t>D0NL9</t>
  </si>
  <si>
    <t>WOS:000965779900012</t>
  </si>
  <si>
    <t>Sánchez-Jardón, L; Uribe-Paredes, R; Alvarez-Saravia, D; Aldea, C; Raimilla, V; Velázquez, E; Millán, S; Aguila, J</t>
  </si>
  <si>
    <t>Sanchez-Jardon, Laura; Uribe-Paredes, Roberto; Alvarez-Saravia, Diego; Aldea, Cristian; Raimilla, Victor; Velazquez, Eduardo; Millan, Susana; Aguila, Julio</t>
  </si>
  <si>
    <t>DATABASES</t>
  </si>
  <si>
    <t>Local management of biodiversity information: fostering community-based science in southern Chile. The Biodiversity Information Facility for Aysen (SIB-Aysen) is a collaborative and interactive platform for consultation and management of biological data that currently contains more than 10 000 records of some 2800 species of plants, animals, fungi and microalgae present in the sub-Antarctic region of Aysen, Chile. To build the database, records published in specialized journals, informative publications and technical documents validated by the scientific community were compiled and systematized according to the Darwin Core standard. The platform, built using open-access tools, shows for each species a file with a general description, photo gallery and georeferenced records. It is available to the public on the Internet through the link https://kataix.umag.cl/sibaysen/. There is a module for citizen participation that allows local communities to enter their own participatory records, which must be validated by specialists. The participatory process has been developed through various social innovation initiatives such as Hongusto and the Open Laboratory of Subantarctic Sciences, in which scientists and local communities have been involved. This article presents the process of generating this system to expand the knowledge and valuation of local biodiversity.</t>
  </si>
  <si>
    <t>[Sanchez-Jardon, Laura; Raimilla, Victor; Velazquez, Eduardo; Millan, Susana] Univ Magallanes, Ctr Univ Coyha, Jose Miguel Carrera 485, Coyhaique, Chile; [Sanchez-Jardon, Laura] Ctr Int Cabo Homos CHIC, Teniente Munoz 166, Puerto Williams, Chile; [Uribe-Paredes, Roberto; Aguila, Julio] Univ Magallanes, Dept Ingn Computacien, Av Bulnes 01855, Punta Arenas, Chile; [Alvarez-Saravia, Diego] Univ Magallanes, Escuela Med, Av Bulnes 01855, Punta Arenas, Chile; [Aldea, Cristian] Univ Magallanes, Fac Ciencias, Dept Ciencias &amp; Recursos Nat, Av Bulnes 01855, Punta Arenas, Chile; [Aldea, Cristian] Univ Magallanes, Ctr Invest GAIA Antart, Av Bulnes 01855, Punta Arenas, Chile; [Raimilla, Victor] Fundacien Parque La Tapera, Caleta Tortel, Region De Aysen, Chile; [Velazquez, Eduardo] Univ Valladolid, Inst Univ Gest Forestal Sostenible, Palencia, Spain; [Velazquez, Eduardo] Univ Valladolid, Escuela Ingn Agr, Palencia, Spain</t>
  </si>
  <si>
    <t>Sánchez-Jardón, L (corresponding author), Univ Magallanes, Ctr Univ Coyha, Jose Miguel Carrera 485, Coyhaique, Chile.;Sánchez-Jardón, L (corresponding author), Ctr Int Cabo Homos CHIC, Teniente Munoz 166, Puerto Williams, Chile.</t>
  </si>
  <si>
    <t>Aldea, Cristian/J-5391-2013; Alvarez Saravia, Diego/AAZ-6569-2021</t>
  </si>
  <si>
    <t>Alvarez Saravia, Diego/0000-0003-0753-274X</t>
  </si>
  <si>
    <t>WOS:000965779900007</t>
  </si>
  <si>
    <t>Dasari, S; Paris, G; Charreau, J; Savarino, J</t>
  </si>
  <si>
    <t>Dasari, Sanjeev; Paris, Guillaume; Charreau, Julien; Savarino, Joel</t>
  </si>
  <si>
    <t>Sulfur-isotope anomalies recorded in Antarctic ice cores as a potential proxy for tracing past ozone layer depletion events</t>
  </si>
  <si>
    <t>PNAS NEXUS</t>
  </si>
  <si>
    <t>cosmic-ray background; UV radiation; sulfur mass-independent fractionation (S-MIF); Delta S-33</t>
  </si>
  <si>
    <t>CHRONOLOGY AICC2012; BE-10; CLIMATE; SULFATE; FRACTIONATION; DELTA-S-33; CONSTRAINTS; SIGNATURES; GREENLAND; OXIDATION</t>
  </si>
  <si>
    <t>Changes in the cosmic-ray background of the Earth can impact the ozone layer. High-energy cosmic events [e.g. supernova (SN)] or rapid changes in the Earth's magnetic field [e.g. geomagnetic Excursion (GE)] can lead to a cascade of cosmic rays. Ensuing chemical reactions can then cause thinning/destruction of the ozone layer-leading to enhanced penetration of harmful ultraviolet (UV) radiation toward the Earth's surface. However, observational evidence for such UV windows is still lacking. Here, we conduct a pilot study and investigate this notion during two well-known events: the multiple SN event (approximate to 10kBP) and the Laschamp GE event (approximate to 41kBP). We hypothesize that ice-core-Delta S-33 records-originally used as volcanic fingerprints-can reveal UV-induced background-tropospheric-photochemical imprints during such events. Indeed, we find nonvolcanic S-isotopic anomalies (Delta S-33 not equal 0 parts per thousand) in background Antarctic ice-core sulfate during GE/SN periods, thereby confirming our hypothesis. This suggests that ice-core-Delta S-33 records can serve as a proxy for past ozone-layer-depletion events.</t>
  </si>
  <si>
    <t>[Dasari, Sanjeev; Savarino, Joel] Univ Grenoble Alpes, CNRS, Inst Geosci Environm IGE, IRD,Grenoble INP, Grenoble, France; [Paris, Guillaume; Charreau, Julien] Univ Lorraine, CNRS, Ctr Rech Petrograph &amp; Geochim, F-54000 Nancy, France</t>
  </si>
  <si>
    <t>Institut de Recherche pour le Developpement (IRD); Communaute Universite Grenoble Alpes; Institut National Polytechnique de Grenoble; Universite Grenoble Alpes (UGA); Centre National de la Recherche Scientifique (CNRS); Universite de Lorraine; Centre National de la Recherche Scientifique (CNRS)</t>
  </si>
  <si>
    <t>Dasari, S; Savarino, J (corresponding author), Univ Grenoble Alpes, CNRS, Inst Geosci Environm IGE, IRD,Grenoble INP, Grenoble, France.</t>
  </si>
  <si>
    <t>sanjeev.dasari@univ-grenoble-alpes.fr; joel.savarino@univ-grenoble-alpes.fr</t>
  </si>
  <si>
    <t>savarino, joel/H-9730-2012</t>
  </si>
  <si>
    <t>savarino, joel/0000-0002-6708-9623; DASARI, SANJEEV/0000-0001-7222-7982; Paris, Guillaume/0000-0001-8368-1224</t>
  </si>
  <si>
    <t>Marie Sklodowska-Curie Action Grant [1010180]; CNRSINSU Les Enveloppes Fluides et l'Environnement (LEFE) grant REVA</t>
  </si>
  <si>
    <t>Marie Sklodowska-Curie Action Grant; CNRSINSU Les Enveloppes Fluides et l'Environnement (LEFE) grant REVA</t>
  </si>
  <si>
    <t>This study was supported by the Marie Sklodowska-Curie Action Grant number 1010180 (to S.D.; hosted by J.S. and G.P.) and CNRSINSU Les Enveloppes Fluides et l'Environnement (LEFE) grant REVA (to G.P).</t>
  </si>
  <si>
    <t>2752-6542</t>
  </si>
  <si>
    <t>PNAS Nexus</t>
  </si>
  <si>
    <t>pgac170</t>
  </si>
  <si>
    <t>10.1093/pnasnexus/pgac170</t>
  </si>
  <si>
    <t>Multidisciplinary Sciences; Social Sciences, Interdisciplinary</t>
  </si>
  <si>
    <t>Science &amp; Technology - Other Topics; Social Sciences - Other Topics</t>
  </si>
  <si>
    <t>R3LF2</t>
  </si>
  <si>
    <t>WOS:001063393200037</t>
  </si>
  <si>
    <t>Aune, SK; Bonnevie-Svendsen, M; Nyborg, C; Troseid, M; Seljeflot, I; Hisdal, J; Helseth, R</t>
  </si>
  <si>
    <t>Aune, Susanne Kristine; Bonnevie-Svendsen, Martin; Nyborg, Christoffer; Troseid, Marius; Seljeflot, Ingebjorg; Hisdal, Jonny; Helseth, Ragnhild</t>
  </si>
  <si>
    <t>Gut Leakage and Cardiac Biomarkers after Prolonged Strenuous Exercise</t>
  </si>
  <si>
    <t>MEDICINE &amp; SCIENCE IN SPORTS &amp; EXERCISE</t>
  </si>
  <si>
    <t>NORSEMAN XTREME TRIATHLON; ENDURANCE TRAINING; ACUTE EXERCISE; GUT LEAKAGE MARKERS; ENDOTOXEMIA; CARDIAC TROPONIN</t>
  </si>
  <si>
    <t>ENDOTOXEMIA; TROPONIN; RELEASE; PATHOPHYSIOLOGY; INTERLEUKIN-6; TRIATHLON; RUNNERS</t>
  </si>
  <si>
    <t>Purpose Transient increase in the cardiac biomarkers troponin T (cTnT) and NT-proBNP are observed during strenuous exercise, even in healthy athletes. Gut leakage, the translocation of bacterial lipopolysaccharide (LPS) into the circulation, is associated with atherosclerosis and cardiovascular disease but has also been reported after prolonged endurance exercise. We aimed to explore the link between exercise-induced gut leakage and cardiac biomarker release. Methods Participants in Norseman Xtreme Triathlon (Norseman) were included (n = 44, age 43 +/- 9 yr, 9 [21%] women). Blood samples were taken before and immediately after the race for the determination of biomarkers. cTnT and NT-proBNP were measured by conventional methods. Gut leakage marker LPS was measured by the kinetic, chromogenic limulus amebocyte lysate assay method, whereas LPS-binding protein (LBP), soluble cluster of differentiation 14 (sCD14), and intestinal injury marker intestinal fatty acid-binding protein (I-FABP) were measured by enzyme-linked immunosorbent assay. Results Median (25, 75 percentiles) finish time was 14 h 33 min (13 h 42 min, 15 h 29 min). TnT and NT-proBNP increased significantly to 38 ng center dot L-1 (27, 56) and 495 ng center dot L-1 (310, 828) after the race (P &lt; 0.001, both). LBP and sCD14 also increased significantly (P &lt; 0.001, both), as did I-FABP (P = 0.003), whereas LPS remained unchanged (P = 0.13). No significant correlations between changes in gut leakage markers and changes in cardiac biomarkers were observed after adjusting for multiple testing. Conclusions Cardiac and gut leakage biomarkers increased after Norseman Xtreme triathlon. However, changes in these biomarkers were not intercorrelated, suggesting that the exercise-induced increase in cardiac and gut leakage biomarkers occurs independently of each other.</t>
  </si>
  <si>
    <t>[Aune, Susanne Kristine; Seljeflot, Ingebjorg; Helseth, Ragnhild] Univ Oslo, Hosp Ulleval, Ctr Clin Heart Res, Dept Cardiol, Pb 4956 Nydalen, N-0424 Oslo, Norway; [Aune, Susanne Kristine; Bonnevie-Svendsen, Martin; Nyborg, Christoffer; Troseid, Marius; Seljeflot, Ingebjorg; Hisdal, Jonny] Univ Oslo, Fac Med, Inst Clin Med, Oslo, Norway; [Bonnevie-Svendsen, Martin; Nyborg, Christoffer; Hisdal, Jonny] Univ Oslo, Hosp Aker, Dept Vasc Surg, Oslo, Norway; [Troseid, Marius] Oslo Univ Hosp, Rikshosp, Sect Clin Immunol &amp; Infect Dis, Oslo, Norway; [Seljeflot, Ingebjorg; Helseth, Ragnhild] Univ Oslo, Hosp Ulleval, Dept Cardiol, Oslo, Norway</t>
  </si>
  <si>
    <t>University of Oslo; University of Oslo; University of Oslo; University of Oslo; National Hospital Norway; University of Oslo</t>
  </si>
  <si>
    <t>Aune, SK (corresponding author), Univ Oslo, Hosp Ulleval, Ctr Clin Heart Res, Dept Cardiol, Pb 4956 Nydalen, N-0424 Oslo, Norway.</t>
  </si>
  <si>
    <t>susaun@ous-hf.no; martin.bonnevie@gmail.com; nyborgchristoffer@gmail.com; troseid@hotmail.com; UXINLJ@ous-hf.no; jonny.hisdal@medisin.uio.no; ramhel@ous-hf.no</t>
  </si>
  <si>
    <t>Helseth, Ragnhild/AAL-5116-2021</t>
  </si>
  <si>
    <t>Stein Erik Hagen Foundation for Clinical Heart Research; Ada og Hagbart Waages Humanitaere og Veldedige Stiftelse, Oslo, Norway; Aker BioMarine Antarctic AS</t>
  </si>
  <si>
    <t>This work was supported by the Stein Erik Hagen Foundation for Clinical Heart Research and the Ada og Hagbart Waages Humanitaere og Veldedige Stiftelse, Oslo, Norway. The original study was funded through a grant from Aker BioMarine Antarctic AS (https://www.akerbiomarine.com/, accessed on 21 May 2017). This studywas conducted by theNorseman Research team, consisting of scientists from several research institutions, in cooperation with the Norseman Xtreme Triathlon team, to which we express profound gratitude. The authors thank Jorgen Melau, Helene Stole Melsom, Thijs Eijsvogels, and Maria Mathiasen, who contributed greatly in the conceptualization, validation, and conduction of the original study, and Sissel Akra and Jeanette Constance Steen at the Center for Clinical Heart Research for their excellent laboratory work. The data sets used and analyzed during the current study are available from the corresponding author on reasonable request. The authors declare no conflict of interest. S. K. A. contributed to planning of the study, laboratory work, statistical analyses, and interpretation of results and prepared the initial draft of the manuscript. J. H., M. B. S., and C. N. weremajor contributors to the planning and conduction of the study, interpretation of the results, and intellectual content. M. T. contributed to the study design, interpretation, and final discussion. I. S. and R. H. were major contributors in the planning of the study, statistical analysis, interpretation of the results, and intellectual content. The manuscript has been read and approved by all authors. The authors declare that the results of this study are presented clearly, honestly, and without fabrication, falsification, or inappropriate data manipulation. The present study does not constitute endorsement by the American College of Sports Medicine.</t>
  </si>
  <si>
    <t>LIPPINCOTT WILLIAMS &amp; WILKINS</t>
  </si>
  <si>
    <t>TWO COMMERCE SQ, 2001 MARKET ST, PHILADELPHIA, PA 19103 USA</t>
  </si>
  <si>
    <t>0195-9131</t>
  </si>
  <si>
    <t>1530-0315</t>
  </si>
  <si>
    <t>MED SCI SPORT EXER</t>
  </si>
  <si>
    <t>Med. Sci. Sports Exerc.</t>
  </si>
  <si>
    <t>10.1249/MSS.0000000000002948</t>
  </si>
  <si>
    <t>Sport Sciences</t>
  </si>
  <si>
    <t>3T7PH</t>
  </si>
  <si>
    <t>WOS:000840461400009</t>
  </si>
  <si>
    <t>Clifford, N; Hempleman-Adams, D; Francis, J; Cloke, P; Sidaway, J; Hannah, D</t>
  </si>
  <si>
    <t>Clifford, Nigel; Hempleman-Adams, David; Francis, Jane; Cloke, Paul; Sidaway, James; Hannah, David</t>
  </si>
  <si>
    <t>Royal Geographical Society (with IBG) Medals and Awards celebration 2022</t>
  </si>
  <si>
    <t>GEOGRAPHICAL JOURNAL</t>
  </si>
  <si>
    <t>The Royal Geographical Society (with IBG) annual Medals and Awards recognise achievements in researching, communicating and teaching a wide range of geographical knowledge. The speeches and citations are a record of the 2022 celebrations, which occurred at the Society on 6 June 2022, with contributions from Sir David Hempleman-Adams, Professor Dame Jane Francis, Professor Paul Cloke, Professor James Sidaway and Professor David Hannah.</t>
  </si>
  <si>
    <t>[Clifford, Nigel] Royal Geog Soc IBG, 1 Kensington Gore, London, England; [Francis, Jane] British Antarctic Survey, Cambridge, England; [Cloke, Paul] Univ Exeter, Geog, Exeter, Devon, England; [Sidaway, James] Natl Univ Singapore, Dept Geog, Kent, OH, Singapore; [Hannah, David] Univ Birmingham, Sch Geog Earth &amp; Environm Sci, Birmingham, W Midlands, England</t>
  </si>
  <si>
    <t>UK Research &amp; Innovation (UKRI); Natural Environment Research Council (NERC); NERC British Antarctic Survey; University of Exeter; National University of Singapore; University of Birmingham</t>
  </si>
  <si>
    <t>Clifford, N (corresponding author), Royal Geog Soc IBG, 1 Kensington Gore, London, England.</t>
  </si>
  <si>
    <t>director@rgs.org</t>
  </si>
  <si>
    <t>Hannah, David M./B-9221-2015</t>
  </si>
  <si>
    <t>Hannah, David M./0000-0003-1714-1240</t>
  </si>
  <si>
    <t>0016-7398</t>
  </si>
  <si>
    <t>1475-4959</t>
  </si>
  <si>
    <t>GEOGR J</t>
  </si>
  <si>
    <t>Geogr. J.</t>
  </si>
  <si>
    <t>10.1111/geoj.12464</t>
  </si>
  <si>
    <t>Geography</t>
  </si>
  <si>
    <t>3O8IP</t>
  </si>
  <si>
    <t>WOS:000837078700017</t>
  </si>
  <si>
    <t>Acevedo-Barrios, R; Rubiano-Labrador, C; Navarro-Narvaez, D; Escobar-Galarza, J; González, D; Mira, S; Moreno, D; Contreras, A; Miranda-Castro, W</t>
  </si>
  <si>
    <t>Acevedo-Barrios, Rosa; Rubiano-Labrador, Carolina; Navarro-Narvaez, Dhania; Escobar-Galarza, Johana; Gonzalez, Diana; Mira, Stephanie; Moreno, Dayana; Contreras, Aura; Miranda-Castro, Wendy</t>
  </si>
  <si>
    <t>Perchlorate-reducing bacteria from Antarctic marine sediments</t>
  </si>
  <si>
    <t>Extremophiles; Halotolerant bacteria; Psychrotolerant microorganism; Psychrophilic bacteria; Perchlorate biodegradation; Toxicity</t>
  </si>
  <si>
    <t>MCMURDO DRY VALLEYS; SP NOV.; BIOLOGICAL REDUCTION; NITRATE; PSYCHROBACTER; ENVIRONMENTS; DIVERSITY; WATER; SNOW; SOIL</t>
  </si>
  <si>
    <t>Perchlorate is a contaminant that can persist in groundwater and soil, and is frequently detected in different ecosystems at concentrations relevant to human health. This study isolated and characterised halotolerant bacteria that can potentially perform perchlorate reduction. Bacterial microorganisms were isolated from marine sediments on Deception, Horseshoe and Half Moon Islands of Antarctica. The results of the 16S ribosomal RNA (rRNA) gene sequence analysis indicated that the isolates were phylogenetically related to Psychrobacter cryohalolentis, Psychrobacter urativorans, Idiomarina loihiensis, Psychrobacter nivimaris, Sporosarcina aquimarina and Pseudomonas lactis. The isolates grew at a sodium chloride concentration of up to 30% and a perchlorate concentration of up to 10,000 mg/L, which showed their ability to survive in saline conditions and high perchlorate concentrations. Between 21.6 and 40% of perchlorate was degraded by the isolated bacteria. P. cryohalolentis and P. urativorans degraded 30.3% and 32.6% of perchlorate, respectively. I. loihiensis degraded 40% of perchlorate, and P. nivimaris, S. aquimarina and P. lactis degraded 22%, 21.8% and 21.6% of perchlorate, respectively. I. loihiensis had the highest reduction in perchlorate, whereas P. lactis had the lowest reduction. This study is significant as it is the first finding of P. cryohalolentis and. P. lactis on the Antarctic continent. In conclusion, these bacteria isolated from marine sediments on Antarctica offer promising resources for the bioremediation of perchlorate contamination due to their ability to degrade perchlorate, showing their potential use as a biological system to reduce perchlorate in high-salinity ecosystems.</t>
  </si>
  <si>
    <t>[Acevedo-Barrios, Rosa; Rubiano-Labrador, Carolina; Navarro-Narvaez, Dhania; Escobar-Galarza, Johana; Gonzalez, Diana; Mira, Stephanie; Moreno, Dayana; Contreras, Aura; Miranda-Castro, Wendy] Univ Tecnol Bolivar, Grp Estudios Quim &amp; Biol, Cartagena 130010, Colombia</t>
  </si>
  <si>
    <t>Universidad Tecnologica de Bolivar</t>
  </si>
  <si>
    <t>Acevedo-Barrios, R (corresponding author), Univ Tecnol Bolivar, Grp Estudios Quim &amp; Biol, Cartagena 130010, Colombia.</t>
  </si>
  <si>
    <t>racevedo@utb.edu.co</t>
  </si>
  <si>
    <t>Acevedo-Barrios, Rosa/ADD-2810-2022</t>
  </si>
  <si>
    <t>Acevedo-Barrios, Rosa/0000-0002-5593-0171; Rubiano Labrador, Carolina/0000-0001-9064-3680</t>
  </si>
  <si>
    <t>Research, Innovation, and Entrepreneurship Directorate of the Technological University of Bolivar</t>
  </si>
  <si>
    <t>This research was supported by the Research, Innovation, and Entrepreneurship Directorate of the Technological University of Bolivar.</t>
  </si>
  <si>
    <t>10.1007/s10661-022-10328-w</t>
  </si>
  <si>
    <t>3O6JG</t>
  </si>
  <si>
    <t>WOS:000836940800001</t>
  </si>
  <si>
    <t>Chang, W; Konomi, BA; Karagiannis, G; Guan, YW; Haran, M</t>
  </si>
  <si>
    <t>Chang, Won; Konomi, Bledar A.; Karagiannis, Georgios; Guan, Yawen; Haran, Murali</t>
  </si>
  <si>
    <t>MODEL CALIBRATION USING SEMICONTINUOUS SPATIAL DATA</t>
  </si>
  <si>
    <t>ANNALS OF APPLIED STATISTICS</t>
  </si>
  <si>
    <t>Computer model emulation; computer model calibration; semicontinuous spatial data; West Antarctic ice sheet; dimension reduction</t>
  </si>
  <si>
    <t>ICE-SHEET; PROCESS EMULATION; RETREAT; PREDICTION</t>
  </si>
  <si>
    <t>Rapid changes in Earth's cryosphere caused by human activity can lead to significant environmental impacts. Computer models provide a useful tool for understanding the behavior and projecting the future of Arctic and Antarctic ice sheets. However, these models are typically subject to large parametric uncertainties, due to poorly constrained model input parameters that govern the behavior of simulated ice sheets. Computer model calibration provides a formal statistical framework to infer parameters, using observational data, and to quantify the uncertainty in projections due to the uncertainty in these parameters. Calibration of ice sheet models is often challenging because the relevant model output and observational data take the form of semicontinuous spatial data with a point mass at zero and a right-skewed continuous distribution for positive values. Current calibration approaches cannot handle such data. Here, we introduce a hierarchical latent variable model that handles binary spatial patterns and positive continuous spatial patterns as separate components. To overcome challenges due to high dimensionality, we use likelihood-based generalized principal component analysis to impose low-dimensional structures on the latent variables for spatial dependence. We apply our methodology to calibrate a physical model for the Antarctic ice sheet and demonstrate that we can overcome the aforementioned modeling and computational challenges. As a result of our calibration, we obtain improved future ice-volume change projections.</t>
  </si>
  <si>
    <t>[Chang, Won; Konomi, Bledar A.] Univ Cincinnati, Div Stat &amp; Data Sci, Cincinnati, OH 45221 USA; [Karagiannis, Georgios] Univ Durham, Dept Math Sci, Durham, England; [Guan, Yawen] Univ Nebraska, Dept Stat, Lincoln, NE 68583 USA; [Haran, Murali] Penn State Univ, Dept Stat, University Pk, PA 16802 USA</t>
  </si>
  <si>
    <t>University System of Ohio; University of Cincinnati; Durham University; University of Nebraska System; University of Nebraska Lincoln; Pennsylvania Commonwealth System of Higher Education (PCSHE); Pennsylvania State University; Pennsylvania State University - University Park</t>
  </si>
  <si>
    <t>Chang, W (corresponding author), Univ Cincinnati, Div Stat &amp; Data Sci, Cincinnati, OH 45221 USA.</t>
  </si>
  <si>
    <t>won.chang@uc.edu; konomibr@ucmail.uc.edu; georgios.karagiannis@durham.ac.uk; yawen.guan@unl.edu; mharan@stat.psu.edu</t>
  </si>
  <si>
    <t>Chang, Won/I-5908-2019</t>
  </si>
  <si>
    <t>Chang, Won/0000-0003-3556-1249</t>
  </si>
  <si>
    <t>National Science Foundation [DMS-1638521]</t>
  </si>
  <si>
    <t>This material was based upon work partially supported by the National Science Foundation under Grant DMS-1638521 to the Statistical and Applied Mathematical Sciences Institute (SAMSI).</t>
  </si>
  <si>
    <t>INST MATHEMATICAL STATISTICS-IMS</t>
  </si>
  <si>
    <t>CLEVELAND</t>
  </si>
  <si>
    <t>3163 SOMERSET DR, CLEVELAND, OH 44122 USA</t>
  </si>
  <si>
    <t>1932-6157</t>
  </si>
  <si>
    <t>1941-7330</t>
  </si>
  <si>
    <t>ANN APPL STAT</t>
  </si>
  <si>
    <t>Ann. Appl. Stat.</t>
  </si>
  <si>
    <t>10.1214/21-AOAS1577</t>
  </si>
  <si>
    <t>Statistics &amp; Probability</t>
  </si>
  <si>
    <t>Mathematics</t>
  </si>
  <si>
    <t>3C2QA</t>
  </si>
  <si>
    <t>Green Submitted, Green Accepted, Green Published</t>
  </si>
  <si>
    <t>WOS:000828472200032</t>
  </si>
  <si>
    <t>Wagner, AM; Blaisdell, G</t>
  </si>
  <si>
    <t>Wagner, Anna M.; Blaisdell, George</t>
  </si>
  <si>
    <t>Expedient Sea Ice Infrastructure in a Cold Environment</t>
  </si>
  <si>
    <t>JOURNAL OF COLD REGIONS ENGINEERING</t>
  </si>
  <si>
    <t>Antarctica; Artificial freezing; Ice pier; McMurdo; Sea infrastructure; Thermopiles</t>
  </si>
  <si>
    <t>MCMURDO STATION; MODEL</t>
  </si>
  <si>
    <t>McMurdo Station, Antarctica, serves as a major scientific and support operations hub for the US Antarctic Program (USAP). Winter Quarters Bay (WQB) is adjacent to the Station, where vessels dock at the southernmost port to unload cargo and fuel. The ice pier at McMurdo is vital to ensure this once-annual vessel resupply. The use of the ice pier requires the deployment of a Bailey bridge, which creates an operating bottleneck for resupply. The occasional breakup of the ice pier, during or immediately after vessel operations, demonstrates a potential point for failure. The feasibility of artificial freezing of seawater using thermopiles (TP; a passive cooling technology) to grow the existing WQB bottomfast ice edge to a point where ships could dock directly will be investigated in this study. The timing to freeze an ice dock depends on the air temperature, TP fin size, the distance between TPs, and the number of TP rows that are engaged simultaneously. The results indicated that to complete a bottomfast ice edge 40 m seaward and 100 m long that was parallel to the shore and adequate for ship docking and offload, it would take from 255 to 820 days. This study shows that TPs could successfully be used to generate a direct docking bottomfast ice wharf at McMurdo and similar locations.</t>
  </si>
  <si>
    <t>[Wagner, Anna M.] US Army, Cold Reg Res &amp; Engn, 4070 9th St, Fairbanks, AK 99709 USA; [Blaisdell, George] US Army, CRREL, 72 Lyme Rd, Hanover, NH 03755 USA</t>
  </si>
  <si>
    <t>United States Department of Defense; United States Army; U.S. Army Corps of Engineers; U.S. Army Engineer Research &amp; Development Center (ERDC); United States Department of Defense; United States Army; U.S. Army Corps of Engineers; U.S. Army Engineer Research &amp; Development Center (ERDC); Cold Regions Research &amp; Engineering Laboratory (CRREL)</t>
  </si>
  <si>
    <t>Wagner, AM (corresponding author), US Army, Cold Reg Res &amp; Engn, 4070 9th St, Fairbanks, AK 99709 USA.</t>
  </si>
  <si>
    <t>anna.m.wagner@usace.army.mil; george.l.blaisdell@usace.army.mil</t>
  </si>
  <si>
    <t>Wagner, Anna/0000-0002-8678-1279</t>
  </si>
  <si>
    <t>Office of Polar Programs (OPP), under Engineering for Polar Operations, Logistics, and Research (EPOLAR) [EP-ANT-19-08]</t>
  </si>
  <si>
    <t>Office of Polar Programs (OPP), under Engineering for Polar Operations, Logistics, and Research (EPOLAR)</t>
  </si>
  <si>
    <t>This work was conducted for the NSF, Office of Polar Programs (OPP), under Engineering for Polar Operations, Logistics, and Research (EPOLAR) EP-ANT-19-08, Toward lower risk McMurdo resupply. The logistical guidance and technical supervision were provided by Margaret Knuth, Program Manager, NSF-OPP, USAP.</t>
  </si>
  <si>
    <t>ASCE-AMER SOC CIVIL ENGINEERS</t>
  </si>
  <si>
    <t>RESTON</t>
  </si>
  <si>
    <t>1801 ALEXANDER BELL DR, RESTON, VA 20191-4400 USA</t>
  </si>
  <si>
    <t>0887-381X</t>
  </si>
  <si>
    <t>1943-5495</t>
  </si>
  <si>
    <t>J COLD REG ENG</t>
  </si>
  <si>
    <t>J. Cold Reg. Eng.</t>
  </si>
  <si>
    <t>10.1061/(ASCE)CR.1943-5495.0000278</t>
  </si>
  <si>
    <t>Engineering, Environmental; Engineering, Civil; Geosciences, Multidisciplinary</t>
  </si>
  <si>
    <t>Engineering; Geology</t>
  </si>
  <si>
    <t>2X9KB</t>
  </si>
  <si>
    <t>WOS:000825514600001</t>
  </si>
  <si>
    <t>Szyszka-Mroz, B; Ivanov, AG; Trick, CG; Hüner, NPA</t>
  </si>
  <si>
    <t>Szyszka-Mroz, Beth; Ivanov, Alexander G.; Trick, Charles G.; Huner, Norman P. A.</t>
  </si>
  <si>
    <t>Palmelloid formation in the Antarctic psychrophile, Chlamydomonas priscuii, is photoprotective</t>
  </si>
  <si>
    <t>Chlamydomonas priscuii; antarctic; psychrophile; palmelloids; photoprotection; temperature</t>
  </si>
  <si>
    <t>LIGHT-HARVESTING COMPLEXES; CYCLIC ELECTRON FLOW; PHOTOSYSTEM-II; ENERGY-DISSIPATION; XANTHOPHYLL-CYCLE; GREEN-ALGA; CHLOROPHYLL FLUORESCENCE; LAKE BONNEY; REINHARDTII; PHOTOSYNTHESIS</t>
  </si>
  <si>
    <t>Cultures of the obligate, Antarctic psychrophile, Chlamydomonas priscuii grown at permissive low temperature (8 degrees C) are composed of flagellated, single cells, as well as non-motile, multicellular palmelloids. The relative proportions of the two cell types are temperature dependent. However, the temperature dependence for palmelloid formation is not restricted to psychrophilic C. priscuii but appears to be a general response of mesophilic Chlamydomonas species (C. reinhardtii and C. raudensis) to non-permissive growth temperatures. To examine potential differences in photosynthetic performance between single cells versus palmelloids of the psychrophile, a cell filtration technique was developed to separate single cells from palmelloids of C. priscuii grown at 8 degrees C. Flow cytometry was used to estimate the diameter of isolated single cells (&lt;= 5 mu m) versus isolated palmelloids of varying size (&gt;= 8 mu m). Compared to single cells, palmelloids of C. priscuii showed a decrease in the abundance of light-harvesting complex II (LHCII) proteins with a 2-fold higher Chl a/b ratio. A decrease in both lutein and beta-carotene in palmelloids resulted in carotenoid pools which were 27% lower in palmelloids compared to single cells of the psychrophile. Chlorophyll fluorescence analyses of the isolated fractions revealed that maximum photochemical efficiency of PSII (F-v/F-m) was comparable for both single cells and palmelloids of C. priscuii. However, isolated palmelloids exhibited lower excitation pressure, measured as 1 - qL, but higher yield of PSII (phi(PSII)) and 50% higher rates of electron transport (ETR) than single cells exposed to high light at 8 degrees C. This decreased sensitivity to high light in isolated palmelloids compared to single cells was associated with greater non-regulated dissipation of excess absorbed energy (phi(NO)) with minimal differences in phi(NPQ) in C. priscuii in response to increasing irradiance at low temperature. The ratio phi(NO)/phi(NPQ) observed for isolated palmelloids of C. priscuii developed at 8 degrees C (1.414 +/- 0.036) was 1.38-fold higher than phi(NO)/phi(NPQ) of isolated single cells (1.021 +/- 0.018) exposed to low temperature combined with high light (1,000 mu mol m(-2) s(-1)). The differences in the energy quenching capacities between palmelloids and single cells are discussed in terms of enhanced photoprotection of C. priscuii palmelloids against low-temperature photoinhibition.</t>
  </si>
  <si>
    <t>[Szyszka-Mroz, Beth; Ivanov, Alexander G.; Huner, Norman P. A.] Univ Western Ontario, Dept Biol, London, ON, Canada; [Szyszka-Mroz, Beth; Ivanov, Alexander G.; Huner, Norman P. A.] Univ Western Ontario, Biotron Ctr Expt Climate Change Res, London, ON, Canada; [Ivanov, Alexander G.] Bulgarian Acad Sci, Inst Biophys &amp; Biomed Engn, Sofia, Bulgaria; [Trick, Charles G.] Univ Saskatchewan, Sch Publ Hlth, Saskatoon, SK, Canada</t>
  </si>
  <si>
    <t>Western University (University of Western Ontario); Western University (University of Western Ontario); Bulgarian Academy of Sciences; University of Saskatchewan</t>
  </si>
  <si>
    <t>Hüner, NPA (corresponding author), Univ Western Ontario, Dept Biol, London, ON, Canada.;Hüner, NPA (corresponding author), Univ Western Ontario, Biotron Ctr Expt Climate Change Res, London, ON, Canada.</t>
  </si>
  <si>
    <t>nhuner@uwo.ca</t>
  </si>
  <si>
    <t>NSERC; Canada Foundation for Innovation; Canada Research Chairs program; NSERC [4458-2016]</t>
  </si>
  <si>
    <t>NSERC(Natural Sciences and Engineering Research Council of Canada (NSERC)); Canada Foundation for Innovation(Canada Foundation for InnovationCGIARSpanish Government); Canada Research Chairs program(Canada Research Chairs); NSERC(Natural Sciences and Engineering Research Council of Canada (NSERC))</t>
  </si>
  <si>
    <t>NH is grateful for the research support from an NSERC Discovery Grant and the past support through the Canada Foundation for Innovation and the Canada Research Chairs program. This work was also funded by NSERC Discovery Grant 4458-2016 awarded to CT.</t>
  </si>
  <si>
    <t>AUG 31</t>
  </si>
  <si>
    <t>10.3389/fpls.2022.911035</t>
  </si>
  <si>
    <t>5P0ZG</t>
  </si>
  <si>
    <t>WOS:000872889100001</t>
  </si>
  <si>
    <t>Giesen, R; Stoffelen, A</t>
  </si>
  <si>
    <t>Giesen, Rianne; Stoffelen, Ad</t>
  </si>
  <si>
    <t>Chapter 2: Novel scientific analyses of the ocean state and its variability at various space and time</t>
  </si>
  <si>
    <t>JOURNAL OF OPERATIONAL OCEANOGRAPHY</t>
  </si>
  <si>
    <t>ANTARCTIC SEA-ICE; MERIDIONAL OVERTURNING CIRCULATION; CORAL CORALLIUM-RUBRUM; 2003 EUROPEAN HEATWAVE; WAVE ENERGY RESOURCE; MASS MORTALITY EVENT; IN-SITU MEASUREMENTS; MEDITERRANEAN SEA; BLACK-SEA; NORTH-ATLANTIC</t>
  </si>
  <si>
    <t>[Giesen, Rianne; Stoffelen, Ad] Royal Netherlands Meteorol Inst KNMI, De Bilt, Netherlands</t>
  </si>
  <si>
    <t>Royal Netherlands Meteorological Institute</t>
  </si>
  <si>
    <t>Giesen, R (corresponding author), Royal Netherlands Meteorol Inst KNMI, De Bilt, Netherlands.</t>
  </si>
  <si>
    <t>Giesen, Rianne H/E-7597-2011</t>
  </si>
  <si>
    <t>Giesen, Rianne H/0000-0001-8270-6338</t>
  </si>
  <si>
    <t>1755-876X</t>
  </si>
  <si>
    <t>1755-8778</t>
  </si>
  <si>
    <t>J OPER OCEANOGR</t>
  </si>
  <si>
    <t>J. Oper. Oceanogr.</t>
  </si>
  <si>
    <t>S8</t>
  </si>
  <si>
    <t>S82</t>
  </si>
  <si>
    <t>4Y8CP</t>
  </si>
  <si>
    <t>WOS:000861750400002</t>
  </si>
  <si>
    <t>Kingslake, J; Skarbek, R; Case, E; McCarthy, C</t>
  </si>
  <si>
    <t>Kingslake, Jonathan; Skarbek, Robert; Case, Elizabeth; McCarthy, Christine</t>
  </si>
  <si>
    <t>Grain-size evolution controls the accumulation dependence of modelled firn thickness</t>
  </si>
  <si>
    <t>SURFACE MASS-BALANCE; ICE CORE; POLAR ICE; DENSIFICATION; TEMPERATURE; ELEVATION; GROWTH; SNOW; ANTARCTICA; DIFFERENCE</t>
  </si>
  <si>
    <t>The net rate of snow accumulation b is predicted to increase over large areas of the Antarctic and Greenland ice sheets as the climate warms. Models disagree on how this will affect the thickness of the firn layer - the relatively low-density upper layer of the ice sheets that influences altimetric observations of ice sheet mass change and palaeo-climate reconstructions from ice cores. Here we examine how b influences firn compaction and porosity in a simplified model that accounts for mass conservation, dry firn compaction, grain-size evolution, and the impact of grain size on firn compaction. Treating b as a boundary condition and employing an Eulerian reference frame helps to untangle the factors controlling the b dependence of firn thickness. We present numerical simulations using the model, as well as simplified steady-state approximations to the full model, to demonstrate how the downward advection of porosity and grain size are both affected by b but have opposing impacts on firn thickness. The net result is that firn thickness increases with b and that the strength of this dependence increases with increasing surface grain size. We also quantify the circumstances under which porosity advection and grain-size advection balance exactly, which counterintuitively renders steady-state firn thickness independent of b. These findings are qualitatively independent of the stress-dependence of firn compaction and whether the thickness of the ice sheet is increasing, decreasing, or steady. They do depend on the grain-size dependence of firn compaction. Firn models usually ignore grain-size evolution, but we highlight the complex effect it can have on firn thickness when included in a simplified model. This work motivates future efforts to better observationally constrain the rheological effect of grain size in firn.</t>
  </si>
  <si>
    <t>[Kingslake, Jonathan; Skarbek, Robert; Case, Elizabeth; McCarthy, Christine] Columbia Univ, Dept Earth &amp; Environm Sci, Lamont Doherty Earth Observ, New York, NY 10027 USA</t>
  </si>
  <si>
    <t>Columbia University</t>
  </si>
  <si>
    <t>Kingslake, J (corresponding author), Columbia Univ, Dept Earth &amp; Environm Sci, Lamont Doherty Earth Observ, New York, NY 10027 USA.</t>
  </si>
  <si>
    <t>j.kingslake@columbia.edu</t>
  </si>
  <si>
    <t>McCarthy, Christine/0000-0002-5276-5246; Case, Elizabeth/0000-0002-8169-0343</t>
  </si>
  <si>
    <t>Directorate for Geosciences [OPP 19-35438, PSU 5861-CU-NSF-8934]</t>
  </si>
  <si>
    <t>Directorate for Geosciences(National Science Foundation (NSF)NSF - Directorate for Geosciences (GEO))</t>
  </si>
  <si>
    <t>This research has been supported by the Directorate for Geosciences (grant nos. OPP 19-35438 and PSU 5861-CU-NSF-8934).</t>
  </si>
  <si>
    <t>10.5194/tc-16-3413-2022</t>
  </si>
  <si>
    <t>4E2OQ</t>
  </si>
  <si>
    <t>WOS:000847670700001</t>
  </si>
  <si>
    <t>Molina, AN; Pulgar, JM; Rezende, EL; Carter, MJ</t>
  </si>
  <si>
    <t>Molina, Andres N.; Pulgar, Jose M.; Rezende, Enrico L.; Carter, Mauricio J.</t>
  </si>
  <si>
    <t>Heat tolerance of marine ectotherms in a warming Antarctica</t>
  </si>
  <si>
    <t>climate change; critical thermal limits; heat stress; heat tolerance; temperature mortality; thermal tolerance landscape; thermal-death time curves</t>
  </si>
  <si>
    <t>THERMAL LIMITS; CLIMATE-CHANGE; TEMPORAL VARIATION; BIODIVERSITY; ADAPTATIONS; RESPONSES; SELECTION; GROWTH; RATES; KEY</t>
  </si>
  <si>
    <t>Global warming is affecting the Antarctic continent in complex ways. Because Antarctic organisms are specialized to living in the cold, they are vulnerable to increasing temperatures, although quantitative analyses of this issue are currently lacking. Here we compiled a total of 184 estimates of heat tolerance belonging to 39 marine species and quantified how survival is affected concomitantly by the intensity and duration of thermal stress. Species exhibit thermal limits displaced toward colder temperatures, with contrasting strategies between arthropods and fish that exhibit low tolerance to acute heat challenges, and brachiopods, echinoderms, and molluscs that tend to be more sensitive to chronic exposure. These differences might be associated with mobility. A dynamic mortality model suggests that Antarctic organisms already encounter temperatures that might be physiologically stressful and indicate that these ecological communities are indeed vulnerable to ongoing rising temperatures.</t>
  </si>
  <si>
    <t>[Molina, Andres N.; Rezende, Enrico L.] Pontificia Univ Catolica Chile, Fac Ciencias Biol, Ctr Appl Ecol &amp; Sustainabil CAPES, Dept Ecol, Santiago 6513677, Chile; [Pulgar, Jose M.; Carter, Mauricio J.] Univ Andres Bello, Fac Ciencias Vida, Dept Ecol, Republ 440, Santiago, Chile</t>
  </si>
  <si>
    <t>Pontificia Universidad Catolica de Chile; Universidad Andres Bello</t>
  </si>
  <si>
    <t>Rezende, EL (corresponding author), Pontificia Univ Catolica Chile, Fac Ciencias Biol, Ctr Appl Ecol &amp; Sustainabil CAPES, Dept Ecol, Santiago 6513677, Chile.;Carter, MJ (corresponding author), Univ Andres Bello, Fac Ciencias Vida, Dept Ecol, Republ 440, Santiago, Chile.</t>
  </si>
  <si>
    <t>erezende@bio.puc.cl; mauricio.carter@unab.cl</t>
  </si>
  <si>
    <t>Carter, Mauricio/C-3099-2013; Molina Godoy, Andrés Nicolás/ABA-5820-2021; Rezende, Enrico L/B-8029-2012</t>
  </si>
  <si>
    <t>Carter, Mauricio/0000-0002-5351-8108; Rezende, Enrico L/0000-0002-6245-9605; Molina Godoy, Andres Nicolas/0000-0002-0737-6284; Pulgar, Jose/0000-0002-8816-7790</t>
  </si>
  <si>
    <t>Agencia Nacional de Investigacion y Desarrollo [PIA/BASAL FB0002, 21221525]; Fondo Nacional de Desarrollo Cientifico y Tecnologico [1200813, 1211113]; Instituto Antartico Chileno [RT_09-18]; Universidad Andres Bello [DI 10.20/Reg]</t>
  </si>
  <si>
    <t>Agencia Nacional de Investigacion y Desarrollo; Fondo Nacional de Desarrollo Cientifico y Tecnologico(Comision Nacional de Investigacion Cientifica y Tecnologica (CONICYT)CONICYT FONDECYT); Instituto Antartico Chileno; Universidad Andres Bello</t>
  </si>
  <si>
    <t>Agencia Nacional de Investigacion y Desarrollo, Grant/Award Number: PIA/ BASAL FB0002 and 21221525; Fondo Nacional de Desarrollo Cientifico y Tecnologico, Grant/Award Number: 1200813 and 1211113; Instituto Antartico Chileno, Grant/Award Number: RT_09-18; Universidad Andres Bello, Grant/Award Number: DI 10.20/Reg</t>
  </si>
  <si>
    <t>10.1111/gcb.16402</t>
  </si>
  <si>
    <t>AUG 2022</t>
  </si>
  <si>
    <t>7D8ON</t>
  </si>
  <si>
    <t>WOS:000847919500001</t>
  </si>
  <si>
    <t>Groen, M; Storey, M</t>
  </si>
  <si>
    <t>Groen, Mirek; Storey, Michael</t>
  </si>
  <si>
    <t>An astronomically calibrated 40Ar/39Ar age for the North Atlantic Z2 Ash: Implications for the Greenland ice core timescale</t>
  </si>
  <si>
    <t>40Ar/39Ar dating; Thorsmo euro rk ignimbrite; NAAZ II; Z2 ash; Iceland volcanism; GICC05; NGRIP</t>
  </si>
  <si>
    <t>THORSMORK IGNIMBRITE; TIE-POINT; CLIMATE; TEPHRA; RECORD; INTERCALIBRATION; SYNCHRONIZATION; IDENTIFICATION; GEOCHRONOLOGY; VOLCANO</t>
  </si>
  <si>
    <t>Timescales based on counted annual ice layers underpin the interpretation of late Quaternary rapid climatic oscillations recorded in the Greenland ice cores and their correlation to tropical and Antarctic climate archives. An inherent problem in the annual counted ice layer dating method is the large accumulated age uncertainties for the older part of the Greenland ice core timescale due to so called uncertain annual ice layers. Annual ice layers become thinner with depth due to increased compaction. Thus, the occurrence of uncertain annual layers becomes more frequent, such that by a depth of similar to 2150 m (43 ka) in the NGRIP ice core the accumulated uncertainty on the age is &gt; 2%. Radio-isotopic age determination of interbedded volcanic ash layers can provide independent verification of the Greenland counted annual ice layer ages along with the possibility of improved precision for the older part of this important timescale. Here we report an astronomically calibrated 40Ar/39Ar age of 56.14 +/- 0.44 ka (2 sigma) for the widespread North Atlantic Z2 ash forming Icelandic Thorsmo euro rk peralkaline rhyolitic eruption. The Z2 ash is found at a depth of 2359.45 m in the NGRIP ice core and has an annual layer counted age of 55.38 +/- 2.37 ka (2 sigma, b2k). Our radio-isotopic age for the Z2 eruption is &gt; 5 times more precise than the one based on counted annual ice layers and when referenced relative to b2k indicates that the oldest part of the GICC05 timescale is systematically too young by approximately 740 years. We use our Z2 eruption age to calculate refined astronomically calibrated ages for Greenland Interstadials (GI) 11 to 17 which results in reducing the age uncertainties on the majority of these events from the millennial to the centennial level. Our refined ages for GI 11-17 generally show good agreement with the NALPS U-Th stalagmite record that covers this same interval and together these high-precision radio-isotopic time -scales provide firmer constraints for testing for synchronicity, or leads and lags between different geographical parts of the late Pleistocene climate system. (C) 2022 The Authors. Published by Elsevier Ltd.</t>
  </si>
  <si>
    <t>[Groen, Mirek; Storey, Michael] Univ Copenhagen, Nat Hist Museum Denmark, Quadlab, Oster Voldgade 5-7, DK-1350 Copenhagen, Denmark; [Groen, Mirek] Univ Copenhagen, Globe Inst, Ctr Star &amp; Planet Format, Oster Voldgade 5-7, DK-1350 Copenhagen, Denmark</t>
  </si>
  <si>
    <t>University of Copenhagen; University of Copenhagen</t>
  </si>
  <si>
    <t>Storey, M (corresponding author), Univ Copenhagen, Nat Hist Museum Denmark, Quadlab, Oster Voldgade 5-7, DK-1350 Copenhagen, Denmark.</t>
  </si>
  <si>
    <t>michael.storey@snm.ku.dk</t>
  </si>
  <si>
    <t>Storey, Michael/0000-0002-3126-4637</t>
  </si>
  <si>
    <t>Villum Foundation [7408]; Danish National Research Foundation [DNRF97]</t>
  </si>
  <si>
    <t>Villum Foundation(Villum Fonden); Danish National Research Foundation(Danmarks Grundforskningsfond)</t>
  </si>
  <si>
    <t>Acknowledgements Quadlab is funded by grant 7408 from the Villum Foundation to M.S. A PhD stipend to M.G. was financed by grant DNRF97 from the Danish National Research Foundation to Martin Bizzarro. Ole Stecher is thanked for collecting Th ? orsmo ? rk samples during a reconnaissance field expedition in 2007 and for assistance with early laboratory work. Anders Scherffenberg Lundgaard contrib- uted to the 2016 field season and work in the laboratory. Anders Svensson and Sune Olander Rasmussen are thanked for discussions on the GICC05 timescale. Brad Singer and an anonymous reviewer provided valuable and insightful feedback on the initial draft. Lastly, M.S. wishes to acknowledge Sigf?s J ? ohan Johnsen for inspiring this study, particularly from conversations at the 2nd Carlsberg Dating Conference in Copenhagen in 2006.</t>
  </si>
  <si>
    <t>10.1016/j.quascirev.2022.107526</t>
  </si>
  <si>
    <t>4Y2BV</t>
  </si>
  <si>
    <t>WOS:000861336500005</t>
  </si>
  <si>
    <t>Besson, DZ; Kravchenko, I; Nivedita, K</t>
  </si>
  <si>
    <t>Besson, Dave Z.; Kravchenko, Ilya; Nivedita, Krishna</t>
  </si>
  <si>
    <t>Polarization angle dependence of vertically propagating radio-frequency signals in South Polar ice</t>
  </si>
  <si>
    <t>ASTROPARTICLE PHYSICS</t>
  </si>
  <si>
    <t>Radio neutrino; Ice properties; Radio neutrino; Ice properties</t>
  </si>
  <si>
    <t>NEUTRINO DETECTOR; RADIO DETECTION; PERFORMANCE; DESIGN; SCATTERING; EMISSION; SHOWERS; SHEETS; CHARGE; ARRAY</t>
  </si>
  <si>
    <t>To better understand the effect of ice properties on the capabilities of radio experiments designed to measure ultra-high energy neutrinos (UHEN), we recently considered the timing and amplitude characteristics of radio-frequency (RF) signals propagating along multi-kilometer, primarily horizontal trajectories through cold Polar ice at the South Pole. That analysis indicated satisfactory agreement with a model of ice birefringence based on ice crystal (-axis) data culled from the South Pole Ice Core Experiment (SPICE). Here we explore the geometrically complementary case of signals propagating along primarily vertical trajectories, using extant data from the Askaryan Radio Array (ARA) experiment, supplemented by a refined analysis of older RICE experimental data. The timing characteristics of the South Polar data are in general agreement with the same birefringence model, although a several nanosecond discrepancy is found in comparison to Taylor Dome data. Re-analysis of older RICE data also confirm the correlation of signal amplitudes reflected from internal-layers with the direction of ice flow, similar to previous observations made along a traverse from Dome Fuji to the Antarctic coast. These results have two important implications for radio-based UHEN experiments: (i) if birefringence can be locally calibrated, the timing characteristics of signals propagating from neutrino-ice interactions to a distant receiver might be used to infer the distance-to-vertex, which is necessary to estimate the energy of the progenitor neutrino, (ii) the measured reflectivity of internal layers may result in previously-unanticipated backgrounds to UHEN searches, requiring significantly more modeling and analysis.</t>
  </si>
  <si>
    <t>[Besson, Dave Z.] Univ Kansas, Dept Phys &amp; Astron, Lawrence, KS 66044 USA; [Kravchenko, Ilya] Univ Nebraska Lincoln, Dept Phys &amp; Astron, Lincoln, NE 68588 USA; [Nivedita, Krishna] Radboud Univ Nijmegen, Dept Astrophys, IMAPP, POB 9010, NL-6500 GI Nijmegen, Netherlands</t>
  </si>
  <si>
    <t>University of Kansas; University of Nebraska System; University of Nebraska Lincoln; Radboud University Nijmegen</t>
  </si>
  <si>
    <t>Besson, DZ (corresponding author), Univ Kansas, Dept Phys &amp; Astron, Lawrence, KS 66044 USA.</t>
  </si>
  <si>
    <t>zedlam@ku.edu</t>
  </si>
  <si>
    <t>besson, dave/0000-0001-6733-963X</t>
  </si>
  <si>
    <t>National Science Foundation, USA [2019597]; OIA-Office of Integrative Activities; Office Of The Director [2019597] Funding Source: National Science Foundation</t>
  </si>
  <si>
    <t>National Science Foundation, USA(National Science Foundation (NSF)); OIA-Office of Integrative Activities; Office Of The Director(National Science Foundation (NSF)NSF - Office of the Director (OD)NSF - Office of Integrative Activities (OIA))</t>
  </si>
  <si>
    <t>IK and DZB thank the National Science Foundation, USA for their generous support of the IceCube EPSCoR Initiative (Award ID 2019597) .</t>
  </si>
  <si>
    <t>0927-6505</t>
  </si>
  <si>
    <t>1873-2852</t>
  </si>
  <si>
    <t>ASTROPART PHYS</t>
  </si>
  <si>
    <t>Astropart Phys.</t>
  </si>
  <si>
    <t>10.1016/j.astropartphys.2022.102766</t>
  </si>
  <si>
    <t>4R6NO</t>
  </si>
  <si>
    <t>Green Published, hybrid, Green Submitted</t>
  </si>
  <si>
    <t>WOS:000856878400001</t>
  </si>
  <si>
    <t>Zheng, LY; Liu, NH; Zhong, S; Yu, Y; Zhang, XY; Qin, QL; Song, XY; Zhang, YZ; Fu, HH; Wang, M; McMinn, A; Chen, XL; Li, PY</t>
  </si>
  <si>
    <t>Zheng, Li-Yuan; Liu, Ning-Hua; Zhong, Shuai; Yu, Yang; Zhang, Xi-Ying; Qin, Qi-Long; Song, Xiao-Yan; Zhang, Yu-Zhong; Fu, Huihui; Wang, Min; McMinn, Andrew; Chen, Xiu-Lan; Li, Ping-Yi</t>
  </si>
  <si>
    <t>Diaminopimelic Acid Metabolism by Pseudomonadota in the Ocean</t>
  </si>
  <si>
    <t>diaminopimelic acid content; diaminopimelic acid decarboxylase; Pseudomonadota; seawater</t>
  </si>
  <si>
    <t>MAJOR BACTERIAL CONTRIBUTION; DISSOLVED ORGANIC-MATTER; AMINO-ACID; EQUATORIAL PACIFIC; SARGASSO SEA; PEPTIDOGLYCAN; DECARBOXYLASE; GENE; BIOSYNTHESIS; SUCCESSION</t>
  </si>
  <si>
    <t>Diaminopimelic acid (DAP) is a unique component of the cell wall of Gram-negative bacteria. It is also an important component of organic matter and is widely utilized by microbes in the world's oceans. However, neither DAP concentrations nor marine DAP-utilizing microbes have been investigated. Here, DAP concentrations in seawater were measured and the diversity of marine DAP-utilizing bacteria and the mechanisms for their DAP metabolism were investigated. Free DAP concentrations in seawater, from surface to a 5,000 m depth, were found to be between 0.61 mu M and 0.96 mu M in the western Pacific Ocean. DAP-utilizing bacteria from 20 families in 4 phyla were recovered from the western Pacific seawater and 14 strains were further isolated, in which Pseudomonadota bacteria were dominant. Based on genomic and transcriptomic analyses combined with gene deletion and in vitro activity detection, DAP decarboxylase (LysA), which catalyzes the decarboxylation of DAP to form lysine, was found to be a key and specific enzyme involved in DAP metabolism in the isolated Pseudomonadota strains. Interrogation of the Tara Oceans database found that most LysA-like sequences (92%) are from Pseudomonadota, which are widely distributed in multiple habitats. This study provides an insight into DAP metabolism by marine bacteria in the ocean and contributes to our understanding of the mineralization and recycling of DAP by marine bacteria. IMPORTANCE DAP is a unique component of peptidoglycan in Gram-negative bacterial cell walls. Due to the large number of marine Gram-negative bacteria, DAP is an important component of marine organic matter. However, it remains unclear how DAP is metabolized by marine microbes. This study investigated marine DAP-utilizing bacteria by cultivation and bioinformational analysis and examined the mechanism of DAP metabolism used by marine bacteria. The results demonstrate that Pseudomonadota bacteria are likely to be an important DAP-utilizing group in the ocean and that DAP decarboxylase is a key enzyme involved in DAP metabolism. This study also sheds light on the mineralization and recycling of DAP driven by bacteria. DAP is a unique component of peptidoglycan in Gram-negative bacterial cell walls. Due to the large number of marine Gram-negative bacteria, DAP is an important component of marine organic matter.</t>
  </si>
  <si>
    <t>[Zheng, Li-Yuan; Liu, Ning-Hua; Zhong, Shuai; Yu, Yang; Zhang, Xi-Ying; Qin, Qi-Long; Song, Xiao-Yan; Zhang, Yu-Zhong; Chen, Xiu-Lan; Li, Ping-Yi] Shandong Univ, State Key Lab Microbial Technol, Qingdao, Peoples R China; [Zheng, Li-Yuan; Liu, Ning-Hua; Zhong, Shuai; Yu, Yang; Zhang, Xi-Ying; Qin, Qi-Long; Song, Xiao-Yan; Zhang, Yu-Zhong; Chen, Xiu-Lan; Li, Ping-Yi] Shandong Univ, Marine Biotechnol Res Ctr, Qingdao, Peoples R China; [Zhang, Yu-Zhong; Fu, Huihui; Wang, Min; McMinn, Andrew] Ocean Univ China, Coll Marine Life Sci, Qingdao, Peoples R China; [Zhang, Yu-Zhong; Fu, Huihui; Wang, Min; McMinn, Andrew] Ocean Univ China, Frontiers Sci Ctr Deep Ocean Multispheres &amp; Earth, Qingdao, Peoples R China; [Zhang, Yu-Zhong; Fu, Huihui; Chen, Xiu-Lan] Pilot Natl Lab Marine Sci &amp; Technol, Lab Marine Biol &amp; Biotechnol, Qingdao, Peoples R China; [McMinn, Andrew] Univ Tasmania, Inst Marine &amp; Antarctic Studies, Hobart, Tas, Australia</t>
  </si>
  <si>
    <t>Shandong University; Shandong University; Ocean University of China; Ocean University of China; Laoshan Laboratory; University of Tasmania</t>
  </si>
  <si>
    <t>Chen, XL; Li, PY (corresponding author), Shandong Univ, State Key Lab Microbial Technol, Qingdao, Peoples R China.;Chen, XL; Li, PY (corresponding author), Shandong Univ, Marine Biotechnol Res Ctr, Qingdao, Peoples R China.;Chen, XL (corresponding author), Pilot Natl Lab Marine Sci &amp; Technol, Lab Marine Biol &amp; Biotechnol, Qingdao, Peoples R China.</t>
  </si>
  <si>
    <t>cxl0423@sdu.edu.cn; lipingyipeace@sdu.edu.cn</t>
  </si>
  <si>
    <t>Liu, Yilin/JWP-9153-2024; yi, zhang/KGL-4990-2024; Lin, Fan/JZT-1441-2024; liu, xingwang/KCY-1277-2024; lu, kai/KBB-4008-2024; wang, qi/ITT-9652-2023; Wang, lingyu/JLM-2013-2023; feng, feng/KBR-1814-2024; Lin, Yi/KEH-1784-2024; yan, xiao/JVP-0766-2024; he, xi/JXN-3817-2024; Zhang, Xi/HJH-1211-2023; QIU, LI/JPK-7397-2023; Chen, Bowen/KFB-3986-2024</t>
  </si>
  <si>
    <t>Liu, Yilin/0000-0002-7581-3933; Lin, Fan/0000-0002-7330-3833; Zhang, Yu-Zhong/0000-0002-2017-1005</t>
  </si>
  <si>
    <t>National Science Foundation of China [U1706207, 91851205, U2006205]; Science and Technology Basic Resources Investigation Program of China [2017FY100804]; Program of Shandong for Taishan Scholars [tspd20181203]</t>
  </si>
  <si>
    <t>National Science Foundation of China(National Natural Science Foundation of China (NSFC)); Science and Technology Basic Resources Investigation Program of China; Program of Shandong for Taishan Scholars</t>
  </si>
  <si>
    <t>This study was supported by the National Science Foundation of China (grants U1706207, 91851205, and U2006205, awarded to Yu-Zhong Zhang, Yu-Zhong Zhang, and Xiu-Lan Chen, respectively), the Science and Technology Basic Resources Investigation Program of China (2017FY100804, awarded to Xi-Ying Zhang), and the Program of Shandong for Taishan Scholars (tspd20181203, awarded to Yu-Zhong Zhang).</t>
  </si>
  <si>
    <t>10.1128/spectrum.00691-22</t>
  </si>
  <si>
    <t>gold, Green Published, Green Submitted</t>
  </si>
  <si>
    <t>WOS:000849854500002</t>
  </si>
  <si>
    <t>Liu, MM; Prentice, IC; Menviel, L; Harrison, SP</t>
  </si>
  <si>
    <t>Liu, Mengmeng; Prentice, Iain Colin; Menviel, Laurie; Harrison, Sandy P.</t>
  </si>
  <si>
    <t>Past rapid warmings as a constraint on greenhouse-gas climate feedbacks</t>
  </si>
  <si>
    <t>MILLENNIAL-SCALE VARIABILITY; GREENLAND ICE CORE; ANTARCTIC ICE; TEMPERATURE; SENSITIVITY; CIRCULATION; RESOLUTION; CARBON; PATTERNS; METHANE</t>
  </si>
  <si>
    <t>There are large uncertainties in the estimation of greenhouse-gas climate feedback. Recent observations do not provide strong constraints because they are short and complicated by human interventions, while model-based estimates differ considerably. Rapid climate changes during the last glacial period (Dansgaard-Oeschger events), observed near-globally, were comparable in both rate and magnitude to current and projected 21st century climate warming and therefore provide a relevant constraint on feedback strength. Here we use these events to quantify the centennial-scale feedback strength of CO2, CH4 and N2O by relating global mean temperature changes, simulated by an appropriately forced low-resolution climate model, to the radiative forcing of these greenhouse gases derived from their concentration changes in ice-core records. We derive feedback estimates (expressed as dimensionless gain) of 0.14 +/- 0.04 for CO2, 0.10 +/- 0.02 for CH4, and 0.09 +/- 0.03 for N2O. This indicates that much lower or higher estimates of gains, particularly some previously published values for CO2, are unrealistic. The centennial-scale climate feedback strength of greenhouse gases is not consistent with the highest and lowest estimates from CMIP models according to feedback strength estimates based on gas concentrations in ice cores during Dansgaard-Oeschger events</t>
  </si>
  <si>
    <t>[Liu, Mengmeng; Prentice, Iain Colin] Imperial Coll London, Dept Life Sci, London, England; [Prentice, Iain Colin] Macquarie Univ, Dept Biol Sci, N Ryde, NSW, Australia; [Prentice, Iain Colin; Harrison, Sandy P.] Tsinghua Univ, Dept Earth Syst Sci, Minist Educ, Key Lab Earth Syst Modelling, Beijing, Peoples R China; [Menviel, Laurie] Univ New South Wales, Climate Change Res Ctr ESSRC, Sydney, NSW, Australia; [Harrison, Sandy P.] Univ Reading, Dept Geog &amp; Environm Sci, Reading, Berks, England</t>
  </si>
  <si>
    <t>Imperial College London; Macquarie University; Tsinghua University; University of New South Wales Sydney; University of Reading</t>
  </si>
  <si>
    <t>Liu, MM (corresponding author), Imperial Coll London, Dept Life Sci, London, England.</t>
  </si>
  <si>
    <t>m.liu18@imperial.ac.uk</t>
  </si>
  <si>
    <t>Liu, Mengmeng/GWA-1419-2022; Menviel, Laurie/D-6902-2013</t>
  </si>
  <si>
    <t>Harrison, Sandy/0000-0001-5687-1903; Menviel, Laurie/0000-0002-5068-1591; Liu, Mengmeng/0000-0001-6250-0148</t>
  </si>
  <si>
    <t>European Research Council (ERC) [ERC-2015-AdG 694481]; JPI-Belmont project PAlaeo-Constraints on Monsoon Evolution and Dynamics (PACMEDY) through the UK Natural Environmental Research Council [NERC: NE/P006752/1]; ERC, under the European Union's Horizon 2020 research and innovation programme [787203 REALM]; Imperial College through the Lee Family Scholarship; Australian Research Council [FT180100606]</t>
  </si>
  <si>
    <t>European Research Council (ERC)(European Research Council (ERC)Spanish Government); JPI-Belmont project PAlaeo-Constraints on Monsoon Evolution and Dynamics (PACMEDY) through the UK Natural Environmental Research Council; ERC, under the European Union's Horizon 2020 research and innovation programme(European Research Council (ERC)Horizon 2020); Imperial College through the Lee Family Scholarship; Australian Research Council(Australian Research Council)</t>
  </si>
  <si>
    <t>S.P.H. acknowledges support from the European Research Council (ERC) for GC2.0: Unlocking the past for a clearer future (ERC-2015-AdG 694481) and from the JPI-Belmont project PAlaeo-Constraints on Monsoon Evolution and Dynamics (PACMEDY) through the UK Natural Environmental Research Council (NERC: NE/P006752/1). I.C.P. acknowledges funding from the ERC, under the European Union's Horizon 2020 research and innovation programme (grant agreement No: 787203 REALM). M.L. acknowledges support from Imperial College through the Lee Family Scholarship. L.M. acknowledges support from the Australian Research Council (grant FT180100606). We thank Eric Wolff for advice about the ice-core chronologies. This work is a contribution to the Imperial College initiative on Grand Challenges in Ecosystems and the Environment.</t>
  </si>
  <si>
    <t>AUG 30</t>
  </si>
  <si>
    <t>10.1038/s43247-022-00536-0</t>
  </si>
  <si>
    <t>4E2UL</t>
  </si>
  <si>
    <t>WOS:000847685800002</t>
  </si>
  <si>
    <t>Shen, LL; Huang, T; Chen, YQ; Chu, ZD; Xie, ZQ</t>
  </si>
  <si>
    <t>Shen, Lili; Huang, Tao; Chen, Yuanqing; Chu, Zhuding; Xie, Zhouqing</t>
  </si>
  <si>
    <t>Diverse transformations of sulfur in seabird-affected sediments revealed by microbial and stable isotope analyses</t>
  </si>
  <si>
    <t>JOURNAL OF OCEANOLOGY AND LIMNOLOGY</t>
  </si>
  <si>
    <t>sulfur and oxygen isotope; dissimilatory sulfate reduction; sulfur oxidation; sulfate-reducing bacteria; Antarctica</t>
  </si>
  <si>
    <t>SULFATE-REDUCING BACTERIA; ORGANIC-MATTER SULFURIZATION; COVERED LAKE FRYXELL; INORGANIC SULFUR; ARDLEY ISLAND; ELECTRON-DONORS; FRACTIONATION; OXIDATION; REDUCTION; OXYGEN</t>
  </si>
  <si>
    <t>Microbial communities, sulfur isotope of sulfides (delta S-34(AVS) and delta 34S(CRS)), and sulfur and oxygen isotopes of sulfate (delta S-34(SO4) and delta O-18(SO4)) in sediments were analyzed to reveal the biogeochemical transformations of sulfur in a seabird-affected lake Y2 and a seabird-free YO from Fildes Peninsula, Antarctic Peninsula. The microbial communities in Y2 were mainly associated with penguin activities, while those in YO were limited by nutrients. The much enriched delta S-34(SO4) recorded at depth of 30, 41, and 52 cm in Y2 indicates very strong sulfate reduction therein. The sulfur-degrading bacteria Pseudomonas in 0-23 cm of Y2 was 3.5 times as abundant as that of sulfur oxidizing bacteria (SOB), indicating remarkable remineralization of organic sulfur. The abundant SOB and S-34-depleted sulfate indicate considerable sulfur oxidation in 3456-cm layer in Y2. In YO sediments, the highest abundance of Desulfotalea and the most enriched delta S-34(SO4) (35.2%) and delta S-34(CRS) (2.5%) indicate the strongest sulfate reduction in 28-cm layer. High abundance of Pseudomonas indicates active remineralization of organic sulfur in 3-5-cm layer in YO. The medium delta S-34(SO4) and considerable abundance of SOB and sulfate-reducing bacteria (SRB) indicate concurrence of sulfur oxidation and sulfate reduction in other layers in YO. Therefore, a high level of organic matter input from penguin populations supported the diverse microbial community and transformations of sulfur in aquatic ecosystems in Antarctica.</t>
  </si>
  <si>
    <t>[Shen, Lili; Huang, Tao; Chen, Yuanqing] Anhui Univ, Sch Resources &amp; Environm Engn, Hefei 230601, Peoples R China; [Huang, Tao] Anhui Univ, Anhui Prov Key Lab Wetland Ecosyst Protect &amp; Rest, Hefei 230601, Peoples R China; [Chu, Zhuding; Xie, Zhouqing] Univ Sci &amp; Technol China, Dept Environm Sci &amp; Engn, Anhui Key Lab Polar Environm &amp; Global Change, Hefei 230026, Peoples R China</t>
  </si>
  <si>
    <t>Anhui University; Anhui University; Chinese Academy of Sciences; University of Science &amp; Technology of China, CAS</t>
  </si>
  <si>
    <t>Huang, T (corresponding author), Anhui Univ, Sch Resources &amp; Environm Engn, Hefei 230601, Peoples R China.;Huang, T (corresponding author), Anhui Univ, Anhui Prov Key Lab Wetland Ecosyst Protect &amp; Rest, Hefei 230601, Peoples R China.</t>
  </si>
  <si>
    <t>huangt@ahu.edu.cn</t>
  </si>
  <si>
    <t>shen, lili/IUQ-2187-2023; Huang, Tao/B-5915-2009</t>
  </si>
  <si>
    <t>Huang, Tao/0000-0001-5035-1632; Chen, Yuanqing/0000-0001-9037-5858</t>
  </si>
  <si>
    <t>National Natural Science Foundation of China [41476165]; University Natural Science Research Project of Anhui Province [KJ2019A0042]</t>
  </si>
  <si>
    <t>National Natural Science Foundation of China(National Natural Science Foundation of China (NSFC)); University Natural Science Research Project of Anhui Province(Natural Science Foundation of Anhui Province)</t>
  </si>
  <si>
    <t>Supported by the National Natural Science Foundation of China (No. 41476165) and the University Natural Science Research Project of Anhui Province (No. KJ2019A0042)</t>
  </si>
  <si>
    <t>16 DONGHUANGCHENGGEN NORTH ST, Building 5, Room 411, BEIJING, 100009, PEOPLES R CHINA</t>
  </si>
  <si>
    <t>2096-5508</t>
  </si>
  <si>
    <t>2523-3521</t>
  </si>
  <si>
    <t>J OCEANOL LIMNOL</t>
  </si>
  <si>
    <t>J. Oceanol. Limnol.</t>
  </si>
  <si>
    <t>10.1007/s00343-021-1173-z</t>
  </si>
  <si>
    <t>A3TX6</t>
  </si>
  <si>
    <t>WOS:000847628700012</t>
  </si>
  <si>
    <t>Carroll, EL; Riekkola, L; Andrews-Goff, V; Baker, CS; Constantine, R; Cole, R; Goetz, K; Harcourt, R; Lundquist, D; Meyer, C; Ogle, M; O'Rorke, R; Patenaude, N; Russ, R; Stuck, E; van der Reis, AL; Zerbini, AN; Childerhouse, S</t>
  </si>
  <si>
    <t>Carroll, Emma L.; Riekkola, Leena; Andrews-Goff, Virginia; Baker, C. Scott; Constantine, Rochelle; Cole, Ros; Goetz, Kim; Harcourt, Robert; Lundquist, David; Meyer, Catherine; Ogle, Mike; O'Rorke, Richard; Patenaude, Nathalie; Russ, Rodney; Stuck, Esther; van der Reis, Aimee L.; Zerbini, Alexandre N.; Childerhouse, Simon</t>
  </si>
  <si>
    <t>New Zealand southern right whale (Eubalaena australis; Tohora no Aotearoa) behavioural phenology, demographic composition, and habitat use in Port Ross, Auckland Islands over three decades: 1998-2021</t>
  </si>
  <si>
    <t>Migratory habitat; Anthropogenic impacts; Human impacts</t>
  </si>
  <si>
    <t>PENINSULA VALDES; BIOPSY SYSTEM; POPULATION; ABUNDANCE; CLIMATE; PHOTOIDENTIFICATION; IRON</t>
  </si>
  <si>
    <t>Changes in habitat availability and prey abundance are predicted to adversely influence survival and reproduction of wildlife in the Southern Ocean. Some populations of southern right whale (SRW; Eubalaena australis) are showing dramatic changes in habitat use. Surveys were undertaken in the austral winters of 2020 and 2021 at the key nursery and socialising ground for New Zealand SRWs: Port Ross, Auckland Islands, with 548 encounters and 599 skin biopsy samples collected. Data from these two surveys spanned peak periods of use and were used to test the hypothesis there have been shifts in the phenology, demographic composition and behaviour of SRWs using the Auckland Islands over the past three decades. The behavioural phenology and demographic composition of SRW resembles that observed in the 1990s. In contrast, the proportion of groups containing cow-calf pairs increased from 20% in the 1998 survey to 50% in 2020/21. These changes are consistent with a growing population undergoing strong recruitment, not limited by food resources. Continued use of Port Ross by all SRW demographic classes confirms this as key habitat for SRW in New Zealand waters, and we support increased enforcement of existing management measures to reduce whale-vessel interactions in this remote subantarctic archipelago.</t>
  </si>
  <si>
    <t>[Carroll, Emma L.; Riekkola, Leena; Constantine, Rochelle; Meyer, Catherine; O'Rorke, Richard; Stuck, Esther; van der Reis, Aimee L.] Univ Auckland, Sch Biol Sci, Auckland, New Zealand; [Andrews-Goff, Virginia] Australian Antarctic Div, Kingston, Tas, Australia; [Baker, C. Scott] Oregon State Univ, Marine Mammal Inst, Newport, OR USA; [Baker, C. Scott] Oregon State Univ, Dept Fisheries Wildlife &amp; Conservat Sci, Newport, OR USA; [Constantine, Rochelle] Univ Auckland, Inst Marine Sci, Auckland, New Zealand; [Cole, Ros; Lundquist, David; Ogle, Mike] Dept Conservat, Wellington, New Zealand; [Goetz, Kim] Natl Marine Fisheries Serv, NOAA, Marine Mammal Lab, Alaska Fisheries Sci Ctr, Seattle, WA USA; [Goetz, Kim] Natl Inst Water &amp; Atmospher Res, Wellington, New Zealand; [Harcourt, Robert] Macquarie Univ, Sch Nat Sci, N Ryde, NSW 2109, Australia; [Patenaude, Nathalie] Collegial Int St Anne, Montreal, PQ H8S 2M8, Canada; [Russ, Rodney] Strannik Ocean Voyages, Christchurch, New Zealand; [Zerbini, Alexandre N.] Univ Washington, Cooperat Inst Climate Ecosyst &amp; Ocean Studies, Seattle, WA 98195 USA; [Zerbini, Alexandre N.] NOAA, Marine Mammal Lab, Alaska Fisheries Sci Ctr, Seattle, WA USA; [Zerbini, Alexandre N.] Marine Ecol &amp; Telemetry Res &amp; Cascadia Res Collec, Seabeck, WA USA; [Childerhouse, Simon] Environm Law Initiat, Wellington, New Zealand</t>
  </si>
  <si>
    <t>University of Auckland; Australian Antarctic Division; Oregon State University; Oregon State University; University of Auckland; National Oceanic Atmospheric Admin (NOAA) - USA; National Institute of Water &amp; Atmospheric Research (NIWA) - New Zealand; Macquarie University; University of Washington; University of Washington Seattle; National Oceanic Atmospheric Admin (NOAA) - USA</t>
  </si>
  <si>
    <t>Carroll, EL (corresponding author), Univ Auckland, Sch Biol Sci, Auckland, New Zealand.</t>
  </si>
  <si>
    <t>e.carroll@auckland.ac.nz</t>
  </si>
  <si>
    <t>O'Rorke, Richard/C-9281-2011; Carroll, Emma/U-9133-2019</t>
  </si>
  <si>
    <t>Carroll, Emma/0000-0003-3193-7288; Lundquist, David/0000-0002-7359-7704; van der Reis, Aimee/0000-0003-3054-284X; Baker, C. Scott/0000-0003-2183-2036; Riekkola, Leena/0000-0002-9653-7106; Harcourt, Robert/0000-0003-4666-2934; Andrews-Goff, Virginia/0000-0002-4609-7317; Meyer, Catherine/0000-0002-6627-7323</t>
  </si>
  <si>
    <t>CAUL and Member Institutions; Royal Society-Te Aparangi Rutherford Discovery Fellowship; Live Ocean; Lou and Iris Fisher Charitable Trust; Joyce Fisher Charitable Trust; Brian Sheth/Sangreal Foundation; University of Auckland Science Faculty Research Development Fund; International Whaling Commission-Southern Ocean Research Partnership; Antarctic and Southern Ocean Coalition; New Zealand Department of Conservation -Te Papa Atawhai; Cawthron Institute</t>
  </si>
  <si>
    <t>CAUL and Member Institutions; Royal Society-Te Aparangi Rutherford Discovery Fellowship(Royal Society of New Zealand); Live Ocean; Lou and Iris Fisher Charitable Trust; Joyce Fisher Charitable Trust; Brian Sheth/Sangreal Foundation; University of Auckland Science Faculty Research Development Fund; International Whaling Commission-Southern Ocean Research Partnership; Antarctic and Southern Ocean Coalition; New Zealand Department of Conservation -Te Papa Atawhai; Cawthron Institute</t>
  </si>
  <si>
    <t>Open Access funding enabled and organized by CAUL and its Member Institutions. This work was funded by generous support from the Royal Society-Te Aparangi Rutherford Discovery Fellowship, Live Ocean, Lou and Iris Fisher Charitable Trust, Joyce Fisher Charitable Trust, Brian Sheth/Sangreal Foundation, University of Auckland Science Faculty Research Development Fund, International Whaling Commission-Southern Ocean Research Partnership, Antarctic and Southern Ocean Coalition, New Zealand Department of Conservation -Te Papa Atawhai and the Cawthron Institute.</t>
  </si>
  <si>
    <t>10.1007/s00300-022-03076-7</t>
  </si>
  <si>
    <t>4M9PJ</t>
  </si>
  <si>
    <t>WOS:000847634600001</t>
  </si>
  <si>
    <t>An, ML; Miao, JL</t>
  </si>
  <si>
    <t>An, M. L.; Miao, J. L.</t>
  </si>
  <si>
    <t>Genetic and Molecular Characterization of a Dash Cryptochrome Homologous Gene from Antarctic Diatom Phaeodactylum tricornutum ICE-H</t>
  </si>
  <si>
    <t>MOLECULAR BIOLOGY</t>
  </si>
  <si>
    <t>Phaeodactylum tricornutum; DASH cryptochrome; Pticry-DASH; DNA damage; photoreceptor</t>
  </si>
  <si>
    <t>VARIABLE ELECTRON-TRANSFER; DNA-REPAIR; PHOTOLYASE/CRYPTOCHROME FAMILY; PHOTOLYASE; LIGHT; PHOTORECEPTORS; IDENTIFICATION; MECHANISMS; INSIGHTS; REVEALS</t>
  </si>
  <si>
    <t>DASH-type cryptochromes (cry-DASH) belong to cryptochrome/photolyase family (CPF), that includes photolyases with the capability to repair UVB-induced DNA lesions and cryptochromes acting as photoreceptors without photorepair activity. However, recent studies demonstrated that cry-DASH can repair cyclobutane pyrimidine dimers (CPDs) in damaged single-stranded DNA (ssDNA). Up to now, cryDASHs have been investigated in prokaryotes and eukaryotes. However, the characteristics and role of cryDASH in Antarctic diatom were not elucidated. Here, a cry-DASH sequence (Pticry-DASH) of the Antarctic diatom Phaeodactylum tricornutum ICE-H was retrieved from the transcriptome data, amplified by RT-PCR, cloned, and then expressed in Escherichia coli. The phylogenetic analysis indicated that Pticry-DASH is most closely related to cry-DASH. The gene expression of Pticry-DASH under abiotic stress was investigated by RT-PCR. Significant transcript accumulation was revealed after exposure to UVB, blue light, high-intensity light, and high temperature. The Pticry- DASH was expressed in E. coli, purified and its activity was measured. Photo-reactivation experiments confirmed that Pticry- DASH can repair CPDs in ssDNA lesions. Taken together for the first time the cry-DASH has been identified in the Antarctic diatom. The properties and peculiarities of Pticry-DASH including UVB-induced CPDs repair function may promote the exploitation of Antarctic resources.</t>
  </si>
  <si>
    <t>[An, M. L.] Rizhao Polytech, Dept Marine Technol, Rizhao 276826, Shandong, Peoples R China; [Miao, J. L.] Minist Nat Resource, Inst Oceanog 1, Qingdao 266061, Shandong, Peoples R China; [Miao, J. L.] Qingdao Natl Lab Marine Sci &amp; Technol, Lab Marine Drugs &amp; Bioprod, Qingdao 266237, Peoples R China; [Miao, J. L.] Qingdao Key Lab Marine Nat Prod Res &amp; Dev, Qingdao 266237, Peoples R China; [Miao, J. L.] Guangxi Acad Sci, Nanning 530007, Peoples R China</t>
  </si>
  <si>
    <t>Rizhao Polytechnic; Laoshan Laboratory; Guangxi Academy of Sciences</t>
  </si>
  <si>
    <t>An, ML (corresponding author), Rizhao Polytech, Dept Marine Technol, Rizhao 276826, Shandong, Peoples R China.</t>
  </si>
  <si>
    <t>rubyhawthorn@163.com; miaojinlai@fio.org.cn</t>
  </si>
  <si>
    <t>Natural Science Foundation of China [42176130, 32000074]; Shandong Natural Science Foundation [ZR2019BD023, ZR2021MD044]; Tai Mountain Industry Leading Talent [2019TSCYCX-06]; Key R&amp;D Program of Shandong [2021TZXD008]; Basic Scientific Fund for National Public Research Institutes of China [2020Q02]; Guangxi Science and Technology Base and Special Talents [AA21196002]</t>
  </si>
  <si>
    <t>Natural Science Foundation of China(National Natural Science Foundation of China (NSFC)); Shandong Natural Science Foundation(Natural Science Foundation of Shandong Province); Tai Mountain Industry Leading Talent; Key R&amp;D Program of Shandong; Basic Scientific Fund for National Public Research Institutes of China; Guangxi Science and Technology Base and Special Talents</t>
  </si>
  <si>
    <t>This study was supported by the Natural Science Foundation of China (42176130 and 32000074), Shandong Natural Science Foundation (ZR2019BD023 and ZR2021MD044), Tai Mountain Industry Leading Talent (2019TSCYCX-06), Key R&amp;D Program of Shandong (2021TZXD008), Basic Scientific Fund for National Public Research Institutes of China (2020Q02), and Guangxi Science and Technology Base and Special Talents (AA21196002).</t>
  </si>
  <si>
    <t>0026-8933</t>
  </si>
  <si>
    <t>1608-3245</t>
  </si>
  <si>
    <t>MOL BIOL+</t>
  </si>
  <si>
    <t>Mol. Biol.</t>
  </si>
  <si>
    <t>10.1134/S0026893322060024</t>
  </si>
  <si>
    <t>Biochemistry &amp; Molecular Biology</t>
  </si>
  <si>
    <t>8J9PK</t>
  </si>
  <si>
    <t>WOS:000847621300002</t>
  </si>
  <si>
    <t>Vicente, JR; Vaz, AS; Roige, M; Winter, M; Lenzner, B; Clarke, DA; McGeoch, MA</t>
  </si>
  <si>
    <t>Vicente, Joana R.; Vaz, A. Sofia; Roige, Mariona; Winter, Marten; Lenzner, Bernd; Clarke, David A.; McGeoch, Melodie A.</t>
  </si>
  <si>
    <t>Existing indicators do not adequately monitor progress toward meeting invasive alien species targets</t>
  </si>
  <si>
    <t>CONSERVATION LETTERS</t>
  </si>
  <si>
    <t>biodiversity; biological invasions; environmental policy; essential biodiversity variables; global environmental change</t>
  </si>
  <si>
    <t>BIODIVERSITY INDICATORS; BIOLOGICAL INVASION; SCIENCE; IMPACT</t>
  </si>
  <si>
    <t>Monitoring the progress parties have made toward meeting global biodiversity targets requires appropriate indicators. The recognition of invasive alien species (IAS) as a biodiversity threat has led to the development of specific targets aiming at reducing their prevalence and impact. However, indicators for adequately monitoring and reporting on the status of biological invasions have been slow to emerge, with those that exist being arguably insufficient. We performed a systematic review of the peer-reviewed literature to assess the adequacy of existing IAS indicators against a range of policy-relevant and scientifically valid properties. We found that very few indicators have most of the desirable properties and that existing indicators are unevenly spread across the components of the Driver-Pressure-State-Response and Theory of Change frameworks. We provide three possible reasons for this: (i) inadequate attention paid to the requirements of an effective IAS indicator, (ii) insufficient data required to populate and inform policy-relevant, scientifically robust indicators, or (iii) deficient investment in the development and maintenance of IAS indicators. This review includes an analysis of where current inadequacies in IAS indicators exist and provides a roadmap for the future development of indicators capable of measuring progress made toward mitigating and halting biological invasions.</t>
  </si>
  <si>
    <t>[Vicente, Joana R.; Vaz, A. Sofia] Univ Porto, Res Ctr Biodivers &amp; Genet Resources, CIBIO InBIO, Rua Padre Armando Quintas 7,Campus Agr Vairao, P-4485641 Vila Do Conde, Portugal; [Vicente, Joana R.; Vaz, A. Sofia] Univ Porto, Fac Sci, Dept Biol, Porto, Portugal; [Vicente, Joana R.; Vaz, A. Sofia] CIBIO, BIOPOLIS Program Genom Biodivers &amp; Land Planning, Campus Vairao, Vairao, Portugal; [Roige, Mariona] AgResearch, Lincoln Res Ctr, Lincoln, New Zealand; [Winter, Marten] German Ctr Integrat Biodivers Res iDiv, Deutsch Pl 5e, Leipzig, Germany; [Lenzner, Bernd] Univ Vienna, Dept Bot &amp; Biodivers Res, Macroecol Grp, Bioinvas,Global Change, Vienna, Austria; [Clarke, David A.; McGeoch, Melodie A.] La Trobe Univ, Dept Environm &amp; Genet, Melbourne, Vic 3800, Australia</t>
  </si>
  <si>
    <t>Universidade do Porto; Universidade do Porto; Universidade do Porto; AgResearch - New Zealand; University of Vienna; La Trobe University; Melbourne Genomics Health Alliance</t>
  </si>
  <si>
    <t>Vicente, JR (corresponding author), Univ Porto, Res Ctr Biodivers &amp; Genet Resources, CIBIO InBIO, Rua Padre Armando Quintas 7,Campus Agr Vairao, P-4485641 Vila Do Conde, Portugal.;McGeoch, MA (corresponding author), La Trobe Univ, Dept Environm &amp; Genet, Melbourne, Vic 3800, Australia.</t>
  </si>
  <si>
    <t>jsvicente@fc.up.pt; M.McGeoch@latrobe.edu.au</t>
  </si>
  <si>
    <t>McGeoch, Melodie A/F-8353-2011; Clarke, David A/IUQ-2290-2023; Winter, Marten/E-7979-2011; Vicente, Joana/L-7434-2013; Lenzner, Bernd/AAS-9140-2020</t>
  </si>
  <si>
    <t>Clarke, David A/0000-0003-3529-1162; Winter, Marten/0000-0002-9593-7300; Vicente, Joana/0000-0003-0382-0189; Lenzner, Bernd/0000-0002-2616-3479</t>
  </si>
  <si>
    <t>Australian Research Council [DP 200101680]; Antarctic Science Securing Antarctica's Environmental Future [SR200100005]; 2018 Juan de la Cierva-Formacion program [FJC2018-038131-I]; FCT [2020.01175.CEECIND]; Austrian Science Foundation FWF [I2086-B16]</t>
  </si>
  <si>
    <t>Australian Research Council(Australian Research Council); Antarctic Science Securing Antarctica's Environmental Future; 2018 Juan de la Cierva-Formacion program; FCT(Fundacao para a Ciencia e a Tecnologia (FCT)); Austrian Science Foundation FWF(Austrian Science Fund (FWF))</t>
  </si>
  <si>
    <t>Australian Research Council, Grant/Award Number: DP 200101680; Antarctic Science Securing Antarctica's Environmental Future, Grant/Award Number: SR200100005; 2018 Juan de la Cierva-Formacion program, Grant/Award Number: FJC2018-038131-I; FCT, Grant/Award Number: 2020.01175.CEECIND; Austrian Science Foundation FWF, Grant/Award Number: I2086-B16</t>
  </si>
  <si>
    <t>1755-263X</t>
  </si>
  <si>
    <t>CONSERV LETT</t>
  </si>
  <si>
    <t>Conserv. Lett.</t>
  </si>
  <si>
    <t>e12918</t>
  </si>
  <si>
    <t>10.1111/conl.12918</t>
  </si>
  <si>
    <t>Biodiversity Conservation</t>
  </si>
  <si>
    <t>Biodiversity &amp; Conservation</t>
  </si>
  <si>
    <t>5R4VR</t>
  </si>
  <si>
    <t>WOS:000847437600001</t>
  </si>
  <si>
    <t>Chemison, A; Defrance, D; Ramstein, G; Caminade, C</t>
  </si>
  <si>
    <t>Chemison, Alizee; Defrance, Dimitri; Ramstein, Gilles; Caminade, Cyril</t>
  </si>
  <si>
    <t>Impact of an acceleration of ice sheet melting on monsoon systems</t>
  </si>
  <si>
    <t>EARTH SYSTEM DYNAMICS</t>
  </si>
  <si>
    <t>ASIAN SUMMER MONSOON; CLIMATE-CHANGE; THERMOHALINE CIRCULATION; GLOBAL MONSOON; NORTH-ATLANTIC; CMIP5; RAINFALL; MODEL; AFRICA; OCEAN</t>
  </si>
  <si>
    <t>The study of past climates has demonstrated the occurrence of Heinrich events during which major ice discharges occurred at the polar ice sheet, leading to significant additional sea level rise. Heinrich events strongly influenced the oceanic circulation and global climate. However, standard climate change scenarios (Representative Concentration Pathways or RCPs) do not consider such potential rapid ice sheet collapse; RCPs only consider the dynamic evolution of greenhouse gas emissions. We carried out water-hosing simulations using the Institute Pierre Simon Laplace global Climate Model (IPSL-CM5A) to simulate a rapid melting of the Greenland and Antarctic ice sheets, equivalent to +1 and +3 m additional sea level rise (SLR). Freshwater inputs were added to the standard RCP8.5 emission scenario over the 21st century. The contribution to the SLR from Greenland or from Antarctic ice sheets has differentiated impacts. The freshwater input in the Antarctic is diluted by the circumpolar current, and its global impact is moderate. Conversely, a rapid melting of the ice sheet in the North Atlantic slows down the Atlantic Meridional Overturning Circulation. This slowdown leads to changes in winds, inter-hemispheric temperature and pressure gradients, resulting in a southward shift of the tropical rain belt over the Atlantic and eastern Pacific region. The American and African monsoons are strongly affected and shift to the south. Changes in the North American monsoon occur later, while changes in the South American monsoon start earlier. The North African monsoon is drier during boreal summer, while the southern African monsoon intensifies during austral summer. Simulated changes were not significant for the Asian and Australian monsoons.</t>
  </si>
  <si>
    <t>[Chemison, Alizee; Ramstein, Gilles] Lab Sci Climat &amp; Environm LSCE, CEA, Gif Sur Yvette, France; [Defrance, Dimitri] Climate Data Factory, Paris, France; [Caminade, Cyril] Abdus Salam Int Ctr Theoret Phys ICTP, Earth Syst Phys Dept, Trieste, Italy</t>
  </si>
  <si>
    <t>CEA; Centre National de la Recherche Scientifique (CNRS); Universite Paris Saclay; Abdus Salam International Centre for Theoretical Physics (ICTP)</t>
  </si>
  <si>
    <t>Chemison, A (corresponding author), Lab Sci Climat &amp; Environm LSCE, CEA, Gif Sur Yvette, France.</t>
  </si>
  <si>
    <t>alizee.chemison@lsce.ipsl.fr</t>
  </si>
  <si>
    <t>Defrance, Dimitri/G-9988-2019</t>
  </si>
  <si>
    <t>Defrance, Dimitri/0000-0003-1371-294X; Chemison, Alizee/0000-0003-3969-4030; Caminade, Cyril/0000-0002-3846-7082</t>
  </si>
  <si>
    <t>Direction de la Recherche Fondamentale (DRF) of the Commissariat a l'energie atomique et aux energies alternatives (CEA); French Atomic Energy and Alternative Energies Commission; EPICLIM project</t>
  </si>
  <si>
    <t>This research work was funded by a PhD grant from the Direction de la Recherche Fondamentale (DRF) of the Commissariat a l'energie atomique et aux energies alternatives (CEA, the French Atomic Energy and Alternative Energies Commission) and by the EPICLIM project awarded to Gilles Ramstein by the DRF Impulsion programme.</t>
  </si>
  <si>
    <t>2190-4979</t>
  </si>
  <si>
    <t>2190-4987</t>
  </si>
  <si>
    <t>EARTH SYST DYNAM</t>
  </si>
  <si>
    <t>Earth Syst. Dynam.</t>
  </si>
  <si>
    <t>10.5194/esd-13-1259-2022</t>
  </si>
  <si>
    <t>4D8JW</t>
  </si>
  <si>
    <t>WOS:000847386700001</t>
  </si>
  <si>
    <t>Wespes, C; Ronsmans, G; Clarisse, L; Solomon, S; Hurtmans, D; Clerbaux, C; Coheur, PF</t>
  </si>
  <si>
    <t>Wespes, Catherine; Ronsmans, Gaetane; Clarisse, Lieven; Solomon, Susan; Hurtmans, Daniel; Clerbaux, Cathy; Coheur, Pierre-Francois</t>
  </si>
  <si>
    <t>Polar stratospheric nitric acid depletion surveyed from a decadal dataset of IASI total columns</t>
  </si>
  <si>
    <t>A-TRAIN CALIOP; INTERANNUAL VARIATIONS; CLOUD COMPOSITION; OZONE DEPLETION; TRIHYDRATE NAT; NUCLEATION; CHEMISTRY; ICE; MICROPHYSICS; MIPAS</t>
  </si>
  <si>
    <t>In this paper, we exploit the first 10-year data record (2008-2017) of nitric acid (HNO3) total columns measured by the IASI-A/MetOp infrared sounder, characterized by an exceptional daily sampling and a good vertical sensitivity in the lower-to-mid stratosphere (around 50 hPa), to monitor the relationship between the temperature decrease and the observed HNO3 loss that occurs each year in the Antarctic stratosphere during the polar night. Since the HNO3 depletion results from the formation of polar stratospheric clouds (PSCs), which trigger the development of the ozone (O3) hole, its continuous monitoring is of high importance. We verify here, from the 10-year time evolution of HNO3 together with temperature (taken from reanalysis at 50 hPa), the recurrence of specific regimes in the annual cycle of IASI HNO3 and identify (for each year) the day and the 50 hPa temperature (drop temperature) corresponding to the onset of strong HNO3 depletion in the Antarctic winter. Although the measured HNO3 total column does not allow for the uptake of HNO3 by different types of PSC particles along the vertical profile to be differentiated, an average drop temperature of 194.2 +/- 3.8 K, close to the nitric acid trihydrate (NAT) existence threshold (similar to 195 K at 50 hPa), is found in the region of potential vorticity lower than -10 x 10-5 Km2kg-1s-1 (similar to the 70-90 circle S equivalent latitude region during winter). The spatial distribution and interannual variability of the drop temperature are investigated and discussed. This paper highlights the capability of the IASI sounder to monitor the evolution of polar stratospheric HNO3, a key player in the processes involved in the depletion of stratospheric O3.</t>
  </si>
  <si>
    <t>[Wespes, Catherine; Ronsmans, Gaetane; Clarisse, Lieven; Hurtmans, Daniel; Clerbaux, Cathy; Coheur, Pierre-Francois] Univ Libre Bruxelles ULB, Spect Quantum Chem &amp; Atmospher Remote Sensing SQU, Brussels, Belgium; [Solomon, Susan] MIT, Dept Earth Atmospher &amp; Planetary Sci, Cambridge, MA USA; [Clerbaux, Cathy] Sorbonne Univ, UVSQ, CNRS, LATMOS IPSL, Paris, France</t>
  </si>
  <si>
    <t>Universite Libre de Bruxelles; Massachusetts Institute of Technology (MIT); Universite Paris Cite; Sorbonne Universite; Centre National de la Recherche Scientifique (CNRS); Universite Paris Saclay</t>
  </si>
  <si>
    <t>Wespes, C (corresponding author), Univ Libre Bruxelles ULB, Spect Quantum Chem &amp; Atmospher Remote Sensing SQU, Brussels, Belgium.</t>
  </si>
  <si>
    <t>catherine.wespes@ulb.be</t>
  </si>
  <si>
    <t>Clarisse, Lieven/GQQ-4657-2022</t>
  </si>
  <si>
    <t>Clarisse, Lieven/0000-0002-8805-2141</t>
  </si>
  <si>
    <t>F.R.S.-FNRS; Belgian State Federal Office for Scientific, Technical and Cultural Affairs (Prodex arrangement) [4000111403 IASI.FLOW]; EUMETSAT through the Satellite Application Facility on Atmospheric Composition Monitoring (ACSAF); Fonds pour la Formation a la Recherche dans l'Industrie et dans l'Agriculture of Belgium; Centre National d'Etudes Spatiales (CNES); National Science Foundation [NSF1539972]</t>
  </si>
  <si>
    <t>F.R.S.-FNRS(Fonds de la Recherche Scientifique - FNRS); Belgian State Federal Office for Scientific, Technical and Cultural Affairs (Prodex arrangement); EUMETSAT through the Satellite Application Facility on Atmospheric Composition Monitoring (ACSAF); Fonds pour la Formation a la Recherche dans l'Industrie et dans l'Agriculture of Belgium(Fonds de la Recherche Scientifique - FNRS); Centre National d'Etudes Spatiales (CNES)(Centre National D'etudes Spatiales); National Science Foundation(National Science Foundation (NSF))</t>
  </si>
  <si>
    <t>The research was funded by the F.R.S.-FNRS, the Belgian State Federal Office for Scientific, Technical and Cultural Affairs (Prodex arrangement 4000111403 IASI.FLOW), and EUMETSAT through the Satellite Application Facility on Atmospheric Composition Monitoring (ACSAF). Gaetane Ronsmans is grateful to the Fonds pour la Formation a la Recherche dans l'Industrie et dans l'Agriculture of Belgium for a PhD grant (Boursier FRIA). Lieven Clarisse is a research associate supported by the F.R.S.-FNRS. Cathy Clerbaux is grateful to the Centre National d'Etudes Spatiales (CNES) for financial support. Susan Solomon is supported by the National Science Foundation (grant no. NSF1539972).</t>
  </si>
  <si>
    <t>10.5194/acp-22-10993-2022</t>
  </si>
  <si>
    <t>4D8JO</t>
  </si>
  <si>
    <t>WOS:000847385900001</t>
  </si>
  <si>
    <t>Shukhtina, MA; Sergeev, VA; Rogov, DD</t>
  </si>
  <si>
    <t>Shukhtina, M. A.; Sergeev, V. A.; Rogov, D. D.</t>
  </si>
  <si>
    <t>Dipolarization-induced energetic electron precipitation during continuously active periods and isolated substorms</t>
  </si>
  <si>
    <t>FRONTIERS IN PHYSICS</t>
  </si>
  <si>
    <t>energetic electron precipitation; substorms; dipolarizations; injections; linear prediction filters</t>
  </si>
  <si>
    <t>AURORAL ABSORPTION; ACCELERATION; IONOSPHERE</t>
  </si>
  <si>
    <t>Recently we proposed a spatio-temporal model of auroral absorption for isolated substorms based on linear prediction filter technique, which describes the precipitation effects as a sum of properly weighted and time-delayed contributions of short dipolarizations/injections inferred from magnetic MPB index. Here we apply a similar approach to a more general and practically important type of continuous activity including substorms clusters, which is accompanied by intense energetic electron precipitation lasting for many hours and may affect ozone concentration and climate. Unexpectedly, in spite of very different geophysical background, the derived precipitation response to unit-scale injection appeared almost identical to that obtained for isolated substorms. Significant part of absorption variance during active non-storm periods turns out to be the result of superposition of previous injections with short memory less than 4 h. Our results indicate that, while the injection efficiency is roughly the same, large difference in precipitated fluxes and ionospheric response between two different types of activity is mostly provided by a more frequent appearance and increased intensities of dipolarizations/injections during active periods. In both event types dipolarizations are the decisive factor which determines energetic electron precipitation.</t>
  </si>
  <si>
    <t>[Shukhtina, M. A.; Sergeev, V. A.] St Petersburg State Univ, Dept Earths Phys, St Petersburg, Russia; [Rogov, D. D.] Arctic &amp; Antarctic Res Inst, Dept Geophys, St Petersburg, Russia</t>
  </si>
  <si>
    <t>Saint Petersburg State University; Arctic &amp; Antarctic Research Institute</t>
  </si>
  <si>
    <t>Shukhtina, MA (corresponding author), St Petersburg State Univ, Dept Earths Phys, St Petersburg, Russia.</t>
  </si>
  <si>
    <t>maria.shukht@gmail.com</t>
  </si>
  <si>
    <t>Shukhtina, Maria A/K-3783-2013</t>
  </si>
  <si>
    <t>Shukhtina, Maria A/0000-0001-7892-8392</t>
  </si>
  <si>
    <t>Russian Science Foundation [N 22-27-00169]</t>
  </si>
  <si>
    <t>This research was supported by Russian Science Foundation grant N 22-27-00169.</t>
  </si>
  <si>
    <t>2296-424X</t>
  </si>
  <si>
    <t>FRONT PHYS-LAUSANNE</t>
  </si>
  <si>
    <t>Front. Physics</t>
  </si>
  <si>
    <t>AUG 29</t>
  </si>
  <si>
    <t>10.3389/fphy.2022.977286</t>
  </si>
  <si>
    <t>Physics, Multidisciplinary</t>
  </si>
  <si>
    <t>Physics</t>
  </si>
  <si>
    <t>4N5FR</t>
  </si>
  <si>
    <t>WOS:000854045400001</t>
  </si>
  <si>
    <t>Lowther, A; von Quillfeldt, C; Assmy, P; De Steur, L; Descamps, S; Divine, D; Elvevold, S; Forwick, M; Fransson, A; Fraser, A; Gerland, S; Granskog, M; Hallanger, I; Hattermann, T; Itkin, M; Hop, H; Husum, K; Kovacs, K; Lydersen, C; Matsuoka, K; Miettinen, A; Moholdt, G; Moreau, S; Myhre, PI; Orme, L; Pavlova, O; Tandberg, AH</t>
  </si>
  <si>
    <t>Lowther, Andrew; von Quillfeldt, Cecilie; Assmy, Philipp; De Steur, Laura; Descamps, Sebastien; Divine, Dmitry; Elvevold, Synnove; Forwick, Matthias; Fransson, Agneta; Fraser, Alexander; Gerland, Sebastian; Granskog, Mats; Hallanger, Ingeborg; Hattermann, Tore; Itkin, Mikhail; Hop, Haakon; Husum, Katrine; Kovacs, Kit; Lydersen, Christian; Matsuoka, Kenichi; Miettinen, Arto; Moholdt, Geir; Moreau, Sebastien; Myhre, Per Inge; Orme, Lisa; Pavlova, Olga; Tandberg, Ann Helene</t>
  </si>
  <si>
    <t>A review of the scientific knowledge of the seascape off Dronning Maud Land, Antarctica</t>
  </si>
  <si>
    <t>Antarctica; Biophysics; Knowledge; Dronning Maud Land; Marine; Spatial management</t>
  </si>
  <si>
    <t>EASTERN WEDDELL SEA; LUTZOW-HOLM BAY; SURFACE MASS-BALANCE; FIMBUL ICE SHELF; KRILL EUPHAUSIA-SUPERBA; PERSISTENT ORGANIC POLLUTANTS; WHALES BALAENOPTERA-MUSCULUS; SOUTHERN ELEPHANT SEALS; CIRCUMPOLAR DEEP-WATER; CRAB-EATER SEALS</t>
  </si>
  <si>
    <t>Despite the exclusion of the Southern Ocean from assessments of progress towards achieving the Convention on Biological Diversity (CBD) Strategic Plan, the Commission for the Conservation of Antarctic Marine Living Resources (CCAMLR) has taken on the mantle of progressing efforts to achieve it. Within the CBD, Aichi Target 11 represents an agreed commitment to protect 10% of the global coastal and marine environment. Adopting an ethos of presenting the best available scientific evidence to support policy makers, CCAMLR has progressed this by designating two Marine Protected Areas in the Southern Ocean, with three others under consideration. The region of Antarctica known as Dronning Maud Land (DML; 20 degrees W to 40 degrees E) and the Atlantic sector of the Southern Ocean that abuts it conveniently spans one region under consideration for spatial protection. To facilitate both an open and transparent process to provide the vest available scientific evidence for policy makers to formulate management options, we review the body of physical, geochemical and biological knowledge of the marine environment of this region. The level of scientific knowledge throughout the seascape abutting DML is polarized, with a clear lack of data in its eastern part which is presumably related to differing levels of research effort dedicated by national Antarctic programmes in the region. The lack of basic data on fundamental aspects of the physical, geological and biological nature of eastern DML make predictions of future trends difficult to impossible, with implications for the provision of management advice including spatial management. Finally, by highlighting key knowledge gaps across the scientific disciplines our review also serves to provide guidance to future research across this important region.</t>
  </si>
  <si>
    <t>[Lowther, Andrew; von Quillfeldt, Cecilie; Assmy, Philipp; De Steur, Laura; Descamps, Sebastien; Divine, Dmitry; Forwick, Matthias; Fraser, Alexander; Gerland, Sebastian; Granskog, Mats; Hallanger, Ingeborg; Hattermann, Tore; Itkin, Mikhail; Hop, Haakon; Husum, Katrine; Kovacs, Kit; Lydersen, Christian; Matsuoka, Kenichi; Moholdt, Geir; Moreau, Sebastien; Myhre, Per Inge; Pavlova, Olga] Norwegian Polar Res Inst, Tromso, Norway; [Elvevold, Synnove] Arctic Univ, Tromso, Norway; [Fransson, Agneta] Univ Tasmania, Inst Marine &amp; Antarctic Studies, Antarctic Gateway Partnership, Hobart, Tas, Australia; [Miettinen, Arto] Univ Helsinki, Helsinki, Finland; [Orme, Lisa] Maynooth Univ, Maynooth, Kildare, Ireland; [Tandberg, Ann Helene] Univ Museum Bergen, Bergen, Norway</t>
  </si>
  <si>
    <t>Norwegian Polar Institute; UiT The Arctic University of Tromso; University of Tasmania; University of Helsinki; Maynooth University; University of Bergen</t>
  </si>
  <si>
    <t>Lowther, A (corresponding author), Norwegian Polar Res Inst, Tromso, Norway.</t>
  </si>
  <si>
    <t>Andrew.Lowther@npolar.no; cecilie.von.quillfeldt@npolar.no; philipp.assmy@npolar.no; laura.de.steur@npolar.no; sebastien.descamps@npolar.no; divine@npolar.no; elvevold@npolar.no; mattias.forwick@uit.no; agneta.fransson@npolar.no; alexander.fraser@utas.edu.au; sebastian.gerland@npolar.no; mats.granskog@npolar.no; ingeborg.hallanger@npolar.no; tore.hattermann@npolar.no; mikhail.itkin@npolar.no; Haakon.Hop@npolar.no; katrine.husum@npolar.no; kit.kovacs@npolar.no; Lydersen@npolar.no; kenichi.matsuoka@npolar.no; arto.miettinen@academies.fi; geir.moholdt@npolar.no; sebastien.moreau@npolar.no; myhre@npolar.no; lisa.orme@mu.ie; olga.paylova@npolar.no; anne.helene.tandberg@uib.no</t>
  </si>
  <si>
    <t>Fraser, Alexander/AFO-7186-2022; Husum, Katrine/HGD-4711-2022; Matsuoka, Kenichi/B-7298-2017; Tandberg, Anne/AFP-4976-2022; Miettinen, Arto/E-2458-2013</t>
  </si>
  <si>
    <t>Fraser, Alexander/0000-0003-1924-0015; Husum, Katrine/0000-0003-1380-5900; Tandberg, Anne/0000-0003-3470-587X; Moreau, Sebastien/0000-0001-9446-812X; Lowther, Andrew/0000-0003-4294-3157; Miettinen, Arto/0000-0003-4537-2556; von Quillfeldt, Cecilie/0000-0003-4160-8517</t>
  </si>
  <si>
    <t>Norwegian Polar Institute</t>
  </si>
  <si>
    <t>Open Access funding provided by Norwegian Polar Institute. No funding was used in the preparation of this review.</t>
  </si>
  <si>
    <t>10.1007/s00300-022-03059-8</t>
  </si>
  <si>
    <t>WOS:000847284600001</t>
  </si>
  <si>
    <t>Treiman, AH; LaManna, JM; Hussey, DS; DeClue, I; Anovitz, LM</t>
  </si>
  <si>
    <t>Treiman, Allan H.; LaManna, Jacob M.; Hussey, Daniel S.; DeClue, Isabella; Anovitz, Lawrence M.</t>
  </si>
  <si>
    <t>Coordinated neutron and X-ray computed tomography of meteorites: Detection and distribution of hydrogen-bearing materials</t>
  </si>
  <si>
    <t>METEORITICS &amp; PLANETARY SCIENCE</t>
  </si>
  <si>
    <t>CARBONACEOUS CHONDRITE CLASTS; AQUEOUS ALTERATION; MARTIAN METEORITE; SPATIAL-RESOLUTION; POLYMICT UREILITE; TUNGSTEN ISOTOPES; KAIDUN METEORITE; CR; ORIGIN; METAL</t>
  </si>
  <si>
    <t>The presence and distribution of hydrogen-bearing materials in meteorites are important constraints on processes in the early solar system, and the delivery of volatile constituents to growing planets. Here, we show that coordinated neutron and X-ray computed tomography, NXCT, can reveal the presence and distributions of hydrogen-bearing materials in meteorites, and thus help constrain the presence and actions of water in the early solar system. NXCT is nearly nondestructive of meteorite samples. Neutron fluence in NXCT is approximately seven orders of magnitude less than in typical instrumental neutron activation analysis, and so produces little residual radioactivity and currently undetectable changes in isotope ratios. Heating during NXCT is minimal, but NXCT will overprint the record of cosmic ray exposure held in natural thermoluminescence. Two meteorites were examined. EET 87503 is a howardite, a regolith breccia inferred to be from the asteroid 4 Vesta, and contains fragments of eucrite basalt, diogenite pyroxenite, and H-rich carbonaceous chondrites. With NXCT, the chondrite fragments within the meteorite piece can be clearly located and characterized, in preparation for possible extraction and detailed analyses. Graves Nunataks (GRA) 06100 is a CR2 chondrite meteorite that contains abundant iron metal and H-bearing silicates from aqueous alteration. In NXCT, H-bearing altered material is clearly distinguished from metal, and its distribution in three dimensions is revealed as a constraint on the processes of alteration.</t>
  </si>
  <si>
    <t>[Treiman, Allan H.] Univ Space Res Assoc, Lunar &amp; Planetary Inst, 3600 Bay Area Blvd, Houston, TX 77058 USA; [LaManna, Jacob M.; Hussey, Daniel S.] NIST, Phys Measurement Lab, Gaithersburg, MD 20899 USA; [DeClue, Isabella] Univ Chicago, Chicago, IL 60637 USA; [Anovitz, Lawrence M.] Oak Ridge Natl Lab, Chem Sci Div, Oak Ridge, TN 37830 USA</t>
  </si>
  <si>
    <t>Universities Space Research Association (USRA); National Institute of Standards &amp; Technology (NIST) - USA; University of Chicago; United States Department of Energy (DOE); Oak Ridge National Laboratory</t>
  </si>
  <si>
    <t>Treiman, AH (corresponding author), Univ Space Res Assoc, Lunar &amp; Planetary Inst, 3600 Bay Area Blvd, Houston, TX 77058 USA.</t>
  </si>
  <si>
    <t>treiman@lpi.usra.edu</t>
  </si>
  <si>
    <t>LaManna, Jacob/R-9804-2019; Anovitz, Lawrence/P-3144-2016</t>
  </si>
  <si>
    <t>LaManna, Jacob/0000-0002-7105-022X; Treiman, Allan/0000-0002-8073-2839; Anovitz, Lawrence/0000-0002-2609-8750</t>
  </si>
  <si>
    <t>US Department of Commerce; NIST Physical Measurement Laboratory; Radiation Physics Division; U.S. Department of Energy, Office of Science, Office of Basic Energy Sciences, Chemical Sciences, Geosciences, and Biosciences Division</t>
  </si>
  <si>
    <t>US Department of Commerce; NIST Physical Measurement Laboratory; Radiation Physics Division; U.S. Department of Energy, Office of Science, Office of Basic Energy Sciences, Chemical Sciences, Geosciences, and Biosciences Division(United States Department of Energy (DOE))</t>
  </si>
  <si>
    <t>We are grateful to the Meteorite Working Group (MWG) and the Antarctic Meteorite Curation Facility (ARES/JSC) for the loan of Antarctic (ANSMET) meteorite samples. Funding for the neutron and X-ray tomography was provided through the US Department of Commerce, NIST Physical Measurement Laboratory, and the Radiation Physics Division. Work by LMA was supported by the U.S. Department of Energy, Office of Science, Office of Basic Energy Sciences, Chemical Sciences, Geosciences, and Biosciences Division. License to use the Dragonfly (c) image processing program was courtesy of its developer, Object Research Systems (); the authors greatly appreciate ORS' video training materials. Secret handshake to Jose Avila of USRA IT, who provided access to a computer capable of running the tomographic reconstructions. I. DeClue's participation was via an NIST research internship (mentored by J. LaManna) while she was a student at Montgomery Blair High School, Silver Spring, Maryland. The Lunar and Planetary Institute (LPI) is operated by USRA, Universities Space Research Association, under a cooperative agreement with the Science Mission Directorate of NASA. We appreciate careful and thoughtful reviews by D. Ebel and I. Zel. This study is Lunar and Planetary Institute Contribution #29xx.</t>
  </si>
  <si>
    <t>1086-9379</t>
  </si>
  <si>
    <t>1945-5100</t>
  </si>
  <si>
    <t>METEORIT PLANET SCI</t>
  </si>
  <si>
    <t>Meteorit. Planet. Sci.</t>
  </si>
  <si>
    <t>10.1111/maps.13904</t>
  </si>
  <si>
    <t>5C4EX</t>
  </si>
  <si>
    <t>WOS:000846877500001</t>
  </si>
  <si>
    <t>Dalaiden, Q; Schurer, AP; Kirchmeier-Young, MC; Goosse, H; Hegerl, GC</t>
  </si>
  <si>
    <t>Dalaiden, Quentin; Schurer, Andrew P.; Kirchmeier-Young, Megan C.; Goosse, Hugues; Hegerl, Gabriele C.</t>
  </si>
  <si>
    <t>West Antarctic Surface Climate Changes Since the Mid-20th Century Driven by Anthropogenic Forcing</t>
  </si>
  <si>
    <t>AMUNDSEN SEA LOW; MASS-BALANCE; PART I; OZONE; TEMPERATURE; ATTRIBUTION; VARIABILITY; SIGNATURES; EMISSIONS; INCREASE</t>
  </si>
  <si>
    <t>Although the West Antarctic surface climate has experienced large changes over the past decades with widespread surface warming, an overall increase in snow accumulation and a deepening of the Amundsen Sea Low, the exact role of human activities in these changes has not yet been fully investigated, which limits confidence in future projections. Here, we perform a detection and attribution analysis using instrumental and proxy-based reconstructions, and two large climate model simulation ensembles to quantify the forced response in these observed changes. We show that surface climate changes since the 1950s were driven by anthropogenic forcing, in particular the greenhouse gas forcing and stratospheric ozone depletion. Therefore, our results indicate that the 21st century changes will depend on both the greenhouse gas emissions and the ozone layer recovery. Plain Language Summary Since the second half of the 20th century, West Antarctica has experienced large climate changes, such as widespread warming, increased snow accumulation, and a deepening of a low-pressure system located off the West Antarctic coasts. The observed climate changes in West Antarctica are influenced by both the internal (related to the chaotic nature of climate) and forced (related to changes in forcings) variability but it is still unclear to what extent human activities are responsible for these changes. We used a statistical method to distinguish between changes caused by humans and by natural influences both for instrumental observations and reconstructions of past climate. Our results show that the observed changes since the 1950s are out of the range of natural variability and can be attributed to human activities-that is, the increase of greenhouse gases and stratospheric ozone depletion. Therefore, our findings indicate that the future state of the West Antarctic surface climate will depend on the greenhouse gas emissions as well as the ozone layer recovery.</t>
  </si>
  <si>
    <t>[Dalaiden, Quentin; Goosse, Hugues] Univ Catolique Louvain UCLouvain, Earth &amp; Life Inst HLI, Louvain La Neuve, Belgium; [Schurer, Andrew P.; Hegerl, Gabriele C.] Univ Edinburgh, Sch Geosci, Edinburgh, Midlothian, Scotland; [Kirchmeier-Young, Megan C.] Environm &amp; Climate Change, Climate Res Div, Toronto, ON, Canada</t>
  </si>
  <si>
    <t>University of Edinburgh; Environment &amp; Climate Change Canada</t>
  </si>
  <si>
    <t>Dalaiden, Q (corresponding author), Univ Catolique Louvain UCLouvain, Earth &amp; Life Inst HLI, Louvain La Neuve, Belgium.</t>
  </si>
  <si>
    <t>quentin.dalaiden@uclouvain.be</t>
  </si>
  <si>
    <t>Schurer, Andrew/0000-0002-9176-3622; Dalaiden, Quentin/0000-0002-3885-3848; Kirchmeier-Young, Megan/0000-0003-3907-8510</t>
  </si>
  <si>
    <t>NERC project GloSAT [NE/S015698/1]; University of Edinburgh; Belgian Research Action through Interdisciplinary Networks (BRAIN-be) from the Belgian Science Policy Office [BR/165/A2/Mass2Ant]</t>
  </si>
  <si>
    <t>NERC project GloSAT; University of Edinburgh; Belgian Research Action through Interdisciplinary Networks (BRAIN-be) from the Belgian Science Policy Office</t>
  </si>
  <si>
    <t>The authors thank William Hobbs and an anonymous reviewer for their constructive comments, which greatly helped to improve our manuscript. QD is a Research Fellow within the F.R.S.-FNRS (Belgium). G.H. and A.S. were funded by the NERC project GloSAT (NE/S015698/1). A.S. further received funding from a Chancellors fellowship at the University of Edinburgh. HG is a Research Director within the F.R.S.-FNRS (Belgium). This work was partly supported by the Belgian Research Action through Interdisciplinary Networks (BRAIN-be) from the Belgian Science Policy Office in the framework of the project East Antarctic surface mass balance in the Anthropocene: observations and multiscale modelling (Mass2Ant) (contract no. BR/165/A2/Mass2Ant).</t>
  </si>
  <si>
    <t>AUG 28</t>
  </si>
  <si>
    <t>e2022GL099543</t>
  </si>
  <si>
    <t>10.1029/2022GL099543</t>
  </si>
  <si>
    <t>4D1SF</t>
  </si>
  <si>
    <t>WOS:000846926700001</t>
  </si>
  <si>
    <t>Du, JL; Ye, Y; Zhang, X; Völker, C; Tian, J</t>
  </si>
  <si>
    <t>Du, Jinlong; Ye, Ying; Zhang, Xu; Voelker, Christoph; Tian, Jun</t>
  </si>
  <si>
    <t>Southern Control of Interhemispheric Synergy on Glacial Marine Carbon Sequestration</t>
  </si>
  <si>
    <t>glacial; CO2; Southern Ocean; North Atlantic; carbon cycle; modeling</t>
  </si>
  <si>
    <t>ANTARCTIC SEA-ICE; OVERTURNING CIRCULATION; IRON FERTILIZATION; OCEAN CIRCULATION; DEEP-WATER; CO2 CHANGE; CLIMATE; MODEL; PRODUCTIVITY; PACIFIC</t>
  </si>
  <si>
    <t>Among mechanisms accounting for atmospheric pCO(2) drawdown during glacial periods, processes operating in the North Atlantic (NA) and Southern Ocean (SO) have been proposed to be critical. Their individual and synergic effects during a course of glaciation, however, remain enigmatic. We conducted simulations to examine these effects at idealized glacial stages. Under early-glacial-like conditions, cooling in the SO can trigger an initial pCO(2) drawdown while the associated sea ice expansion has little impact on air-sea gas exchange. Under later glacial-like conditions, further cooling in the NA enhances ocean carbon uptake due to a stronger solubility pump, and the SO-induced stronger deep stratification prevents carbon exchange between the deep and upper ocean. Meanwhile, strengthened dust deposition increases the SO contribution to the global biological pump, and CO2 outgassing is suppressed by fully extended sea ice cover. More carbon is then stored in the deep Pacific, acting as a passive reservoir.</t>
  </si>
  <si>
    <t>[Du, Jinlong; Tian, Jun] Tongji Univ, State Key Lab Marine Geol, Shanghai, Peoples R China; [Ye, Ying; Voelker, Christoph] Alfred Wegener Inst, Helmholtz Ctr Polar &amp; Marine Res, Bremerhaven, Germany; [Zhang, Xu] Chinese Acad Sci, Grp Alpine Paleoecol &amp; Human Adaptat ALPHA, Inst Tibetan Plateau Res, State Key Lab Tibetan Plateau Earth Syst Resource, Beijing, Peoples R China</t>
  </si>
  <si>
    <t>Tongji University; Helmholtz Association; Alfred Wegener Institute, Helmholtz Centre for Polar &amp; Marine Research; Chinese Academy of Sciences; Institute of Tibetan Plateau Research, CAS</t>
  </si>
  <si>
    <t>Tian, J (corresponding author), Tongji Univ, State Key Lab Marine Geol, Shanghai, Peoples R China.;Zhang, X (corresponding author), Chinese Acad Sci, Grp Alpine Paleoecol &amp; Human Adaptat ALPHA, Inst Tibetan Plateau Res, State Key Lab Tibetan Plateau Earth Syst Resource, Beijing, Peoples R China.</t>
  </si>
  <si>
    <t>xu.zhang@itpcas.ac.cn; tianjun@tongji.edu.cn</t>
  </si>
  <si>
    <t>Voelker, Christoph/I-7891-2012</t>
  </si>
  <si>
    <t>Voelker, Christoph/0000-0003-3032-114X; Du, Jinlong/0000-0003-2671-3765; Ye, Ying/0000-0002-0929-6392; Zhang, Xu/0000-0003-1833-9689</t>
  </si>
  <si>
    <t>NSFC [42030403, 42188102, 41525020, 42075047]; State Key Laboratory of Marine Geology, Tongji University [MG202104]; 4th National High-level personnel of special support program of China; German BMBF project PalMod [01LP1919A]; China Scholarship Council</t>
  </si>
  <si>
    <t>NSFC(National Natural Science Foundation of China (NSFC)); State Key Laboratory of Marine Geology, Tongji University; 4th National High-level personnel of special support program of China; German BMBF project PalMod(Federal Ministry of Education &amp; Research (BMBF)); China Scholarship Council(China Scholarship Council)</t>
  </si>
  <si>
    <t>J. Du and J. Tian are funded by the NSFC (Grant Nos. 42030403, 42188102, and 41525020) and the State Key Laboratory of Marine Geology, Tongji University (MG202104). J. Tian receives support from the 4th National High-level personnel of special support program of China. X. Zhang is funded by the NSFC (Grant No. 42075047). Y. Ye and C. Volker are funded by the German BMBF project PalMod (Grant No. 01LP1919A). Dr. Jimin Yu is thanked for his constructive discussion about the manuscript. Ms. Sanshan Wei is thanked for her help and guidance about the color schemes of figures. The computational resources were provided by the AWI supercomputer Ollie. J. Du thanks the China Scholarship Council for providing financial support during his stay in Germany. The authors would like to thank the editor and five anonymous reviewers for the constructive comments on the manuscript.</t>
  </si>
  <si>
    <t>e2022GL099048</t>
  </si>
  <si>
    <t>10.1029/2022GL099048</t>
  </si>
  <si>
    <t>4D1SA</t>
  </si>
  <si>
    <t>WOS:000846926200001</t>
  </si>
  <si>
    <t>Shields, CA; Wille, JD; Collow, ABM; Maclennan, M; Gorodetskaya, IV</t>
  </si>
  <si>
    <t>Shields, Christine A.; Wille, Jonathan D.; Collow, Allison B. Marquardt; Maclennan, Michelle; Gorodetskaya, Irina, V</t>
  </si>
  <si>
    <t>Evaluating Uncertainty and Modes of Variability for Antarctic Atmospheric Rivers</t>
  </si>
  <si>
    <t>atmospheric river; modes of variability; Antarctica; AR detection tools; climate dynamics; uncertainty</t>
  </si>
  <si>
    <t>DRONNING MAUD LAND; SURFACE MELT; TRACKING; ACCUMULATION; REANALYSES; SIGNATURES; PATTERNS; PACIFIC</t>
  </si>
  <si>
    <t>Antarctic atmospheric rivers (ARs) are driven by their synoptic environments and lead to profound and varying impacts along the coastlines and over the continent. The definition and detection of ARs over Antarctica accounts for large uncertainty in AR metrics, and consequently, impacts quantification. We find that Antarctic-specific detection tools consistently capture the AR footprint inland over ice sheets, whereas most global detection tools do not. Large-scale synoptic environments and associated ARs, however, are broadly consistent across detection tools. Using data from the Atmospheric River Tracking Method Intercomparison Project and global reanalyses, we quantify the uncertainty in Antarctic AR metrics and evaluate large-scale environments in the context of decadal and interannual modes of variability. The Antarctic western hemisphere has stronger connections to both decadal and interannual modes of variability compared to East Antarctica, and the Indian Ocean Dipole's influence on Antarctic ARs is stronger while in phase with El Nino Southern Oscillation.</t>
  </si>
  <si>
    <t>[Shields, Christine A.] Natl Ctr Atmospher Res, Climate &amp; Global Dynam Lab, POB 3000, Boulder, CO 80307 USA; [Wille, Jonathan D.] Inst Geosci Environm, CNRS, UGA, IRD,G INP, St Martin Dheres, France; [Collow, Allison B. Marquardt] Univ Maryland Baltimore Cty, Baltimore, MD 21228 USA; [Collow, Allison B. Marquardt] NASA, Goddard Space Flight Ctr, Global Modeling &amp; Assimilat Off, Greenbelt, MD USA; [Maclennan, Michelle] Univ Colorado, Dept Atmospher &amp; Ocean Sci, Boulder, CO USA; [Gorodetskaya, Irina, V] Univ Aveiro, Dept Phys, CESAM Ctr Environm &amp; Marine Studies, Aveiro, Portugal</t>
  </si>
  <si>
    <t>National Center Atmospheric Research (NCAR) - USA; Communaute Universite Grenoble Alpes; Universite Grenoble Alpes (UGA); Institut de Recherche pour le Developpement (IRD); Centre National de la Recherche Scientifique (CNRS); University System of Maryland; University of Maryland Baltimore County; National Aeronautics &amp; Space Administration (NASA); NASA Goddard Space Flight Center; University of Colorado System; University of Colorado Boulder; Universidade de Aveiro</t>
  </si>
  <si>
    <t>Shields, CA (corresponding author), Natl Ctr Atmospher Res, Climate &amp; Global Dynam Lab, POB 3000, Boulder, CO 80307 USA.</t>
  </si>
  <si>
    <t>shields@ucar.edu</t>
  </si>
  <si>
    <t>Wille, Jonathan/KFQ-5871-2024; Gorodetskaya, Irina/K-1987-2015</t>
  </si>
  <si>
    <t>Gorodetskaya, Irina/0000-0002-2294-7823; Shields, Christine A./0000-0003-4481-1377; Wille, Jonathan/0000-0002-3918-5204; Collow, Allison/0000-0002-3566-3889; Maclennan, Michelle L./0000-0002-7591-2704</t>
  </si>
  <si>
    <t>U.S. Department of Energy, Office of Science, Office of Biological &amp; Environmental Research (BER), Regional and Global Model Analysis (RGMA) component of the Earth and Environmental System Modeling Program [DE-SC0022070]; National Science Foundation (NSF) [IA 1947282]; National Center for Atmospheric Research (NCAR) - NSF [1852977]; Agence Nationale de la Recherche project [ANR-20-CE01-0013]; NASA FINESST [80NSSC21K1610]; Agence Nationale de la Recherche (ANR) [ANR-20-CE01-0013] Funding Source: Agence Nationale de la Recherche (ANR)</t>
  </si>
  <si>
    <t>U.S. Department of Energy, Office of Science, Office of Biological &amp; Environmental Research (BER), Regional and Global Model Analysis (RGMA) component of the Earth and Environmental System Modeling Program(United States Department of Energy (DOE)); National Science Foundation (NSF)(National Science Foundation (NSF)); National Center for Atmospheric Research (NCAR) - NSF; Agence Nationale de la Recherche project(Agence Nationale de la Recherche (ANR)); NASA FINESST; Agence Nationale de la Recherche (ANR)(Agence Nationale de la Recherche (ANR))</t>
  </si>
  <si>
    <t>This work is supported by the U.S. Department of Energy, Office of Science, Office of Biological &amp; Environmental Research (BER), Regional and Global Model Analysis (RGMA) component of the Earth and Environmental System Modeling Program under Award Number DE-SC0022070 and National Science Foundation (NSF) IA 1947282 and by the National Center for Atmospheric Research (NCAR), sponsored by the NSF Cooperative Agreement No. 1852977. ARTMIP is a grass-roots community effort. Details on ARDTs can be found on the ARTMIP website, , but we specifically thank B. Guan, J. Lora, M. Krinisky, K. Kashinath, E.McClenny, K. Nardi, M. Pan, K. Reid, J. Rutz, T. O'Brien, E.Shearer, P. Ullrich, G. Xu) for their catalogs. ARTMIP DOE (BER) RGMA and the Center for Western Weather and Water Extremes (CW3E) at Scripps Institute for Oceanography at the University of California, San Diego. J. D. W. acknowledges support from the Agence Nationale de la Recherche project, ANR-20-CE01-0013 (ARCA). M. L. Maclennan acknowledges support from NASA FINESST Grant 80NSSC21K1610.</t>
  </si>
  <si>
    <t>e2022GL099577</t>
  </si>
  <si>
    <t>10.1029/2022GL099577</t>
  </si>
  <si>
    <t>4D1SB</t>
  </si>
  <si>
    <t>WOS:000846926300001</t>
  </si>
  <si>
    <t>Alvarez, F; Orgeira, JL</t>
  </si>
  <si>
    <t>Alvarez, F.; Orgeira, J. L.</t>
  </si>
  <si>
    <t>Krill finder: spatial distribution of sympatric fin (Balaenoptera physalus) and humpback (Megaptera novaeangliae) whales in the Southern Ocean</t>
  </si>
  <si>
    <t>SDM; Bio-ORACLE; KRILLBASE; Balaenoptera physalus; Megaptera novaeangliae; Euphausia superba</t>
  </si>
  <si>
    <t>SPECIES DISTRIBUTION MODELS; PREDICTION; ECOSYSTEM</t>
  </si>
  <si>
    <t>Fin (Balaenoptera physalus, Linnaeus 1758) and humpback (Megaptera novaeangliae, Borowski 1781) whales feed during the austral summer in Antarctic waters. Despite the spatial (two-dimensional) sympatry of both species, they exhibit trophic segregation (three-dimensional). We used multitemporal presence-only data of fin and humpback whales and Antarctic hill (Euphausia superba, Dana 1852) combined with environmental variables to produce species distribution models (SDMs). We aimed to (1) determine the environmental suitability in the Southern Ocean for fin and humpback whales and hill, with field validation in a region of interest, (2) calculate the areas of spatial overlap between the two whale species and between the whales and hill and (3) quantify the presence of the target species within the protected areas from the world database on protected areas (WDPA). All the SDMs had high performances, with AUC and TSS values higher than 0.8. On a circum-Antarctic scale, fin whales had northern distributions, whilst humpbacks had southern distributions. There was a spatial overlap of 47% between whales and 16% between them and hill. Nearly 92% of fin whale sightings overlapped spatially with their binary predictions, this value was 91% for humpback whales. For fin whales, 2% of their environmental suitability was projected in some WDPA areas, and this value was 4% for humpback whales and 15% for hill. Despite international efforts, the environmental niches of target species are partially protected by the WDPA, mainly where the spatial overlap between species was greatest. The anthropic and climatic pressures that Antarctica is experiencing challenge us to propose new responsible scientific responses to environmental dynamics and biodiversity. [GRAPHICS] .</t>
  </si>
  <si>
    <t>[Alvarez, F.] Univ Estado Mato Grosso, Programa Posgrad Ecol &amp; Conservacao, Campus Nova Xavantina, Nova Xavantina, Mato Grosso, Brazil; [Orgeira, J. L.] Inst Antartico Argentino, Dept Biol Predadores Tope, Buenos Aires, DF, Argentina; [Alvarez, F.] Mar Rojo 1051, RA-4400 San Remo, Salta, Argentina</t>
  </si>
  <si>
    <t>Universidade do Estado de Mato Grosso; Instituto Antartico Argentino</t>
  </si>
  <si>
    <t>Alvarez, F (corresponding author), Univ Estado Mato Grosso, Programa Posgrad Ecol &amp; Conservacao, Campus Nova Xavantina, Nova Xavantina, Mato Grosso, Brazil.;Alvarez, F (corresponding author), Mar Rojo 1051, RA-4400 San Remo, Salta, Argentina.</t>
  </si>
  <si>
    <t>facualva87@gmail.com</t>
  </si>
  <si>
    <t>Alvarez, Facundo/0000-0002-7095-9570; Orgeira, Jose Luis/0000-0003-4564-4902</t>
  </si>
  <si>
    <t>Instituto Antartico Argentino; Coordenacao de Aperfeicoamento de Pessoal de Nivel Superior-Brazil (CAPES) [001]</t>
  </si>
  <si>
    <t>Instituto Antartico Argentino; Coordenacao de Aperfeicoamento de Pessoal de Nivel Superior-Brazil (CAPES)(Coordenacao de Aperfeicoamento de Pessoal de Nivel Superior (CAPES))</t>
  </si>
  <si>
    <t>This work was carried out with logistic and financial support from the Instituto Antartico Argentino. The first author would like to thank the Coordenacao de Aperfeicoamento de Pessoal de Nivel Superior-Brazil (CAPES)-Finance Code 001.</t>
  </si>
  <si>
    <t>10.1007/s00300-022-03080-x</t>
  </si>
  <si>
    <t>WOS:000846824100001</t>
  </si>
  <si>
    <t>Neme, J; England, MH; Hogg, AM</t>
  </si>
  <si>
    <t>Neme, Julia; England, Matthew H.; Hogg, Andrew McC</t>
  </si>
  <si>
    <t>Projected Changes of Surface Winds Over the Antarctic Continental Margin</t>
  </si>
  <si>
    <t>easterlies; CMIP6; Southern Ocean; projected changes; Antarctic margins; Southern Annular Mode</t>
  </si>
  <si>
    <t>SOUTHERN ANNULAR MODE; SEA-ICE; KATABATIC WINDS; VARIABILITY; OCEAN; TRENDS; ATMOSPHERE; OSCILLATION; SIMULATION; REANALYSES</t>
  </si>
  <si>
    <t>Surface winds around the Antarctic continent control coupled ocean-ice processes that influence the climate system, including bottom water production, heat transport onto the continental shelf and sea ice coverage. However, few studies have examined projected changes in these winds, even though it would aid in the interpretation and understanding of the ocean's response to climate change. Using Coupled Model Intercomparison Project Phase 6 and reanalysis data, we show a significant reduction in the near-Antarctic surface winds throughout the historical period that continues until the end of the twenty-first century, amounting to 23% and 7% for the easterly and southerly wind components respectively under the high emission scenario. The most intense weakening happens during the summer season. We find that the weakening is coherent with the trend toward a positive Southern Annular Mode and a reduction of the pole-to-coast meridional pressure gradient, which we term Antarctic Annular Index.</t>
  </si>
  <si>
    <t>[Neme, Julia; England, Matthew H.] Univ New South Wales, Australian Ctr Excellence Antarctic Sci, Sydney, NSW, Australia; [Neme, Julia] Univ New South Wales, Climate Change Res Ctr, Sydney, NSW, Australia; [Neme, Julia] Univ New South Wales, ARC Ctr Excellence Climate Extremes, Sydney, NSW, Australia; [Hogg, Andrew McC] Australian Natl Univ, Res Sch Earth Sci, Canberra, ACT, Australia; [Hogg, Andrew McC] Australian Natl Univ, ARC Ctr Excellence Climate Extremes, Canberra, ACT, Australia</t>
  </si>
  <si>
    <t>University of New South Wales Sydney; University of New South Wales Sydney; University of New South Wales Sydney; Australian National University; Australian National University</t>
  </si>
  <si>
    <t>Neme, J (corresponding author), Univ New South Wales, Australian Ctr Excellence Antarctic Sci, Sydney, NSW, Australia.;Neme, J (corresponding author), Univ New South Wales, Climate Change Res Ctr, Sydney, NSW, Australia.;Neme, J (corresponding author), Univ New South Wales, ARC Ctr Excellence Climate Extremes, Sydney, NSW, Australia.</t>
  </si>
  <si>
    <t>j.neme@unsw.edu.au</t>
  </si>
  <si>
    <t>Hogg, Andy McC./A-7553-2011; England, Matthew/A-7539-2011</t>
  </si>
  <si>
    <t>Hogg, Andy McC./0000-0001-5898-7635; England, Matthew/0000-0001-9696-2930; Neme, Julia/0000-0002-3573-996X</t>
  </si>
  <si>
    <t>Australian Research Council; ARC Centre of Excellence for Climate Extremes (ARC Project) [CE170100023]; ARC Australian Centre for Excellence in Antarctic Science (ARC) [SR200100008]; Climate Change Research Centre of the University of New South Wales; Australian Government</t>
  </si>
  <si>
    <t>Australian Research Council(Australian Research Council); ARC Centre of Excellence for Climate Extremes (ARC Project)(Australian Research Council); ARC Australian Centre for Excellence in Antarctic Science (ARC)(Australian Research Council); Climate Change Research Centre of the University of New South Wales; Australian Government(Australian Government)</t>
  </si>
  <si>
    <t>This work was supported by the Australian Research Council, including the ARC Centre of Excellence for Climate Extremes (ARC Project Number CE170100023), ARC Australian Centre for Excellence in Antarctic Science (ARC Project Number SR200100008) and the Climate Change Research Centre of the University of New South Wales. All the analysis in this study was conducted at the NCI National Facility systems at the Australian National University, which is supported by the Australian Government. The authors thank Josue M. Moreno and Navid C. Constatinou for developing and making available their python package for computing linear trends.</t>
  </si>
  <si>
    <t>e2022GL098820</t>
  </si>
  <si>
    <t>10.1029/2022GL098820</t>
  </si>
  <si>
    <t>3Z5OM</t>
  </si>
  <si>
    <t>WOS:000844467000001</t>
  </si>
  <si>
    <t>Zheng, JR; Gao, YH; Ding, J; Sun, N; Lin, SY</t>
  </si>
  <si>
    <t>Zheng, Jingru; Gao, Yuanhong; Ding, Jie; Sun, Na; Lin, Songyi</t>
  </si>
  <si>
    <t>Antarctic krill peptides improve scopolamine-induced memory impairment in mice</t>
  </si>
  <si>
    <t>FOOD BIOSCIENCE</t>
  </si>
  <si>
    <t>Antarctic krill; Bioactive peptide; Hippocampus; Memory impairment; Scopolamine mouse model; Protein expression level</t>
  </si>
  <si>
    <t>INDUCED COGNITIVE IMPAIRMENT; ALZHEIMERS-DISEASE; OXIDATIVE STRESS; HIPPOCAMPUS; EXPRESSION; APOPTOSIS; CELLS; HYDROLYSATE; INHIBITION; RECEPTORS</t>
  </si>
  <si>
    <t>The study aims to investigate the repair effects of Ser-Ser-Asp-Ala-Phe-Phe-Pro-Phe-Arg (SSDAFFPFR) and Ser-Asn-Val-Phe-Asp-Met-Phe (SNVFDMF) peptides on scopolamine-caused memory impairment in mice. Behavioral experiments have revealed that Antarctic krill peptides can ameliorate scopolamine caused memory impairment by changing the behavior of mice. In comparison with the scopolamine group, the two peptides at a dose of 40 mg/kg could improve memory impairment. The serum SOD activity (82.82 +/- 0.19 vs 79.47 +/- 2.42 U/ mg prot) and hippocampal ACh level (101.46 +/- 3.23 vs 99.85 +/- 7.13 mu g/mg prot) of SSDAFFPFR were higher than those of SNVFDMF. Hippocampal AChE activity (0.20 +/- 0.03 vs 0.53 +/- 0.02 U/mg prot), hippocampal MDA level (1.56 &amp; PLUSMN; 0.01 vs 1.63 &amp; PLUSMN; 0.05 nmol/mg prot) and the serum MDA level (3.38 +/- 0.24 vs 3.88 +/- 0.21 nmol/mg prot) was lower than that of SNVFDMF. The state of mouse hippocampal cells was further observed by a microscopic imaging system. In addition, western blot analysis showed that SSDAFFPFR could significantly inhibit the expression of Bax, caspase-3, and p53, and promote the expression of BCL-XL, CREB, and BDNF, thus protecting hippocampal neurons in mice. In conclusion, the Antarctic krill peptide can repair scopolamine-induced memory impairment in mice.</t>
  </si>
  <si>
    <t>[Zheng, Jingru; Gao, Yuanhong; Ding, Jie; Sun, Na; Lin, Songyi] Dalian Polytech Univ, Natl Engn Res Ctr Seafood, Sch Food Sci &amp; Technol, Dalian 116034, Peoples R China; [Sun, Na; Lin, Songyi] Dalian Polytech Univ, Collaborat Innovat Ctr Seafood Deep Proc, Dalian 116034, Peoples R China; [Lin, Songyi] Dalian Polytech Univ, Ganjingzi Dist Natl Engn Res Ctr Seafood, Sch Food Sci &amp; Technol, 1 Qinggongyuan, Dalian 116034, Peoples R China</t>
  </si>
  <si>
    <t>Dalian Polytechnic University; Dalian Polytechnic University; Dalian Polytechnic University</t>
  </si>
  <si>
    <t>Lin, SY (corresponding author), Dalian Polytech Univ, Ganjingzi Dist Natl Engn Res Ctr Seafood, Sch Food Sci &amp; Technol, 1 Qinggongyuan, Dalian 116034, Peoples R China.</t>
  </si>
  <si>
    <t>linsongyi730@163.com</t>
  </si>
  <si>
    <t>Lin, Song-Y i/A-1778-2012; GAO, YUAN/HMP-5961-2023; Wang, Guang/JFS-8374-2023; Liu, Yixuan/JFJ-2820-2023; Yang, Ying/ADL-4165-2022; Gao, yuan/HLH-1794-2023; liu, lingling/IUQ-7478-2023; wang, zhiwen/JDV-9990-2023; yang, yun/IZE-1092-2023; Zhao, Yi/JFA-7988-2023; sun, chen/JCP-0396-2023; li, zhang/JHV-1750-2023; liu, xinyu/IWD-6630-2023; Yang, Fei/JLM-3367-2023; 李, 嘉馨/IWM-4023-2023; li, wei/IUQ-2973-2023; ZHOU, YUE/IZE-6277-2023; Gao, Yuanhao/KFS-3943-2024</t>
  </si>
  <si>
    <t>National Natural Science Foundation of China [32022067]; Dalian High-level Talent Innovation Support Program of China [2019RQ003]</t>
  </si>
  <si>
    <t>National Natural Science Foundation of China(National Natural Science Foundation of China (NSFC)); Dalian High-level Talent Innovation Support Program of China</t>
  </si>
  <si>
    <t>Acknowledgements This work was supported by National Natural Science Foundation of China [Grant No.32022067] and Dalian High-level Talent Innovation Support Program of China [Grant No.2019RQ003] .</t>
  </si>
  <si>
    <t>2212-4292</t>
  </si>
  <si>
    <t>2212-4306</t>
  </si>
  <si>
    <t>FOOD BIOSCI</t>
  </si>
  <si>
    <t>Food Biosci.</t>
  </si>
  <si>
    <t>10.1016/j.fbio.2022.101987</t>
  </si>
  <si>
    <t>5B1FD</t>
  </si>
  <si>
    <t>WOS:000863320200007</t>
  </si>
  <si>
    <t>Cabrera, M; Santini, M; Lima, L; Carvalho, J; Rosa, E; Rodrigues, C; Pezzi, L</t>
  </si>
  <si>
    <t>Cabrera, Mylene; Santini, Marcelo; Lima, Luciana; Carvalho, Jonas; Rosa, Eliana; Rodrigues, Celina; Pezzi, Luciano</t>
  </si>
  <si>
    <t>The southwestern Atlantic Ocean mesoscale eddies: A review of their role in the air-sea interaction processes</t>
  </si>
  <si>
    <t>Oceanic eddies; Air-sea interaction; Sea surface temperature; Mesoscale structures; Southwestern Atlantic Ocean</t>
  </si>
  <si>
    <t>SURFACE-TEMPERATURE; WIND STRESS; BOUNDARY-LAYER; IDENTIFICATION ALGORITHMS; ATMOSPHERIC RESPONSE; NUMERICAL-SIMULATION; SOUTHERN-OCEAN; HEAT FLUXES; SATELLITE; CIRCULATION</t>
  </si>
  <si>
    <t>This study presents an overview of oceanic mesoscale eddies and their influence on the overlying atmosphere and surrounding waters, with a focus on the southwestern Atlantic Ocean. The high values of eddy kinetic energy (EKE) in this region are related to the mesoscale eddies observed, which transport dynamic and thermodynamic specific properties away from their origin point, during their life cycle. This transport capacity interferes with several atmospheric and oceanic processes, such as the local marine atmospheric boundary layer (MABL) sta-bility, heat fluxes, and primary production. In the Southern Hemisphere, cyclonic (anticyclonic) eddies are related to clockwise (counterclockwise) circulation and negative (positive) anomalies of the sea surface tem-perature (SST) and the latent and sensible heat fluxes. It has been observed that over the clockwise and cold (counterclockwise and warm) eddies, there is a decrease (increase) in the near-surface wind, as well as stable (unstable) conditions on the MABL, vertical downward (upward) movements in the atmosphere, and decreased (increased) precipitation. SST anomalies influence the curl, divergence, and magnitude of the surface wind and wind stress, while mesoscale surface oceanic currents mainly affect the stress and wind curls. The atmospheric response to SST anomalies can be explained using two main mechanisms: hydrostatic adjustment and vertical mixing. However, as will be shown, the feedback among the SST anomalies, wind, and oceanic currents is far more complex. This work compiles and provides a theoretical basis for future work concerning air-sea in-teractions of mesoscale oceanic structures.</t>
  </si>
  <si>
    <t>[Cabrera, Mylene; Santini, Marcelo; Lima, Luciana; Carvalho, Jonas; Rosa, Eliana; Rodrigues, Celina; Pezzi, Luciano] Natl Inst Space Res INPE, Earth Observat &amp; Geoinformat Div DIOTG, Lab Ocean Atmosphere Studies LOA, Ave Astronautas 1758, Sao Jose Dos Campos, SP, Brazil</t>
  </si>
  <si>
    <t>Instituto Nacional de Pesquisas Espaciais (INPE)</t>
  </si>
  <si>
    <t>Cabrera, M (corresponding author), Natl Inst Space Res INPE, Earth Observat &amp; Geoinformat Div DIOTG, Lab Ocean Atmosphere Studies LOA, Ave Astronautas 1758, Sao Jose Dos Campos, SP, Brazil.</t>
  </si>
  <si>
    <t>mylene.cabrera@inpe.br; marcelo.santini@inpe.br; luciana.lima@inpe.br; jonas.carvalho@inpe.br; eliana.rosa@inpe.br; celina.rodrigues@inpe.br; luciano.pezzi@inpe.br</t>
  </si>
  <si>
    <t>Pezzi, Luciano Ponzi/N-7271-2017</t>
  </si>
  <si>
    <t>Pezzi, Luciano Ponzi/0000-0001-6016-4320; Santini, Marcelo/0000-0002-6760-2247; Ferreira Rodrigues, Celina Candida/0000-0002-6872-1977; Carvalho, Jonas Takeo/0000-0002-1225-3457</t>
  </si>
  <si>
    <t>Coordenacao de Aperfeicoamento de Pessoal de Nivel Superior-Brasil (CAPES) [001]; Brazilian Ministry of Science, Technology, and Innovations (MCTI); Brazilian Antarctic Program (PROANTAR) [CNPq/PROANTAR 443013/2018-7]; CNPq [CNPq/304858/2019-6, 465680/2014-13]; National Institute for the Science and Technology of the Cryosphere; FAPERGS [17/2551-0000518-0]</t>
  </si>
  <si>
    <t>Coordenacao de Aperfeicoamento de Pessoal de Nivel Superior-Brasil (CAPES)(Coordenacao de Aperfeicoamento de Pessoal de Nivel Superior (CAPES)); Brazilian Ministry of Science, Technology, and Innovations (MCTI); Brazilian Antarctic Program (PROANTAR); CNPq(Conselho Nacional de Desenvolvimento Cientifico e Tecnologico (CNPQ)); National Institute for the Science and Technology of the Cryosphere; FAPERGS(Fundacao de Amparo a Ciencia e Tecnologia do Estado do Rio Grande do Sul (FAPERGS))</t>
  </si>
  <si>
    <t>This study was financed in part by the Coordenacao de Aperfeicoamento de Pessoal de Nivel Superior-Brasil (CAPES) -Finance Code 001. The authors thank the Brazilian Ministry of Science, Technology, and Innovations (MCTI) and the Brazilian Antarctic Program (PROANTAR) for funding the ATMOS Project (CNPq/PROANTAR 443013/2018-7) . LP is partly funded through a CNPq Scientific Productivity Fellowship (CNPq/304858/2019-6) . MS acknowledges support from project National Institute for the Science and Technology of the Cryosphere (INCT Cryosphere) financed by CNPq (465680/2014-13) and FAPERGS (17/2551-0000518-0) . LL acknowledgements the SCAR INSTANT research programme. The authors would like to thank the two anonymous reviewers for their constructive suggestions.</t>
  </si>
  <si>
    <t>10.1016/j.jmarsys.2022.103785</t>
  </si>
  <si>
    <t>4O9VC</t>
  </si>
  <si>
    <t>WOS:000855040800002</t>
  </si>
  <si>
    <t>Liu, JQ; Chen, LH; Wang, XJ; Zhang, XY; Zeng, G; Erdmann, S; Murphy, DT; Collerson, KD; Komiya, T; Krmícek, L</t>
  </si>
  <si>
    <t>Liu, Jian-Qiang; Chen, Li-Hui; Wang, Xiao-Jun; Zhang, Xiao-Yu; Zeng, Gang; Erdmann, Saskia; Murphy, David T.; Collerson, Kenneth D.; Komiya, Tsuyoshi; Krmicek, Lukas</t>
  </si>
  <si>
    <t>Magnesium and zinc isotopic evidence for the involvement of recycled carbonates in the petrogenesis of Gaussberg lamproites, Antarctica</t>
  </si>
  <si>
    <t>CHEMICAL GEOLOGY</t>
  </si>
  <si>
    <t>Lamproites; Recycled carbonates; Mantle transition zone; Magnesium isotopes; Zinc isotopes</t>
  </si>
  <si>
    <t>CHINA CRATON IMPLICATIONS; POTASSIC VOLCANIC-ROCKS; CENOZOIC BASALTS; EASTERN CHINA; TRACE-ELEMENT; NE CHINA; PERIDOTITE XENOLITHS; CHROMITE CRYSTALLIZATION; ULTRAPOTASSIC ROCKS; MANTLE XENOLITHS</t>
  </si>
  <si>
    <t>Lamproites are rare mantle-derived peralkaline ultrapotassic rocks, and they are commonly geographically associated with the ultramafic lamprophyres and kimberlites. Their unique geochemistry and mineralogy make determining their mantle source and origin important because of the significance for inferring specific geo-dynamic processes. In this study, we further examine lamproite petrogenesis using new Mg and Zn isotopic data for the typical Gaussberg lamproites, Antarctica, the source of which were thought to be contributed by recycled crustal materials. Results show that these lamproites have lower delta Mg-26 (-0.44%o to-0.39%o) and higher delta 66Zn (0.36 parts per thousand to 0.39 parts per thousand ) values than terrestrial mantle (delta Mg-26 =-0.25 +/- 0.04%o, delta Zn-66 = 0.18 +/- 0.05 parts per thousand ). The post -magmatic alteration and crustal contamination as well as fractional crystallization and partial melting cannot account for these anomalous Mg and Zn isotopic values. By contrast, the involvement of sedimentary carbonates which are characterized by light delta 26Mg (average approximately-2.0%o) and heavy delta 66Zn (average -+0.91%o) values in their mantle source can explain these Mg and Zn isotopic anomalies. Quantitative modelling suggests that addition of 10-15% subducted dolomite into the source of Gaussberg lamproites can well reproduce their Mg and Zn isotopic values. The source component with light Mg and heavy Zn isotopic compositions can either be sub-continental lithospheric mantle metasomatized by carbonate melts or residue of subducted carbonate -bearing sediments after deep melting in the mantle transition zone. A lithospheric mantle contribution is indeed required to explain their strongly enriched radiogenic isotopic compositions. However, in terms of car-bonate component, their positive Zr-Hf anomalies (Hf/Hf* = 1.28-2.19), and extremely high K/U (-40, 000) and Ba/Th (-400) ratios lead us to favor the latter deep recycling model in which the recycled carbonate-bearing sediments subducted as K-hollandite and majorite underwent partial melting within the mantle transition zone.</t>
  </si>
  <si>
    <t>[Liu, Jian-Qiang; Chen, Li-Hui; Wang, Xiao-Jun] Northwest Univ, Dept Geol, State Key Lab Continental Dynam, Xian 710069, Peoples R China; [Zhang, Xiao-Yu; Zeng, Gang] Nanjing Univ, Sch Earth Sci &amp; Engn, State Key Lab Mineral Deposits Res, Nanjing 210023, Peoples R China; [Erdmann, Saskia] Univ Orleans, CNRS, INSU ISTO BRGM, UMR 7327, Orleans, France; [Murphy, David T.] Queensland Univ Technol, Brisbane, Qld 4000, Australia; [Collerson, Kenneth D.] Univ Queensland, Sch Earth &amp; Environm Sci, Brisbane, Qld 4072, Australia; [Komiya, Tsuyoshi] Univ Tokyo, Grad Sch Arts &amp; Sci, Dept Earth Sci &amp; Astron, Tokyo 1538902, Japan; [Krmicek, Lukas] Czech Acad Sci, Inst Geol, Rozvojova 269, Prague 16502 6, Czech Republic; [Krmicek, Lukas] Brno Univ Technol, Fac Civil Engn, Inst Geotech, Veveri 95, Brno 60200, Czech Republic</t>
  </si>
  <si>
    <t>Northwest University Xi'an; Nanjing University; Bureau de Recherches Geologiques et Minieres (BRGM); Centre National de la Recherche Scientifique (CNRS); Universite de Orleans; CNRS - National Institute for Earth Sciences &amp; Astronomy (INSU); Queensland University of Technology (QUT); University of Queensland; University of Tokyo; Czech Academy of Sciences; Institute of Geology of the Czech Academy of Sciences; Brno University of Technology</t>
  </si>
  <si>
    <t>Liu, JQ (corresponding author), Northwest Univ, Dept Geol, State Key Lab Continental Dynam, Xian 710069, Peoples R China.</t>
  </si>
  <si>
    <t>jqliu@nwu.edu.cn</t>
  </si>
  <si>
    <t>Krmíček, Lukáš/ABB-2293-2020; Komiya, Tsuyoshi/A-3704-2009; Chen, Li-Hui/G-4286-2011</t>
  </si>
  <si>
    <t>Krmíček, Lukáš/0000-0003-0943-9776; Komiya, Tsuyoshi/0000-0002-4000-0617; Liu, Jian-Qiang/0000-0002-3828-0189; Chen, Li-Hui/0000-0003-1761-5063; Murphy, David/0000-0002-1585-4311</t>
  </si>
  <si>
    <t>National Natural Science Foundation of China [42130310, 41802045, 91858206]; Australian Antarctic Division; Institute of Geology of the Czech Academy of Sciences [67985831]</t>
  </si>
  <si>
    <t>National Natural Science Foundation of China(National Natural Science Foundation of China (NSFC)); Australian Antarctic Division; Institute of Geology of the Czech Academy of Sciences(Czech Academy of Sciences)</t>
  </si>
  <si>
    <t>We are grateful to Xiao-Wen Liu and Jin-Hua Shi for assistance with the Mg and Zn isotopic analyses. Rong Xu and Michael Forster are warmly thanked for their detailed and instructive reviews, and the editorial support of Sonja Aulbach is also greatly appreciated. This work was supported by the National Natural Science Foundation of China (42130310, 41802045 and 91858206) . Logistical support to KDC for the Gaussberg voyage and field work was provided by a grant from the Australian Antarctic Division, which is gratefully acknowledged. LK was supported by the RVO 67985831 project of the Institute of Geology of the Czech Academy of Sciences.</t>
  </si>
  <si>
    <t>0009-2541</t>
  </si>
  <si>
    <t>1872-6836</t>
  </si>
  <si>
    <t>CHEM GEOL</t>
  </si>
  <si>
    <t>Chem. Geol.</t>
  </si>
  <si>
    <t>OCT 20</t>
  </si>
  <si>
    <t>10.1016/j.chemgeo.2022.121067</t>
  </si>
  <si>
    <t>4J6KN</t>
  </si>
  <si>
    <t>WOS:000851373400004</t>
  </si>
  <si>
    <t>Chu, XZ; Gardner, CS; Li, XX; Lin, CYT</t>
  </si>
  <si>
    <t>Chu, Xinzhao; Gardner, Chester S.; Li, Xianxin; Lin, Cissi Ying-Tsen</t>
  </si>
  <si>
    <t>Vertical Transport of Sensible Heat and Meteoric Na by the Complete Temporal Spectrum of Gravity Waves in the MLT Above McMurdo (77.84°S, 166.67°E), Antarctica</t>
  </si>
  <si>
    <t>lidar; Antarctica gravity waves; constituent and heat transport; vertical fluxes of sensible heat and meteoric Na; fully compressible polarization relations; secondary gravity wave generation</t>
  </si>
  <si>
    <t>LIDAR OBSERVATIONS; MESOPAUSE REGION; ATMOSPHERIC CONSTITUENTS; ENERGY FLUX; MIDDLE; TEMPERATURE; DIFFUSION; PERIODS; 77.8-DEGREES-S; PARAMETERS</t>
  </si>
  <si>
    <t>We report the first lidar observations of vertical fluxes of sensible heat and meteoric Na from 78 to 110 km in late May 2020 at McMurdo, Antarctica. The measurements include contributions from the complete temporal spectrum of gravity waves and demonstrate that wave-induced vertical transport associated with atmospheric mixing by non-breaking gravity waves, Stokes drift imparted by the wave spectrum, and perturbed chemistry of reactive species, can make significant contributions to constituent and heat transport in the mesosphere and lower thermosphere (MLT). The measured sensible heat and Na fluxes exhibit downward peaks at 84 km (-3.0 Kms(-1) and -5.5 x 10(4) cm(-2)s(-1)) that are similar to 4 km lower than the flux peak altitudes observed at midlatitudes. This is likely caused by the strong downwelling over McMurdo in late May. The Na flux magnitude is double the maximum at midlatitudes, which we believe is related to strong persistent gravity waves in the MLT at McMurdo. To achieve good agreement between the measured Na flux and theory, it was necessary to infer that a large fraction of gravity wave energy was propagating downward, especially between 80 and 95 km where the Na flux and wave dissipation were largest. These downward propagating waves are likely secondary waves generated in-situ by the dissipation of primary waves that originate from lower altitudes. The sensible heat flux transitions from downward below 90 km to upward from 97 to 106 km. The observations are explained with the fully compressible solutions for polarization relations of primary and secondary gravity waves with lambda ( z ) &gt; 10 km.</t>
  </si>
  <si>
    <t>[Chu, Xinzhao; Li, Xianxin; Lin, Cissi Ying-Tsen] Univ Colorado, Cooperat Inst Res Environm Sci, Boulder, CO 80309 USA; [Chu, Xinzhao; Li, Xianxin; Lin, Cissi Ying-Tsen] Univ Colorado, Dept Aerosp Engn Sci, Boulder, CO 80309 USA; [Gardner, Chester S.] Univ Illinois, Dept Elect &amp; Comp Engn, 1406 W Green St, Urbana, IL 61801 USA; [Li, Xianxin] Qilu Univ Technol, Inst Oceanog Instrumentat, Shandong Acad Sci, Qingdao, Peoples R China; [Lin, Cissi Ying-Tsen] Natl Cent Univ, Dept Space Sci &amp; Engn, Taoyuan, Taiwan</t>
  </si>
  <si>
    <t>University of Colorado System; University of Colorado Boulder; University of Colorado System; University of Colorado Boulder; University of Illinois System; University of Illinois Urbana-Champaign; Qilu University of Technology; National Central University</t>
  </si>
  <si>
    <t>Chu, XZ (corresponding author), Univ Colorado, Cooperat Inst Res Environm Sci, Boulder, CO 80309 USA.;Chu, XZ (corresponding author), Univ Colorado, Dept Aerosp Engn Sci, Boulder, CO 80309 USA.;Gardner, CS (corresponding author), Univ Illinois, Dept Elect &amp; Comp Engn, 1406 W Green St, Urbana, IL 61801 USA.</t>
  </si>
  <si>
    <t>Xinzhao.Chu@colorado.edu; cgardner@illinois.edu</t>
  </si>
  <si>
    <t>CHU, XINZHAO/I-5670-2015</t>
  </si>
  <si>
    <t>CHU, XINZHAO/0000-0001-6147-1963</t>
  </si>
  <si>
    <t>National Science Foundation (NSF) [OPP-1246405, OPP-1443726, OPP-2110428, AGS-2029162, AGS-1452351, ANT-1643700]; Japanese Antarctic Research Expedition program [AP0927]</t>
  </si>
  <si>
    <t>National Science Foundation (NSF)(National Science Foundation (NSF)National Research Foundation of Korea); Japanese Antarctic Research Expedition program</t>
  </si>
  <si>
    <t>We sincerely appreciate Dr. Sharon Vadas and Dr. Erich Becker for their advice and invaluable discussion on the compressible polarization relations for gravity waves and on energetics and wave dynamics of the middle and upper atmosphere. We are grateful to Jackson Jandreau for his assistance in compiling satellite and WACCM data of minor species for chemical flux calculation, to Wuhu Feng for providing WACCM KZZ data, to Tao Li for providing the Hefei flux measurements, and to Juan Diego Carrillo-Sanchez for providing CABMOD meteoric injection rates. We gratefully acknowledge Dr. Art Richmond, Dr. Yasunobu Ogawa, Dr. Zhonghua Xu, and Dr. Yukitoshi Nishimura for invaluable discussions on heat sources and heat balance in the lower thermosphere. We are grateful to Dr. Yasunobu Ogawa for providing aurora observations at McMurdo. We sincerely appreciate the staff of United States Antarctic Program, McMurdo Station, Antarctica New Zealand, and Scott Base for their superb support to the McMurdo lidar observations. The McMurdo lidar projects were supported by the National Science Foundation (NSF) grants OPP-1246405, OPP-1443726, and OPP-2110428. This work was partially supported by NSF grants AGS-2029162 and AGS-1452351. The auroral images were obtained with supports from NSF (ANT-1643700) and the Japanese Antarctic Research Expedition program (AP0927).</t>
  </si>
  <si>
    <t>AUG 27</t>
  </si>
  <si>
    <t>e2021JD035728</t>
  </si>
  <si>
    <t>10.1029/2021JD035728</t>
  </si>
  <si>
    <t>3X1YO</t>
  </si>
  <si>
    <t>WOS:000842839500001</t>
  </si>
  <si>
    <t>Padilha, J; de Carvalho, GO; Willems, T; Lepoint, G; Cunha, L; Pessoa, ARL; Eens, M; Prinsen, E; Costa, E; Torres, JP; Dorneles, P; Das, K; Bervoets, L; Groffen, T</t>
  </si>
  <si>
    <t>Padilha, Janeide; de Carvalho, Gabriel O.; Willems, Tim; Lepoint, Gilles; Cunha, Larissa; Pessoa, Adriana R. L.; Eens, Marcel; Prinsen, Els; Costa, Erli; Torres, Joao Paulo; Dorneles, Paulo; Das, Krishna; Bervoets, Lieven; Groffen, Thimo</t>
  </si>
  <si>
    <t>Perfluoroalkylated compounds in the eggs and feathers of resident and migratory seabirds from the Antarctic Peninsula</t>
  </si>
  <si>
    <t>ENVIRONMENTAL RESEARCH</t>
  </si>
  <si>
    <t>PFAA; Perfluorinated substances; PFOS; Biomonitoring; Contamination; Stable isotopes</t>
  </si>
  <si>
    <t>KING GEORGE ISLAND; PERFLUORINATED COMPOUNDS; POLYFLUOROALKYL SUBSTANCES; POLYFLUORINATED COMPOUNDS; TRACE-ELEMENTS; SOUTH SHETLAND; ORGANIC POLLUTANTS; CARBOXYLIC-ACIDS; POLAR SKUAS; EXPOSURE</t>
  </si>
  <si>
    <t>In this study, we investigated factors that influence the differences in exposure of perfluoroalkyl acids (PFAAs) from eight species of Antarctic seabirds, including Pygoscelis penguins, Stercorarius maccormicki, and Macronectes giganteus. We analyzed the relationship between foraging ecology (based on delta C-13, delta N-15, and delta S-34 values) and PFAAs accumulated in eggs and breast feathers. Ten out of 15 targeted PFAAs were detected in eggs compared to eight in feathers. Mean Sigma PFAA concentrations in feathers ranged from 0.47 in P. antarcticus to 17.4 ng/g dry weight (dw) in S. maccormicki. In eggs, Sigma PFAA concentrations ranged from 3.51 in P. adeliae to 117 ng/g dw in S. maccormicki. The highest concentrations of most PFAAs were found in trans-equatorial migrators such as S. maccormicki, probably due their high trophic position and higher concentrations of PFAAs in the Northern Hemisphere compared to the Southern Hemisphere. Based on stable isotopes correlations, our results suggest that the trophic position (delta N-15) and the foraging area (delta C-13 and delta S-34) influence PFAAs concentrations in Antarctic seabirds. Our results point to the possibility that long-distance migratory birds may have as bio-vectors in the transport of pollutants, including PFCAs, in Antarctic environments, although this must be further confirmed in future studies using a mass balanced approach, such as extractable organofluorine (EOF).</t>
  </si>
  <si>
    <t>[Padilha, Janeide; de Carvalho, Gabriel O.; Cunha, Larissa; Pessoa, Adriana R. L.; Torres, Joao Paulo; Dorneles, Paulo] Fed Univ Rio de Janeiro UFRJ, Biophys Inst, Rio De Janeiro, Brazil; [Lepoint, Gilles; Das, Krishna] Univ Liege, Freshwater &amp; Ocean Sci Unit Res FOCUS, Lab Oceanol, Liege, Belgium; [Willems, Tim; Bervoets, Lieven; Groffen, Thimo] Univ Antwerp, Dept Biol, ECOSPHERE, Groenenborgerlaan 171, B-2020 Antwerp, Belgium; [Eens, Marcel; Groffen, Thimo] Univ Antwerp, Dept Biol, Behav Ecol &amp; Ecophysiol Grp BECO, Univ Pl 1, B-2610 Antwerp, Belgium; [Willems, Tim; Prinsen, Els] Univ Antwerp, Dept Biol, Integrated Mol Plant Physiol Res IMPRES, Groenenborgerlaan 171, B-2020 Antwerp, Belgium; [Costa, Erli] Univ Estadual Rio Grande Do Sul, Mestrado Profiss Ambiente &amp; Sustentabilidade, Rua Assis Brasil 842, Sao Francisco De Paula, RS, Brazil</t>
  </si>
  <si>
    <t>Universidade Federal do Rio de Janeiro; University of Liege; University of Antwerp; University of Antwerp; University of Antwerp; Universidade Estadual do Rio Grande do Sul (UERGS)</t>
  </si>
  <si>
    <t>Padilha, J (corresponding author), Univ Fed Rio de Janeiro UFRJ, Ctr Ciencias Saude CCS, Inst Biofis Carlos Chagas Filho IBCCF, Lab Radioisotopos Eduardo Penna Franca LREPF, Ave Carlos Chagas Filho 373,Sala G0-62, BR-21941902 Rio De Janeiro, RJ, Brazil.</t>
  </si>
  <si>
    <t>janeide.padilha@ufrj.br</t>
  </si>
  <si>
    <t>de Carvalho, Gabriel Oliveira/AAC-4925-2020; Rodrigues de Lira Pessoa, Adriana/HMV-6030-2023; de Assis Padilha, Janeide/S-1115-2016; Prinsen, Els/M-8973-2016; Das, Krishna/KCJ-7467-2024; 黄, 微/JUU-4277-2023; Cunha, Larissa/KGM-1405-2024; torres, joao/AAI-8390-2021; Bervoets, Lieven/E-5012-2015</t>
  </si>
  <si>
    <t>de Carvalho, Gabriel Oliveira/0000-0001-9809-2772; de Assis Padilha, Janeide/0000-0002-1901-5822; Prinsen, Els/0000-0003-4320-1585; Cunha, Larissa/0000-0003-0814-4175; torres, joao/0000-0002-2510-1612; Das, Krishna/0000-0003-2689-3348; Willems, Tim/0000-0002-2245-2126; Eens, Marcel/0000-0001-7538-3542</t>
  </si>
  <si>
    <t>Research Foundation Flanders (FWO) [G038615N, G018119N, 12ZZQ21N]; FWO [12ZZQ21N]; Brazilian National Council for Scientific and Technological Development (CNPq) [CNPq/MCT 557049/2009-1]; Universal Call CNPq-Project from PRD [432518/2016-9]; Brazilian Foundation for the Coordination and Improvement of Higher Level or Education Personnel (CAPES) [88881.154725/2017-01, 88887.154724/2017-00]; Wallonie Bruxelles International (WBI, from Belgium); Rio de Janeiro State Government Research Agency (FAPERJ) [E-26/111.505/2010]; CNPq [306703/2014-9, 306847/2016-7]</t>
  </si>
  <si>
    <t>Research Foundation Flanders (FWO)(FWO); FWO(FWO); Brazilian National Council for Scientific and Technological Development (CNPq)(Conselho Nacional de Desenvolvimento Cientifico e Tecnologico (CNPQ)); Universal Call CNPq-Project from PRD; Brazilian Foundation for the Coordination and Improvement of Higher Level or Education Personnel (CAPES); Wallonie Bruxelles International (WBI, from Belgium); Rio de Janeiro State Government Research Agency (FAPERJ)(Fundacao Carlos Chagas Filho de Amparo a Pesquisa do Estado do Rio De Janeiro (FAPERJ)); CNPq(Conselho Nacional de Desenvolvimento Cientifico e Tecnologico (CNPQ))</t>
  </si>
  <si>
    <t>This work was funded by the research projects G038615N, G018119N, and 12ZZQ21N of the Research Foundation Flanders (FWO). TG is funded by a post-doctoral grant of the FWO (grant nr. 12ZZQ21N). This work was also supported by the Brazilian National Council for Scientific and Technological Development (CNPq) through CNPq/MCT 557049/2009-1, as well as through a Universal Call CNPq-Project from PRD (proc. 432518/2016-9). This work was also funded by a scientific cooperation established between the Brazilian Foundation for the Coordination and Improvement of Higher Level or Education Personnel (CAPES -process numbers 88881.154725/2017-01 88887.154724/2017-00) and Wallonie Bruxelles International (WBI, from Belgium), coordinated by PRD and KD, as well as by the Rio de Janeiro State Government Research Agency (FAPERJ E-26/111.505/2010) through the project entitled: Estudos bioecologicos em Pinguins (Pygoscelis Antarctica, P. papua e P. adeliae) e skuas (Stercorarius maccormickii e C. lonnbergii): determinacao de micropoluentes e niveis de estresse atraves de metodos de amostragem nao invasivos,. We would like to thank the Brazilian Navy, which provided logistical support in Antarctica through the Secretaria da Comissao Interministerial para os Recursos do Mar (SECIRM). GL is a F.R.S.-FNRS research associate, and KD is a Senior F.R.S.-FNRS research associate. PRD have research grants from CNPq (PQ-1A proc. 306703/2014-9 and PQ-2 proc. 306847/2016-7, respectively.</t>
  </si>
  <si>
    <t>0013-9351</t>
  </si>
  <si>
    <t>1096-0953</t>
  </si>
  <si>
    <t>ENVIRON RES</t>
  </si>
  <si>
    <t>Environ. Res.</t>
  </si>
  <si>
    <t>10.1016/j.envres.2022.114157</t>
  </si>
  <si>
    <t>Environmental Sciences; Public, Environmental &amp; Occupational Health</t>
  </si>
  <si>
    <t>Environmental Sciences &amp; Ecology; Public, Environmental &amp; Occupational Health</t>
  </si>
  <si>
    <t>5P7TP</t>
  </si>
  <si>
    <t>WOS:000873349200005</t>
  </si>
  <si>
    <t>Rozzi, R; Quilodrán, CS; Botero-Delgadillo, E; Napolitano, C; Torres-Mura, JC; Barroso, O; Crego, RD; Bravo, C; Ippi, S; Quirici, V; Mackenzie, R; Suazo, CG; Rivero-de-Aguilar, J; Goffinet, B; Kempenaers, B; Poulin, E; Vásquez, RA</t>
  </si>
  <si>
    <t>Rozzi, Ricardo; Quilodran, Claudio S.; Botero-Delgadillo, Esteban; Napolitano, Constanza; Torres-Mura, Juan C.; Barroso, Omar; Crego, Ramiro D.; Bravo, Camila; Ippi, Silvina; Quirici, Veronica; Mackenzie, Roy; Suazo, Cristian G.; Rivero-de-Aguilar, Juan; Goffinet, Bernard; Kempenaers, Bart; Poulin, Elie; Vasquez, Rodrigo A.</t>
  </si>
  <si>
    <t>The Subantarctic Rayadito (Aphrastura subantarctica), a new bird species on the southernmost islands of the Americas</t>
  </si>
  <si>
    <t>THORN-TAILED RAYADITO; DIEGO RAMIREZ; GENETIC DIFFERENTIATION; POPULATION-STRUCTURE; MITOCHONDRIAL; PHYLOGENY; EVOLUTION; BIODIVERSITY; FURNARIIDAE; SPINICAUDA</t>
  </si>
  <si>
    <t>We describe a new taxon of terrestrial bird of the genus Aphrastura (rayaditos) inhabiting the Diego Ramirez Archipelago, the southernmost point of the American continent. This archipelago is geographically isolated and lacks terrestrial mammalian predators as well as woody plants, providing a contrasted habitat to the forests inhabited by the other two Aphrastura spp. Individuals of Diego Ramirez differ morphologically from Aphrastura spinicauda, the taxonomic group they were originally attributed to, by their larger beaks, longer tarsi, shorter tails, and larger body mass. These birds move at shorter distances from ground level, and instead of nesting in cavities in trees, they breed in cavities in the ground, reflecting different life-histories. Both taxa are genetically differentiated based on mitochondrial and autosomal markers, with no evidence of current gene flow. Although further research is required to define how far divergence has proceeded along the speciation continuum, we propose A. subantarctica as a new taxonomic unit, given its unique morphological, genetic, and behavioral attributes in a non-forested habitat. The discovery of this endemic passerine highlights the need to monitor and conserve this still-pristine archipelago devoid of exotic species, which is now protected by the recently created Diego Ramirez Islands-Drake Passage Marine Park.</t>
  </si>
  <si>
    <t>[Rozzi, Ricardo; Quilodran, Claudio S.; Napolitano, Constanza; Torres-Mura, Juan C.; Barroso, Omar; Mackenzie, Roy; Suazo, Cristian G.; Rivero-de-Aguilar, Juan; Goffinet, Bernard; Poulin, Elie; Vasquez, Rodrigo A.] Univ Magallanes, Cape Horn Int Ctr CHIC, Parque Etnobot Omora, Puerto Williams, Chile; [Rozzi, Ricardo] Univ North Texas, Sub Antarctic Biocultural Conservat Program, Dept Philosophy &amp; Relig, Denton, TX 76203 USA; [Rozzi, Ricardo] Univ North Texas, Dept Biol Sci, Denton, TX 76203 USA; [Quilodran, Claudio S.] Univ Fribourg, Dept Biol, Fribourg, Switzerland; [Botero-Delgadillo, Esteban; Kempenaers, Bart] Max Plank Inst Ornithol, Dept Behav Ecol &amp; Evolutionary Genet, Seewiesen, Germany; [Botero-Delgadillo, Esteban; Bravo, Camila; Poulin, Elie; Vasquez, Rodrigo A.] Univ Chile, Fac Ciencias, Dept Ciencias Ecol, Santiago, Chile; [Napolitano, Constanza] Univ Los Lagos, Dept Ciencias Biol &amp; Biodiversidad, Osorno, Chile; [Napolitano, Constanza] Inst Ecol &amp; Biodiversidad, Santiago, Chile; [Torres-Mura, Juan C.] AvesChile Union Ornitol Chile, Santiago, Chile; [Crego, Ramiro D.] Smithsonian Natl Zoo, 1500 Remount Rd, Front Royal, VA 22630 USA; [Crego, Ramiro D.] Conservat Ecol Ctr, Conservat Biol Inst, 1500 Remount Rd, Front Royal, VA 22630 USA; [Ippi, Silvina] CRUB Univ Nacl Comahue, Dept Zool, CONICET, San Carlos De Bariloche, Rio Negro, Argentina; [Quirici, Veronica] Univ Andres Bello, Fac Ciencias Vida, Ctr Invest Sustentabilidad, Santiago, Chile; [Suazo, Cristian G.] Justus Liebig Univ Giessen, Dept Anim Ecol &amp; Systemat, Giessen, Germany; [Goffinet, Bernard] Univ Connecticut, Dept Ecol &amp; Evolutionary Biol, Storrs, CT 06269 USA; [Poulin, Elie] Univ Chile, Fac Ciencias, Millennium Inst Biodivers Antarctic &amp; Subantarct, Santiago, Chile</t>
  </si>
  <si>
    <t>Universidad de Magallanes; University of North Texas System; University of North Texas Denton; University of North Texas System; University of North Texas Denton; University of Fribourg; Max Planck Society; Universidad de Chile; Universidad de Los Lagos; Smithsonian Institution; Smithsonian National Zoological Park &amp; Conservation Biology Institute; Universidad Nacional del Comahue; Consejo Nacional de Investigaciones Cientificas y Tecnicas (CONICET); Universidad Andres Bello; Justus Liebig University Giessen; University of Connecticut; Universidad de Chile</t>
  </si>
  <si>
    <t>Rozzi, R; Quilodrán, CS (corresponding author), Univ Magallanes, Cape Horn Int Ctr CHIC, Parque Etnobot Omora, Puerto Williams, Chile.;Rozzi, R (corresponding author), Univ North Texas, Sub Antarctic Biocultural Conservat Program, Dept Philosophy &amp; Relig, Denton, TX 76203 USA.;Rozzi, R (corresponding author), Univ North Texas, Dept Biol Sci, Denton, TX 76203 USA.;Quilodrán, CS (corresponding author), Univ Fribourg, Dept Biol, Fribourg, Switzerland.</t>
  </si>
  <si>
    <t>ricardo.rozzi@unt.edu; claudio.quilodran@unifr.ch</t>
  </si>
  <si>
    <t>Poulin, Elie/C-2654-2012; Mackenzie, Roy/AAU-7621-2020; Rozzi, Ricardo/G-1047-2012; Quilodran, Claudio/JVO-8631-2024; Quirici, Veronica/B-1520-2017</t>
  </si>
  <si>
    <t>Poulin, Elie/0000-0001-7736-0969; Mackenzie, Roy/0000-0001-6620-1532; Rozzi, Ricardo/0000-0001-5265-8726; Quilodran, Claudio/0000-0001-7197-9154; Barroso Putare, Omar/0000-0003-0565-329X; Crego, Ramiro/0000-0001-8583-5936; RIVERO DE AGUILAR, JUAN/0000-0002-4746-5759; Ippi, Silvina/0000-0002-4225-2885; Vasquez, Rodrigo A/0000-0003-4309-6789</t>
  </si>
  <si>
    <t>Sub-Antarctic Biocultural Conservation Program of the University of North Texas; University of Magallanes; Cape Horn International Center [ANID CHIC-FB210018]; Institute of Ecology and Biodiversity of Chile [CONICYT PFB-23]; Patagonia Mar y Tierra Working Group (The Pew Charitable Trust -Chile); Omora Foundation; FONDECYT [1140548]; ANID [PAI 77190064]; ANID/BASAL [FB210006]; Swiss National Science Foundation [P400PB_183930, P5R5PB_203169]; Swiss National Science Foundation (SNF) [P5R5PB_203169, P400PB_183930] Funding Source: Swiss National Science Foundation (SNF)</t>
  </si>
  <si>
    <t>Sub-Antarctic Biocultural Conservation Program of the University of North Texas; University of Magallanes; Cape Horn International Center; Institute of Ecology and Biodiversity of Chile; Patagonia Mar y Tierra Working Group (The Pew Charitable Trust -Chile); Omora Foundation; FONDECYT(Comision Nacional de Investigacion Cientifica y Tecnologica (CONICYT)CONICYT FONDECYT); ANID; ANID/BASAL; Swiss National Science Foundation(Swiss National Science Foundation (SNSF)); Swiss National Science Foundation (SNF)(Swiss National Science Foundation (SNSF))</t>
  </si>
  <si>
    <t>This study was funded with Grants from the Sub-Antarctic Biocultural Conservation Program of the University of North Texas, University of Magallanes, the Cape Horn International Center (ANID CHIC-FB210018), the Institute of Ecology and Biodiversity of Chile (CONICYT PFB-23), and the Patagonia Mar y Tierra Working Group (The Pew Charitable Trust -Chile). Dr. Jaime E. Jimenez and Dr. Francisca Massardo provided comments on an early draft. We thank the support of the Omora Foundation, and FONDECYT 1140548 to RAV. C.N. thanks support from ANID PAI 77190064, and ANID/BASAL FB210006. CSQ acknowledges support from the Swiss National Science Foundation (N degrees P400PB_183930 and P5R5PB_203169). We are grateful to Sylvia Kuhn and Alexander Girg from the Max Planck Institute for Ornithology for help in the laboratory, and to Jaime A. Cursach and Maximiliano Daigre during fieldwork and ornithological records in Gonzalo Island. Fieldwork in protected areas was possible thanks to people from Parque Nacional Bosque Fray Jorge, Minera Los Pelambres, Estacion Biologica Senda Darwin, Parque Nacional Nahuel Huapi, and Parque Natural Karukinka. We also express our gratitude for early communications by Professor Roberto P. Schlatter during his work in Diego Ramirez in the 1980s and for all the logistical and personnel support from the 3rd Naval Zone of the Chilean Navy. We finally thank Mauricio Alvarez Abel for making the color painting illustrations of Aphrastura subantarctica and A. spinicauda.</t>
  </si>
  <si>
    <t>AUG 26</t>
  </si>
  <si>
    <t>10.1038/s41598-022-17985-4</t>
  </si>
  <si>
    <t>4C6PC</t>
  </si>
  <si>
    <t>WOS:000846571700034</t>
  </si>
  <si>
    <t>Kobayashi, K; Nauny, P; Takano, Y; Honma, C; Kurizuka, T; Ishikawa, Y; Yogosawa, S; Obayashi, Y; Kaneko, T; Kebukawa, Y; Mita, H; Ogawa, M; Enya, K; Yoshimura, Y; McKay, CP</t>
  </si>
  <si>
    <t>Kobayashi, Kensei; Nauny, Philippe; Takano, Yoshinori; Honma, Chiho; Kurizuka, Taihei; Ishikawa, Yuto; Yogosawa, Shusuke; Obayashi, Yumiko; Kaneko, Takeo; Kebukawa, Yoko; Mita, Hajime; Ogawa, Mari; Enya, Keigo; Yoshimura, Yoshitaka; McKay, Christopher P.</t>
  </si>
  <si>
    <t>Biomarkers in the Atacama Desert along the moisture gradient and the depth in the hyperarid zone: Phosphatase activity as trace of microbial activity</t>
  </si>
  <si>
    <t>INTERNATIONAL JOURNAL OF ASTROBIOLOGY</t>
  </si>
  <si>
    <t>Amino acids; Atacama Desert; biomarkers; extant life; life detection; lipids; Mars; phosphatase activity</t>
  </si>
  <si>
    <t>IZU-BONIN ARC; MARS-LIKE SOILS; AMINO-ACIDS; SUIYO SEAMOUNT; ALKALINE-PHOSPHATASE; LIFE; DEEP; COMPLEX; ORIGIN; ENVIRONMENTS</t>
  </si>
  <si>
    <t>Microbiological activities can be detected in various extreme environments on Earth, which suggest that extraterrestrial environments, such as on Mars, could host life. There have been proposed a number of biomarkers to detect extant life mostly based on specific molecules. Because terrestrial organisms have catalytic proteins (enzymes), enzymatic activity may also be a good indicator to evaluate biological activities in extreme environments. Phosphatases are essential for all terrestrial organisms because phosphate esters are ubiquitously used in genetic molecules (DNA/RNA) and membranes. In this study, we evaluated microbial activity in soils of the Atacama Desert, Chile, by analysing several biomarkers, including phosphatase activity. Phosphatases extracted with Tris buffer were assayed fluorometrically using 4-methylumbelliferyl phosphate as a substrate. The horizontal distribution of phosphatase activity and other parameters in soils from the Atacama Desert showed that phosphatase activity was positively correlated with amino acid concentration and colony-forming units and negatively correlated with precipitation amount. We found consistent that biochemical indicators including phosphatase significantly decreased in the extreme hyper-arid zone where rainfall of &lt;25 mm year(-1). The results were compared with phosphatase activities detected in extreme environments, such as submarine hydrothermal systems and Antarctic soils, as well as soils from ordinary environments. Overall, our results suggested that phosphatase activity could be a good indicator for evaluating biological activities in extreme environments.</t>
  </si>
  <si>
    <t>[Kobayashi, Kensei; Honma, Chiho; Kurizuka, Taihei; Ishikawa, Yuto; Yogosawa, Shusuke; Kaneko, Takeo; Kebukawa, Yoko] Yokohama Natl Univ, Dept Chem, Hodogaya Ku, 79-5 Tokiwadai, Yokohama, Kanagawa 2408501, Japan; [Nauny, Philippe] Univ Glasgow, Sch Geog &amp; Earth Sci, Molema Bldg, Glasgow G12 8QQ, Lanark, Scotland; [Takano, Yoshinori] Japan Agcy Marine Earth Sci &amp; Technol JAMSTEC, Biogeochem Res Ctr BGC, 2-15 Natsushima, Yokosuka, Kanagawa 2370061, Japan; [Takano, Yoshinori] Keio Univ, Inst Adv Biosci, Tsuruoka, Yamagata 9970052, Japan; [Obayashi, Yumiko] Ehime Univ, Ctr Marine Environm Studies, 3 Bunkyo Cho, Matsuyama, Ehime 7908577, Japan; [Mita, Hajime] Fukuoka Inst Technol, Fac Engn, Dept Life Environm &amp; Appl Chem, Higashi Ku, 3-30-1 Wajirohigashi, Fukuoka 8110295, Japan; [Ogawa, Mari] Yasuda Womens Univ, Asaminami Ku, 6-13-1 Yasuhigashi, Hiroshima 7310153, Japan; [Enya, Keigo] Japan Aerosp Explorat Agcy, Inst Space &amp; Astronaut Sci, Chuo Ku, 3-1-1 Yoshinodai, Sagamihara, Kanagawa 2525210, Japan; [Yoshimura, Yoshitaka] Tamagawa Univ, Coll Agr, Dept Adv Food Sci, 6-1-1 Tamagawagakuen, Machida, Tokyo 1948610, Japan; [McKay, Christopher P.] NASA, Space Sci Div, Ames Res Ctr, Moffett Field, CA 94035 USA</t>
  </si>
  <si>
    <t>Yokohama National University; University of Glasgow; Japan Agency for Marine-Earth Science &amp; Technology (JAMSTEC); Keio University; Ehime University; Fukuoka Institute of Technology; Japan Aerospace Exploration Agency (JAXA); Institute of Space &amp; Astronautical Science (ISAS); National Aeronautics &amp; Space Administration (NASA); NASA Ames Research Center</t>
  </si>
  <si>
    <t>Kobayashi, K (corresponding author), Yokohama Natl Univ, Dept Chem, Hodogaya Ku, 79-5 Tokiwadai, Yokohama, Kanagawa 2408501, Japan.</t>
  </si>
  <si>
    <t>kobayashi-kensei-wv@ynu.ac.jp</t>
  </si>
  <si>
    <t>Nauny, Philippe/M-4284-2014</t>
  </si>
  <si>
    <t>Nauny, Philippe/0000-0002-6292-0860; Kobayashi, Kensei/0000-0003-2951-1341; McKay, Christopher/0000-0002-6243-1362</t>
  </si>
  <si>
    <t>JSPS KAKENHI [19K21895, 19H01955, 20H02014]; Sir Alwyn Williams Postgraduate Scholarship (University of Glasgow); Michael Golden Postgraduate Scholarship (University of Glasgow)</t>
  </si>
  <si>
    <t>JSPS KAKENHI(Ministry of Education, Culture, Sports, Science and Technology, Japan (MEXT)Japan Society for the Promotion of ScienceGrants-in-Aid for Scientific Research (KAKENHI)); Sir Alwyn Williams Postgraduate Scholarship (University of Glasgow); Michael Golden Postgraduate Scholarship (University of Glasgow)</t>
  </si>
  <si>
    <t>We greatly appreciate the assistance of the late Prof. Rafael Navarro-Gonzalez for providing the Atacama Desert soil samples (AT02 set). We also thank Prof. Vernon Phoenix, Dr Nick Thomas and Dr Rory Porteous for their help in collecting the samples at the site near San Pedro de Atacama and Prof. Jaime Toney for providing access to the analytical equipment needed for the analysis of hydrocarbon biomarkers. This work was partly supported by JSPS KAKENHI Grants-in-Aid for Scientific Research (Grant Nos. 19K21895, 19H01955 and 20H02014), the Sir Alwyn Williams Postgraduate Scholarship (University of Glasgow), and the Michael Golden Postgraduate Scholarship (University of Glasgow). We would like to thank Editage (www.editage.com) for English language editing.</t>
  </si>
  <si>
    <t>1473-5504</t>
  </si>
  <si>
    <t>1475-3006</t>
  </si>
  <si>
    <t>INT J ASTROBIOL</t>
  </si>
  <si>
    <t>Int. J. Astrobiol.</t>
  </si>
  <si>
    <t>PII S1473550422000325</t>
  </si>
  <si>
    <t>10.1017/S1473550422000325</t>
  </si>
  <si>
    <t>Astronomy &amp; Astrophysics; Biology; Geosciences, Multidisciplinary</t>
  </si>
  <si>
    <t>Astronomy &amp; Astrophysics; Life Sciences &amp; Biomedicine - Other Topics; Geology</t>
  </si>
  <si>
    <t>5E9OH</t>
  </si>
  <si>
    <t>WOS:000844871400001</t>
  </si>
  <si>
    <t>Johnston, DR; Rayment, W; Dawson, SM</t>
  </si>
  <si>
    <t>Johnston, David R.; Rayment, William; Dawson, Stephen M.</t>
  </si>
  <si>
    <t>Morphometrics and body condition of southern right whales on the calving grounds at Port Ross, Auckland Islands</t>
  </si>
  <si>
    <t>MAMMALIAN BIOLOGY</t>
  </si>
  <si>
    <t>Body condition; Eubalaena australis; Photogrammetry; Southern right whale; Unmanned aerial vehicles (UAV)</t>
  </si>
  <si>
    <t>EUBALAENA-AUSTRALIS; FIN WHALES; FAT CONDITION; SHAPE CHANGES; ATLANTIC FIN; MINKE WHALES; PHOTOGRAMMETRY; REPRODUCTION; GLACIALIS; GROWTH</t>
  </si>
  <si>
    <t>After near extirpation by nineteenth century whaling, New Zealand's southern right whales (Eubalaena australis) are recovering strongly, calving almost exclusively at the subantarctic Auckland Islands. Right whales are capital breeders; body condition is an important driver of their breeding success. Here we use unmanned aerial vehicles to characterise variation in individual size and shape, and to quantify the size structure of the subset of the population we sampled. Of 108 whales photographically identified we gained a comprehensive set of measurements from 63 individuals, as well as length measurements for 29 calves and six non-calf whales for which the full suite of measurements were not obtainable. Lactating females (n = 32) ranged in length from 11.84 to 15.22 m, apparent non-breeding adults (n = 9) were between 11.96 and 14.92 m, while subadults (n = 28) were between 8.82 and 11.72 m long. Calves were between 5.15 and 7.53 m. Principal component analysis of the measurement data showed that widths (particularly at the positions of 30-80% along total body length) were most influential in PC1 (40.3% variance explained). Measurements of structural features (i.e. head and flukes) related more closely to PC2 (18.2% variance explained) and PC3 (14.8% variance explained). We, therefore, interpret PC2 and PC3 as representing structural size, while PC1 represents body condition. Subadults and non-breeding adults showed more variation in body condition than lactating females, highlighting the need for this demographic to maintain their body condition within a tighter range to meet the high nutritional demands of raising calves.</t>
  </si>
  <si>
    <t>[Johnston, David R.; Rayment, William; Dawson, Stephen M.] Univ Otago, Dept Marine Sci, POB 56, Dunedin, New Zealand</t>
  </si>
  <si>
    <t>University of Otago</t>
  </si>
  <si>
    <t>Johnston, DR (corresponding author), Univ Otago, Dept Marine Sci, POB 56, Dunedin, New Zealand.</t>
  </si>
  <si>
    <t>johda957@student.otago.ac.nz</t>
  </si>
  <si>
    <t>New Zealand Antarctic Research Institute (NZARI); University of Otago; New Zealand Whale and Dolphin Trust (NZWDT)</t>
  </si>
  <si>
    <t>This research was principally funded by the New Zealand Antarctic Research Institute (NZARI), with additional support from the University of Otago and the New Zealand Whale and Dolphin Trust (NZWDT). It was carried out under permit 50094-MAR from the Department of Conservation New Zealand.</t>
  </si>
  <si>
    <t>1616-5047</t>
  </si>
  <si>
    <t>1618-1476</t>
  </si>
  <si>
    <t>MAMM BIOL</t>
  </si>
  <si>
    <t>Mamm. Biol.</t>
  </si>
  <si>
    <t>10.1007/s42991-021-00175-6</t>
  </si>
  <si>
    <t>G3MY4</t>
  </si>
  <si>
    <t>WOS:000844925400002</t>
  </si>
  <si>
    <t>van der Weijst, CMH; van der Laan, KJ; Peterse, F; Reichart, GJ; Sangiorgi, F; Schouten, S; Veenstra, TJT; Sluijs, A</t>
  </si>
  <si>
    <t>van der Weijst, Carolien M. H.; van der Laan, Koen J.; Peterse, Francien; Reichart, Gert-Jan; Sangiorgi, Francesca; Schouten, Stefan; Veenstra, Tjerk J. T.; Sluijs, Appy</t>
  </si>
  <si>
    <t>A 15-million-year surface- and subsurface-integrated TEX86 temperature record from the eastern equatorial Atlantic</t>
  </si>
  <si>
    <t>ISOPRENOID TETRAETHER LIPIDS; CORE-TOP CALIBRATION; WATER COLUMN; GDGT DISTRIBUTIONS; MEMBRANE-LIPIDS; SEDIMENTS; PLIOCENE; INDEX; CLIMATE; EOCENE</t>
  </si>
  <si>
    <t>TEX86 is a paleothermometer based on Thaumarcheotal glycerol dialkyl glycerol tetraether (GDGT) lipids and is one of the most frequently used proxies for sea-surface temperature (SST) in warmer-than-present climates. However, GDGTs are not exclusively produced in and exported from the mixed layer, so sedimentary GDGTs may contain a depth-integrated signal that is also sensitive to local subsurface temperature variability. In addition, the correlation between TEX86 and SST is not significantly stronger than that to depth-integrated mixed-layer to subsurface temperatures. The calibration of TEX86 to SST is therefore controversial. Here we assess the influence of subsurface temperature variability on TEX86 using a downcore approach. We present a 15 Myr TEX86 record from Ocean Drilling Program Site 959 in the Gulf of Guinea and use additional proxies to elucidate the source of the recorded TEX86 variability. Relatively high GDGT[2/3] ratio values from 13.6 Ma indicate that sedimentary GDGTs were partly sourced from deeper (&gt;200 m) waters. Moreover, late Pliocene TEX86 variability is highly sensitive to glacial-interglacial cyclicity, as is also recorded by benthic delta O-18, while the variability within dinoflagellate assemblages and surface/thermocline temperature records (U-37(k ') and Mg/Ca) is not primarily explained by glacial-interglacial cyclicity. Combined, these observations are best explained by TEX86 sensitivity to sub-thermocline temperature variability. We conclude that TEX86 represents a depth-integrated signal that incorporates a SST and a deeper component, which is compatible with the present-day depth distribution of Thaumarchaeota and with the GDGT[2/3] distribution in core tops. The depth-integrated TEX86 record can potentially be used to infer SST variability, because subsurface temperature variability is generally tightly linked to SST variability. Using a subsurface calibration with peak calibration weight between 100 and 350 m, we estimate that east equatorial Atlantic SST cooled by similar to 5 degrees C between the Late Miocene and Pleistocene. On shorter timescales, we use the TEX86 record as a proxy for South Atlantic Central Water (SACW), which originates from surface waters in the South Atlantic Gyre and mixes at depth with Antarctic Intermediate Water (AAIW). Leads and lags around the Pliocene M2 glacial (similar to 3.3 Ma) in our record, combined with published information, suggest that the M2 glacial was marked by SACW cooling during an austral summer insolation minimum and that decreasing CO2 levels were a feedback, not the initiator, of glacial expansion.</t>
  </si>
  <si>
    <t>[van der Weijst, Carolien M. H.; van der Laan, Koen J.; Peterse, Francien; Reichart, Gert-Jan; Sangiorgi, Francesca; Schouten, Stefan; Veenstra, Tjerk J. T.; Sluijs, Appy] Univ Utrecht, Dept Earth Sci, NL-3584 CB Utrecht, Netherlands; [Reichart, Gert-Jan; Schouten, Stefan] NIOZ Royal Netherlands Inst Sea Res, NL-1797 SZ Thorntje, Netherlands</t>
  </si>
  <si>
    <t>Utrecht University; Utrecht University; Royal Netherlands Institute for Sea Research (NIOZ)</t>
  </si>
  <si>
    <t>van der Weijst, CMH (corresponding author), Univ Utrecht, Dept Earth Sci, NL-3584 CB Utrecht, Netherlands.</t>
  </si>
  <si>
    <t>c.m.h.vanderweijst@uu.nl</t>
  </si>
  <si>
    <t>Reichart, Gert-Jan/N-6308-2018; Peterse, Francien/AAY-1473-2021; Sluijs, Appy/B-3726-2009</t>
  </si>
  <si>
    <t>Peterse, Francien/0000-0001-8781-2826; Sangiorgi, Francesca/0000-0003-4233-6154</t>
  </si>
  <si>
    <t>Ministry of Education, Culture and Science (OCW) [024.002.001]; European Research Council [771497]; European Research Council (ERC) [771497] Funding Source: European Research Council (ERC)</t>
  </si>
  <si>
    <t>Ministry of Education, Culture and Science (OCW)(Ministry of Education, Culture, Sports, Science and Technology, Japan (MEXT)); European Research Council(European Research Council (ERC)); European Research Council (ERC)(European Research Council (ERC)Spanish Government)</t>
  </si>
  <si>
    <t>This work was carried out under the program of the Netherlands Earth System Science Centre (NESSC), financially supported by the Ministry of Education, Culture and Science (OCW) (grant no. 024.002.001). Appy Sluijs was funded by the European Research Council under consolidator grant no. 771497.</t>
  </si>
  <si>
    <t>10.5194/cp-18-1947-2022</t>
  </si>
  <si>
    <t>3Z9AJ</t>
  </si>
  <si>
    <t>WOS:000844705800001</t>
  </si>
  <si>
    <t>Borras-Chavez, R; Goebel, ME; Villegas-Amtmann, S; Hückstädt, LA; Rivera-Rebella, C; Costa, DP; Fariña, JM; Bozinovic, F</t>
  </si>
  <si>
    <t>Borras-Chavez, Renato; Goebel, Michael E.; Villegas-Amtmann, Stella; Huckstadt, Luis A.; Rivera-Rebella, Carla; Costa, Daniel P.; Farina, Jose M.; Bozinovic, Francisco</t>
  </si>
  <si>
    <t>Time and behavioral adjustments to lactation: Insights from a marine predator</t>
  </si>
  <si>
    <t>Antarctic fur seal; Arctocephalus gazella; breeding; diving behavior; foraging ecology; lactation; otariids</t>
  </si>
  <si>
    <t>ANTARCTIC FUR SEALS; KRILL EUPHAUSIA-SUPERBA; CENTRAL-PLACE FORAGER; DIVING BEHAVIOR; ARCTOCEPHALUS-GAZELLA; PROVISIONING STRATEGIES; ENERGY ALLOCATION; SWIMMING SPEED; ENERGETICS; VARIABILITY</t>
  </si>
  <si>
    <t>The energetic costs of lactation have been studied in many marine mammals, but little is known about the behavioral adjustments needed to cope with this event. By simultaneously measuring foraging behavior of lactating and nonlactating Antarctic fur seal females, we estimate the behavioral changes necessary to cope with the constraints of lactation and include the first comparative record of dive behavior between lactating and nonlactating female otariids. Nonlactating females exhibited highly variable foraging trip durations and spent long times onshore between trips. In contrast, lactating females exhibited consistently shorter trips and spent half the time hauled-out compared to nonlactating females likely to maximize offspring provisioning. Lactating females show a reduced mean time per dive but greater percentage of time per trip spent diving compared to nonlactating animals. The reduction in time onshore and trip duration, together with modifications in dive performance suggests additional effort of lactating females to compensate for the constraints of rearing a pup, which has not been observed previously due to the lack of simultaneous comparison of lactating and nonlactating individuals. When possible, future studies of maternal investment should also include nonlactating individuals, since lactation may have a strong synergistic effect with other aspects shaping foraging behavior.</t>
  </si>
  <si>
    <t>[Borras-Chavez, Renato; Rivera-Rebella, Carla; Farina, Jose M.; Bozinovic, Francisco] Pontificia Univ Catolica Chile, Ctr Appl Ecol &amp; Sustainabil CAPES, Santiago, Chile; [Goebel, Michael E.; Villegas-Amtmann, Stella; Huckstadt, Luis A.; Costa, Daniel P.] Univ Calif Santa Cruz, Inst Marine Sci, Santa Cruz, CA 95064 USA; [Goebel, Michael E.] NOAA, Antarctic Ecosyst Res Div, SWFSC, NMFS, San Diego, CA USA; [Huckstadt, Luis A.] Univ Exeter, Ctr Ecol &amp; Conservat, Penryn, Cornwall, England</t>
  </si>
  <si>
    <t>Pontificia Universidad Catolica de Chile; University of California System; University of California Santa Cruz; National Oceanic Atmospheric Admin (NOAA) - USA; University of Exeter</t>
  </si>
  <si>
    <t>Borras-Chavez, R (corresponding author), Pontificia Univ Catolica Chile, CAPES, Dept Ecol, 340 Libertador Bernardo OHiggins Ave, Santiago 8331150, Chile.</t>
  </si>
  <si>
    <t>rborras@gmail.com</t>
  </si>
  <si>
    <t>Carlos, Universidade Federal de São/W-8832-2019; Huckstadt, Luis/JNR-7637-2023; Costa, Daniel Paul/E-2616-2013; Huckstadt, Luis/A-5838-2018</t>
  </si>
  <si>
    <t>Carlos, Universidade Federal de São/0000-0002-0334-3899; Rivera-Rebella, Carla/0000-0001-8163-3325; Goebel, Michael Edward/0000-0001-6664-8684; Borras-Chavez, Renato/0000-0002-6415-2121; Costa, Daniel Paul/0000-0002-0233-5782; Huckstadt, Luis/0000-0002-2453-7350</t>
  </si>
  <si>
    <t>Chilean Antarctic Institute (INACH) [DT-02-15]; National Agency for Research and Development (ANID) [ANID PIA/BASAL/FB0002, Doctorado Becas Chile/2013-21130059]; National Oceanic and Atmospheric Administration</t>
  </si>
  <si>
    <t>Chilean Antarctic Institute (INACH); National Agency for Research and Development (ANID); National Oceanic and Atmospheric Administration(National Oceanic Atmospheric Admin (NOAA) - USA)</t>
  </si>
  <si>
    <t>Chilean Antarctic Institute (INACH), Grant/Award Number: DT-02-15; National Agency for Research and Development (ANID), Grant/Award Numbers: ANID PIA/BASAL/FB0002, Doctorado Becas Chile/2013-21130059; National Oceanic and Atmospheric Administration, Grant/Award Number: US Antarctic Ecosystem Research Division</t>
  </si>
  <si>
    <t>10.1111/mms.12970</t>
  </si>
  <si>
    <t>7N0BB</t>
  </si>
  <si>
    <t>WOS:000844547300001</t>
  </si>
  <si>
    <t>Bergami, E; Apeland, B; Sharma, R; Enderlein, P; Manno, C</t>
  </si>
  <si>
    <t>Bergami, Elisa; Apeland, Bjorg; Sharma, Rad; Enderlein, Peter; Manno, Clara</t>
  </si>
  <si>
    <t>The Ocean Plastic Incubator Chamber (OPIC) system to monitor in situ plastic degradation at sea</t>
  </si>
  <si>
    <t>Plastic pollution; Polymers; Weathering; Aging; Deep sea; Ocean engineering</t>
  </si>
  <si>
    <t>DEEP-SEA; MARINE; LITTER; MICROPLASTICS; PARTICLES; INCREASE; NORTH</t>
  </si>
  <si>
    <t>Marine plastic pollution is a global and pervasive environmental issue. Knowledge on plastic degradation in natural settings is still very limited due to current technological limitations, hampering our understanding of plastic fate (including its breakdown into micro- and nanoplastics) and of its risk for marine ecosystems. Here we present the proof of concept of the Ocean Plastic Incubator Chamber (OPIC), a novel equipment to follow plastic degradation in situ at sea over time. OPIC consists of a frame containing a motorised rotating stage with transparent tubes sub-assemblies where reference plastic materials are incubated and exposed to natural weathering conditions for defined time multi-years period. OPIC has been designed, tested and adapted for deployment with mooring line platforms in the open ocean with potential future application in remote environments at different depths (from shallow waters to deep sea environments). This incubator will allow us to measure different markers of plastic aging in situ in the ocean for the first time, providing new insights into the multiple and locally driven dynamics regulating plastic transformations and fate at sea.</t>
  </si>
  <si>
    <t>[Bergami, Elisa; Apeland, Bjorg; Sharma, Rad; Enderlein, Peter; Manno, Clara] NERC, British Antarctic Survey, Cambridge CB3 0ET, England; [Bergami, Elisa] Univ Modena &amp; Reggio Emilia, Dept Life Sci, I-44121 Modena, Italy</t>
  </si>
  <si>
    <t>UK Research &amp; Innovation (UKRI); Natural Environment Research Council (NERC); NERC British Antarctic Survey; Universita di Modena e Reggio Emilia</t>
  </si>
  <si>
    <t>Manno, C (corresponding author), NERC, British Antarctic Survey, Cambridge CB3 0ET, England.</t>
  </si>
  <si>
    <t>clanno@bas.ac.uk</t>
  </si>
  <si>
    <t>Bergami, Elisa/JFJ-1703-2023</t>
  </si>
  <si>
    <t>Bergami, Elisa/0000-0001-8149-9584</t>
  </si>
  <si>
    <t>UKRI Future Leader Fellowship [MR/T020962/1]; FLF [MR/T020962/1] Funding Source: UKRI</t>
  </si>
  <si>
    <t>UKRI Future Leader Fellowship(UK Research &amp; Innovation (UKRI)); FLF</t>
  </si>
  <si>
    <t>This work was supported by the UKRI Future Leader Fellowship [Grant Ref: MR/T020962/1] .</t>
  </si>
  <si>
    <t>10.1016/j.envpol.2022.119868</t>
  </si>
  <si>
    <t>5V0KJ</t>
  </si>
  <si>
    <t>WOS:000876927000001</t>
  </si>
  <si>
    <t>Karmacharya, J; Shrestha, P; Han, SR; Park, H; Oh, TJ</t>
  </si>
  <si>
    <t>Karmacharya, Jayram; Shrestha, Prasansah; Han, So-Ra; Park, Hyun; Oh, Tae-Jin</t>
  </si>
  <si>
    <t>Complete Genome Sequencing of Polar Arthrobacter sp. PAMC25284, Copper Tolerance Potential Unraveled with Genomic Analysis</t>
  </si>
  <si>
    <t>INTERNATIONAL JOURNAL OF MICROBIOLOGY</t>
  </si>
  <si>
    <t>MULTICOPPER OXIDASE; MYCOBACTERIUM-TUBERCULOSIS; NITRITE REDUCTASE; BACILLUS-SUBTILIS; TRANSPORT; CUEO; TRANSLOCASE; RESISTANCE; SYSTEM; FERROXIDASE</t>
  </si>
  <si>
    <t>The genus Arthrobacter is a known group of Gram-positive, opportunistic pathogenic bacteria from cold climates, with members that are believed to play a variety of roles at low temperatures. However, their survival mechanisms in frigid environments like the Antarctic are still unknown. We identified a species of Arthrobacter isolated from seawater in the polar region using 16S rRNA sequence analysis. The strain PAMC25284 genome consists of a circular chromosome with a GC content of 65.6% and is projected to contain 3,588 genes, of which 3,150 are protein coding, 366 are pseudogenes, 19 are rRNA coding, and 50 are tRNA coding genes. Using comparative genomics, we showed that PMAC25284 has copper-transporting ATPases, copper chaperone, copper-responsive transcriptional regulator, and multi-copper oxidase domains, which are found in both Gram-positive (like Mycobacterium tuberculosis and Enterococcus hirae) and Gram-negative bacteria (like E. coli and Pseudomonas aeruginosa). The existence of 4 multi-copper oxidase genes, which supplied an additional copper defense mechanism, could be intriguing information regarding Gram-positive bacteria such as Arthrobacter sp. PAMC25284. In addition, our strain PAMC25284 has the same MmcO gene as M. tuberculosis, with a locus tag KY499_RS04055 similarity of 40.61%, which is the highest among the Gram-positive and Gram-negative bacteria studied for this gene. Our cold-adapted Arthrobacter sp. strain PAMC25564 was published previously but did not contain a multi-copper oxidase domain-containing gene, but strain PAMC25284 was studied in this study.</t>
  </si>
  <si>
    <t>[Karmacharya, Jayram; Shrestha, Prasansah; Han, So-Ra; Oh, Tae-Jin] SunMoon Univ, Grad Sch, Dept Life Sci &amp; Biochem Engn, Asan 31460, South Korea; [Park, Hyun] Korea Univ, Coll Life Sci &amp; Biotechnol, Div Biotechnol, Seoul 02841, South Korea; [Oh, Tae-Jin] Genome Based BioIT Convergence Inst, Asan 31460, South Korea; [Oh, Tae-Jin] SunMoon Univ, Dept Pharmaceut Engn &amp; Biotechnol, Asan 31460, South Korea</t>
  </si>
  <si>
    <t>Sun Moon University; Korea University; Sun Moon University</t>
  </si>
  <si>
    <t>Oh, TJ (corresponding author), SunMoon Univ, Grad Sch, Dept Life Sci &amp; Biochem Engn, Asan 31460, South Korea.;Oh, TJ (corresponding author), Genome Based BioIT Convergence Inst, Asan 31460, South Korea.;Oh, TJ (corresponding author), SunMoon Univ, Dept Pharmaceut Engn &amp; Biotechnol, Asan 31460, South Korea.</t>
  </si>
  <si>
    <t>jayram.karmacharya@gmail.com; praisehonour@gmail.com; 553sora@naver.com; hpark@korea.ac.kr; tjoh3782@sunmoon.ac.kr</t>
  </si>
  <si>
    <t>Park, Hyun Jin/HSG-6465-2023; Karmacharya, Jayram/GQB-2062-2022</t>
  </si>
  <si>
    <t>Park, Hyun Jin/0000-0002-2534-8519; Karmacharya, Jayram/0000-0002-7217-6545; Shrestha, Prasansah/0000-0002-7258-1380</t>
  </si>
  <si>
    <t>Ministry of Oceans and Fisheries, Korea [20200610, PM22030]</t>
  </si>
  <si>
    <t>Ministry of Oceans and Fisheries, Korea</t>
  </si>
  <si>
    <t>This research was part of the project titled Development of potential antibiotic compounds using polar organism resources (20200610, KOPRI Grant PM22030), funded by the Ministry of Oceans and Fisheries, Korea.</t>
  </si>
  <si>
    <t>1687-918X</t>
  </si>
  <si>
    <t>1687-9198</t>
  </si>
  <si>
    <t>INT J MICROBIOL</t>
  </si>
  <si>
    <t>Int. J. Microbiol.</t>
  </si>
  <si>
    <t>AUG 25</t>
  </si>
  <si>
    <t>10.1155/2022/1162938</t>
  </si>
  <si>
    <t>5O6EO</t>
  </si>
  <si>
    <t>WOS:000872564300001</t>
  </si>
  <si>
    <t>Morales-Quintana, L; Moya, M; Santelices-Moya, R; Cabrera-Ariza, A; Rabert, C; Pollmann, S; Ramos, P</t>
  </si>
  <si>
    <t>Morales-Quintana, Luis; Moya, Mario; Santelices-Moya, Romulo; Cabrera-Ariza, Antonio; Rabert, Claudia; Pollmann, Stephan; Ramos, Patricio</t>
  </si>
  <si>
    <t>Improvement in the physiological and biochemical performance of strawberries under drought stress through symbiosis with Antarctic fungal endophytes</t>
  </si>
  <si>
    <t>root fungal endophytes; drought; Antarctic microorganisms; functional symbiosis; strawberry</t>
  </si>
  <si>
    <t>ARBUSCULAR MYCORRHIZAL FUNGI; ABIOTIC STRESS; CHLOROPHYLL FLUORESCENCE; OXIDATIVE STRESS; WATER-STRESS; PROLINE; PLANTS; ACCUMULATION; INOCULATION; MECHANISMS</t>
  </si>
  <si>
    <t>Strawberry is one of the most widely consumed fruit, but this crop is highly susceptible to drought, a condition strongly associated with climate change, causing economic losses due to the lower product quality. In this context, plant root-associated fungi emerge as a new and novel strategy to improve crop performance under water-deficiency stress. This study aimed to investigate the supplementation of two Antarctic vascular plant-associated fungal endophytes, Penicillium brevicompactum and Penicillium chrysogenum, in strawberry plants to develop an efficient, effective, and ecologically sustainable approach for the improvement of plant performance under drought stress. The symbiotic association of fungal endophytes with strawberry roots resulted in a greater shoot and root biomass production, higher fruit number, and an enhanced plant survival rate under water-limiting conditions. Inoculation with fungal endophytes provokes higher photosynthetic efficiency, lower lipid peroxidation, a modulation in antioxidant enzymatic activity, and increased proline content in strawberry plants under drought stress. In conclusion, promoting beneficial symbiosis between plants and endophytes can be an eco-friendly strategy to cope with drought and help to mitigate the impact of diverse negative effects of climate change on crop production.</t>
  </si>
  <si>
    <t>[Morales-Quintana, Luis] Univ Autonoma Chile, Fac Ciencias Salud, Multidisciplinary Agroind Res Lab, Inst Ciencias Biomed, Talca, Chile; [Moya, Mario; Ramos, Patricio] Univ Catol Maule, Fac Ciencias Agr &amp; Forestales, Ctr Secano, Plant Microorganism Interact Lab, Talca, Chile; [Santelices-Moya, Romulo; Cabrera-Ariza, Antonio] Univ Catol Maule, Fac Ciencias Agr &amp; Forestales, Ctr Secano, Talca, Chile; [Cabrera-Ariza, Antonio; Ramos, Patricio] Univ Catol Maule, Ctr Invest Estudios Avanzados Maule, Vicerrectoria Invest &amp; Postgrad, Talca, Chile; [Rabert, Claudia] Univ Autonoma Chile, Fac Ciencias Salud, Inst Ciencias Biomed, Temuco, Chile; [Pollmann, Stephan] Univ Politecn Madrid, Ctr Biotecnol &amp; Genomica Plantas, Inst Nacl Invest &amp; Tecnol Agr &amp; Alimentaria, Pozuelo De Alarcon, Spain; [Ramos, Patricio] Univ Catol Maule, Fac Ciencias Agr &amp; Forestales, Ctr Biotecnol Recursos Nat, Talca, Chile</t>
  </si>
  <si>
    <t>Universidad Autonoma de Chile; Universidad Catolica del Maule; Universidad Catolica del Maule; Universidad Catolica del Maule; Universidad Autonoma de Chile; Universidad Politecnica de Madrid; Universidad Catolica del Maule</t>
  </si>
  <si>
    <t>Ramos, P (corresponding author), Univ Catol Maule, Fac Ciencias Agr &amp; Forestales, Ctr Secano, Plant Microorganism Interact Lab, Talca, Chile.;Ramos, P (corresponding author), Univ Catol Maule, Ctr Invest Estudios Avanzados Maule, Vicerrectoria Invest &amp; Postgrad, Talca, Chile.;Ramos, P (corresponding author), Univ Catol Maule, Fac Ciencias Agr &amp; Forestales, Ctr Biotecnol Recursos Nat, Talca, Chile.</t>
  </si>
  <si>
    <t>pramos@ucm.cl</t>
  </si>
  <si>
    <t>Pollmann, Stephan/ABC-8203-2020; Pollmann, Stephan/C-2776-2009; Ramos, Patricio/B-6665-2017</t>
  </si>
  <si>
    <t>Pollmann, Stephan/0000-0002-5111-4425; Ramos, Patricio/0000-0001-8341-314X</t>
  </si>
  <si>
    <t>Agencia Nacional de Investigacion y Desarrollo (ANID, Chile) [190093, 190078, 1211057, 1220782]</t>
  </si>
  <si>
    <t>Agencia Nacional de Investigacion y Desarrollo (ANID, Chile)</t>
  </si>
  <si>
    <t>The Agencia Nacional de Investigacion y Desarrollo (ANID, Chile) (grants REDES #190093 to LM-Q; REDES #190078 to PR; FONDECYT #1211057 to PR; and FONDECYT # 1220782 to LM-Q) supported the work. The funders had no role in the study design, data collection, and analysis, decision to publish, or preparation of the manuscript.</t>
  </si>
  <si>
    <t>10.3389/fmicb.2022.939955</t>
  </si>
  <si>
    <t>4S1LA</t>
  </si>
  <si>
    <t>WOS:000857210100001</t>
  </si>
  <si>
    <t>Damany-Pearce, L; Johnson, B; Wells, A; Osborne, M; Allan, J; Belcher, C; Jones, A; Haywood, J</t>
  </si>
  <si>
    <t>Damany-Pearce, Lilly; Johnson, Ben; Wells, Alice; Osborne, Martin; Allan, James; Belcher, Claire; Jones, Andy; Haywood, Jim</t>
  </si>
  <si>
    <t>Australian wildfires cause the largest stratospheric warming since Pinatubo and extends the lifetime of the Antarctic ozone hole</t>
  </si>
  <si>
    <t>AEROSOL OPTICAL DEPTH; EL-CHICHON; MOUNT-PINATUBO; LIDAR RATIOS; SMOKE; ERUPTION; ATLANTIC; IMPACT; AGUNG; DEPOLARIZATION</t>
  </si>
  <si>
    <t>Global mean lower stratosphere temperatures rose abruptly in January 2020 reaching values not experienced since the early 1990s. Anomalously high lower stratospheric temperatures were recorded for 4 months at highly statistically significant levels. Here, we use a combination of satellite and surface-based remote sensing observations to derive a time-series of stratospheric biomass burning aerosol optical depths originating from intense SouthEastern Australian wildfires and use these aerosol optical depths in a state-of-the-art climate model. We show that the S.E. Australian wildfires are the cause of this lower stratospheric warming. We also investigate the radiatively-driven dynamical response to the observed stratospheric ozone perturbation and find a significant strengthening of the springtime Antarctic polar vortex suggesting that biomass burning aerosols play a significant role in the observed anomalous longevity of the ozone hole in 2020.</t>
  </si>
  <si>
    <t>[Damany-Pearce, Lilly; Wells, Alice; Osborne, Martin; Belcher, Claire; Haywood, Jim] Univ Exeter, Exeter, Devon, England; [Johnson, Ben; Osborne, Martin; Jones, Andy; Haywood, Jim] Met Off, Hadley Ctr, Exeter, Devon, England; [Allan, James] Univ Manchester, Manchester, Lancs, England</t>
  </si>
  <si>
    <t>University of Exeter; Met Office - UK; Hadley Centre; University of Manchester</t>
  </si>
  <si>
    <t>Damany-Pearce, L (corresponding author), Univ Exeter, Exeter, Devon, England.</t>
  </si>
  <si>
    <t>l.r.s.damany-pearce@exeter.ac.uk</t>
  </si>
  <si>
    <t>Haywood, Jim/GQA-6691-2022; Allan, James/B-1160-2010; Johnson, Ben T/A-6563-2013</t>
  </si>
  <si>
    <t>Allan, James/0000-0001-6492-4876; Wells, Alice/0000-0003-4516-997X</t>
  </si>
  <si>
    <t>NERC [NE/W003880/1, NE/S00212X/1]; Met Office Hadley Centre Climate Programme - BEIS; UKRI Centre for Doctoral Training in Environmental Intelligence PhD studentship</t>
  </si>
  <si>
    <t>NERC(UK Research &amp; Innovation (UKRI)Natural Environment Research Council (NERC)); Met Office Hadley Centre Climate Programme - BEIS; UKRI Centre for Doctoral Training in Environmental Intelligence PhD studentship</t>
  </si>
  <si>
    <t>JH, LDP, JA and CB would like to acknowledge support from the NERC funded SASSO standard grant (NE/S00212X/1). JH would like to acknowledge support from the NERC funded EXTEND project (NE/W003880/1). BJ, JH and AJ were supported by the Met Office Hadley Centre Climate Programme funded by BEIS. AW was funded via a UKRI Centre for Doctoral Training in Environmental Intelligence PhD studentship hosted by the University of Exeter. Patric Seifert of The Leibniz Institute for Tropospheric Research (TROPOS) is acknowledged for making the AERONET measurements utilized in this study.</t>
  </si>
  <si>
    <t>10.1038/s41598-022-15794-3</t>
  </si>
  <si>
    <t>4C1HP</t>
  </si>
  <si>
    <t>WOS:000846214200030</t>
  </si>
  <si>
    <t>Jantawongsri, K; Norregaard, RD; Bach, L; Dietz, R; Sonne, C; Jorgensen, K; Lierhagen, S; Ciesielski, TM; Jenssen, BM; Waugh, CA; Eriksen, R; Nowak, B; Anderson, K</t>
  </si>
  <si>
    <t>Jantawongsri, Khattapan; Norregaard, Rasmus Dyrmose; Bach, Lis; Dietz, Rune; Sonne, Christian; Jorgensen, Kasper; Lierhagen, Syverin; Ciesielski, Tomasz Maciej; Jenssen, Bjorn Munro; Waugh, Courtney Alice; Eriksen, Ruth; Nowak, Barbara; Anderson, Kelli</t>
  </si>
  <si>
    <t>Effects of exposure to environmentally relevant concentrations of lead (Pb) on expression of stress and immune-related genes, and microRNAs in shorthorn sculpins (Myoxocephalus scorpius)</t>
  </si>
  <si>
    <t>Arctic lead-zinc mines; Dissolved Pb exposure; Gene expression; Greenland sculpin; Immune-related gene; Metal stress-related gene</t>
  </si>
  <si>
    <t>HEAT-SHOCK PROTEINS; OXIDATIVE STRESS; ZINC MINE; ANTIOXIDANT RESPONSES; MIRNA-155 EXPRESSION; SEBASTES-SCHLEGELII; METALLOTHIONEIN; FISH; SYSTEM; PARASITES</t>
  </si>
  <si>
    <t>Old lead-zinc (Pb-Zn) mining sites in Greenland have increased the environmental concentration of Pb in local marine organisms, including the shorthorn sculpin. Organ metal concentrations and histopathology have been used in environmental monitoring programs to evaluate metal exposure and subsequent effects in shorthorn sculpins. So far, no study has reported the impact of heavy metals on gene expression involved in metal-related stress and immune responses in sculpins. The aim of this study was to investigate the effect of exposure to environmentally relevant waterborne Pb (0.73 +/- 0.35 mu g/L) on hepatic gene expression of metallothionein (mt), immunoglobulin M (igm), and microRNAs (miRNAs; mir132 and mir155) associated with immune responses in the shorthorn sculpin compared to a control group. The mt and igm expression were upregulated in the Pb-exposed group compared to the control group. The transcripts of mir132 and mir155 were not different in sculpins between the Pb-exposed and control group; however, miRNA levels were significantly correlated with Pb liver concentrations. Furthermore, there was a positive correlation between liver Pb concentrations and igm, and a positive relationship between igm and mir155. The results indicate that exposure to Pb similar to those concentrations reported in in marine waters around Greenland Pb-Zn mine sites influences the mt and immune responses in shorthorn sculpins. This is the first study to identify candidate molecular markers in the shorthorn sculpins exposed to waterborne environmentally relevant Pb suggesting mt and igm as potential molecular markers of exposure to be applied in future assessments of the marine environment near Arctic mining sites.</t>
  </si>
  <si>
    <t>[Jantawongsri, Khattapan; Eriksen, Ruth; Nowak, Barbara; Anderson, Kelli] Univ Tasmania, Inst Marine &amp; Antarctic Studies IMAS, Launceston, Tas 7250, Australia; [Norregaard, Rasmus Dyrmose; Bach, Lis; Dietz, Rune; Sonne, Christian; Jenssen, Bjorn Munro; Nowak, Barbara] Aarhus Univ, Fac Tech Sci, Dept Ecosci, Frederiksborgvej 399,POB 358, DK-4000 Roskilde, Denmark; [Norregaard, Rasmus Dyrmose; Bach, Lis; Dietz, Rune; Sonne, Christian; Jenssen, Bjorn Munro; Nowak, Barbara] Aarhus Univ, Fac Tech Sci, Arctic Res Ctr ARC, Frederiksborgvej 399,POB 358, DK-4000 Roskilde, Denmark; [Jorgensen, Kasper] Natl Aquarium Denmark, Bla Planet, Jacob Fortlingsvej 1, DK-2770 Copenhagen, Denmark; [Lierhagen, Syverin] Norwegian Univ Sci &amp; Technol, Dept Chem, NO-7491 Trondheim, Norway; [Ciesielski, Tomasz Maciej; Jenssen, Bjorn Munro; Waugh, Courtney Alice] Norwegian Univ Sci &amp; Technol, Dept Biol, Hogskoleringen 5, NO-7491 Trondheim, Norway; [Jenssen, Bjorn Munro] Univ Ctr Svalbard, Dept Arctic Technol, POB 156, NO-9171 Longyearbyen, Svalbard, Norway; [Waugh, Courtney Alice] Nord Univ, Fac Biosci &amp; Aquaculture, NO-7729 Steinkjer, Norway; [Eriksen, Ruth] CSIRO Oceans &amp; Atmosphere, Hobart, Tas 7004, Australia</t>
  </si>
  <si>
    <t>University of Tasmania; Aarhus University; Aarhus University; Norwegian University of Science &amp; Technology (NTNU); Norwegian University of Science &amp; Technology (NTNU); University Centre Svalbard (UNIS); Nord University; Commonwealth Scientific &amp; Industrial Research Organisation (CSIRO)</t>
  </si>
  <si>
    <t>Jantawongsri, K (corresponding author), Univ Tasmania, Inst Marine &amp; Antarctic Studies IMAS, Launceston, Tas 7250, Australia.</t>
  </si>
  <si>
    <t>khattapan.jantawongsri@utas.edu.au</t>
  </si>
  <si>
    <t>Jenssen, Bjorn M/J-4830-2012; Sonne, Christian/I-7532-2013; Ciesielski, Tomasz/J-9039-2012; Eriksen, Ruth/J-7760-2014; Bach, Lis/J-6567-2013</t>
  </si>
  <si>
    <t>Sonne, Christian/0000-0001-5723-5263; Eriksen, Ruth/0000-0002-5184-2465; Waugh, Courtney/0000-0001-5234-4137; Jantawongsri, Khattapan/0000-0003-1738-8091; Bach, Lis/0000-0003-2891-4202</t>
  </si>
  <si>
    <t>Greenland Research Council; Torben og Alice Frimodts Fond; Environmental Agency for Mineral Resource Activities [771020]; Government of Greenland; Ministry of Environment and Food of Denmark; CAUL and Member Institutions; The IMAS Student Research Support Scheme 2019</t>
  </si>
  <si>
    <t>Greenland Research Council; Torben og Alice Frimodts Fond; Environmental Agency for Mineral Resource Activities; Government of Greenland; Ministry of Environment and Food of Denmark; CAUL and Member Institutions; The IMAS Student Research Support Scheme 2019</t>
  </si>
  <si>
    <t>KJ receives a PhD stipend from Development and Promotion of Science and Technology Talents Project (DPST). The IMAS Student Research Support Scheme 2019 provided support for KJ's laboratory work (gene expression analysis) through the University of Tasmania. Authors also acknowledge funding support from the Greenland Research Council, Torben og Alice Frimodts Fond, The Environmental Agency for Mineral Resource Activities (project 771020), Government of Greenland and The Ministry of Environment and Food of Denmark (RDN). Open Access funding enabled and organized by CAUL and its Member Institutions.</t>
  </si>
  <si>
    <t>10.1007/s10646-022-02575-x</t>
  </si>
  <si>
    <t>4L1QO</t>
  </si>
  <si>
    <t>WOS:000844505000001</t>
  </si>
  <si>
    <t>Cheung, WWL; Wei, CL; Levin, LA</t>
  </si>
  <si>
    <t>Cheung, William W. L.; Wei, Chih-Lin; Levin, Lisa A.</t>
  </si>
  <si>
    <t>Vulnerability of exploited deep-sea demersal species to ocean warming, deoxygenation, and acidification</t>
  </si>
  <si>
    <t>ENVIRONMENTAL BIOLOGY OF FISHES</t>
  </si>
  <si>
    <t>Deep sea; Vulnerability; Climate change; Fisheries; Multi-stressors; Adaptation</t>
  </si>
  <si>
    <t>CLIMATE-CHANGE; FUZZY-LOGIC; BIODIVERSITY; FISHERIES; SYSTEM; PROJECTIONS; ATLANTIC; MODELS</t>
  </si>
  <si>
    <t>Vulnerability of marine species to climate change (including ocean acidification, deoxygenation, and associated changes in food supply) depends on species' ecological and biological characteristics. Most existing assessments focus on coastal species but systematic analysis of climate vulnerability for the deep sea is lacking. Here, we combine a fuzzy logic expert system with species biogeographical data to assess the risks of climate impacts to the population viability of 32 species of exploited demersal deep-sea species across the global ocean. Climatic hazards are projected to emerge from historical variabilities in all the recorded habitats of the studied species by the mid-twenty-first century. Species that are both at very high risk of climate impacts and highly vulnerable to fishing include Antarctic toothfish (Dissostichus mawsoni), rose fish (Sebastes norvegicus), roughhead grenadier (Macrourus berglax), Baird's slickhead (Alepocephalus bairdii), cusk (Brosme brosme), and Portuguese dogfish (Centroscymnus coelepis). Most exploited deep-sea fishes are likely to be at higher risk of local, or even global, extinction than previously assessed because of their high vulnerability to both climate change and fishing. Spatially, a high concentration of deep-sea species that are climate vulnerable is predicted in the northern Atlantic Ocean and the Indo-Pacific region. Aligning carbon mitigation with improved fisheries management offers opportunities for overall risk reduction in the coming decades. Regional fisheries management organizations (RFMOs) have an obligation to incorporate climate change in their deliberations. In addition, deep-sea areas that are not currently managed by RFMOs should be included in existing or new international governance institutions or arrangements.</t>
  </si>
  <si>
    <t>[Cheung, William W. L.] Univ British Columbia, Inst Oceans &amp; Fisheries, Vancouver, BC V6T 1Z4, Canada; [Wei, Chih-Lin] Natl Taiwan Univ, Inst Oceanog, Taipei, Taiwan; [Levin, Lisa A.] Univ Calif San Diego, Ctr Marine Biodivers &amp; Conservat, Scripps Inst Oceanog, La Jolla, CA 92093 USA</t>
  </si>
  <si>
    <t>University of British Columbia; National Taiwan University; University of California System; University of California San Diego; Scripps Institution of Oceanography</t>
  </si>
  <si>
    <t>Cheung, WWL (corresponding author), Univ British Columbia, Inst Oceans &amp; Fisheries, Vancouver, BC V6T 1Z4, Canada.</t>
  </si>
  <si>
    <t>w.cheung@oceans.ubc.ca</t>
  </si>
  <si>
    <t>Cheung, William/F-5104-2013</t>
  </si>
  <si>
    <t>Cheung, William/0000-0001-9998-0384</t>
  </si>
  <si>
    <t>Natural Sciences and Engineering Research Council of Canada; National Science Foundation [OCE1829623]; Ministry of Science and Technology, Taiwan [MOST 110-2611-M-002-017]; FAO/UNEP Project: Sustainable Fisheries Management and Biodiversity Conservation of Deep-sea Living Marine Resources and Ecosystems in the Areas Beyond National Jurisdiction; E.W.R. Steacie Memorial Fellowship</t>
  </si>
  <si>
    <t>Natural Sciences and Engineering Research Council of Canada(Natural Sciences and Engineering Research Council of Canada (NSERC)CGIAR); National Science Foundation(National Science Foundation (NSF)); Ministry of Science and Technology, Taiwan(Ministry of Science and Technology, Taiwan); FAO/UNEP Project: Sustainable Fisheries Management and Biodiversity Conservation of Deep-sea Living Marine Resources and Ecosystems in the Areas Beyond National Jurisdiction; E.W.R. Steacie Memorial Fellowship(Natural Sciences and Engineering Research Council of Canada (NSERC))</t>
  </si>
  <si>
    <t>William W. L. Cheung received funding support from Natural Sciences and Engineering Research Council of Canada (Discovery Grant) and the E.W.R. Steacie Memorial Fellowship. Lisa A. Levin was funded by National Science Foundation (OCE1829623). Ministry of Science and Technology, Taiwan, MOST 110-2611-M-002-017 funded Chih-Lin Wei. This study was supported by the FAO/UNEP Project: Sustainable Fisheries Management and Biodiversity Conservation of Deep-sea Living Marine Resources and Ecosystems in the Areas Beyond National Jurisdiction.</t>
  </si>
  <si>
    <t>0378-1909</t>
  </si>
  <si>
    <t>1573-5133</t>
  </si>
  <si>
    <t>ENVIRON BIOL FISH</t>
  </si>
  <si>
    <t>Environ. Biol. Fishes</t>
  </si>
  <si>
    <t>10.1007/s10641-022-01321-w</t>
  </si>
  <si>
    <t>5N0CA</t>
  </si>
  <si>
    <t>WOS:000844493400001</t>
  </si>
  <si>
    <t>Quezada-Rodriguez, PR; Taylor, RS; Downes, J; Egan, F; White, S; Brenan, A; Rigby, M; Nowak, BF; Ruane, NM; Wynne, JW</t>
  </si>
  <si>
    <t>Quezada-Rodriguez, Petra R.; Taylor, Richard S.; Downes, Jamie; Egan, Fintan; White, Samantha; Brenan, Aisling; Rigby, Megan; Nowak, Barbara F.; Ruane, Neil M.; Wynne, James W.</t>
  </si>
  <si>
    <t>Prevalence of epitheliocystis in freshwater Atlantic salmon reared in flow-through and recirculation aquaculture systems</t>
  </si>
  <si>
    <t>Candidatus Clavichlamydia salmonicola; genetic lines; recirculation aquaculture systems; Salmo salar</t>
  </si>
  <si>
    <t>CANDIDATUS-CLAVOCHLAMYDIA-SALMONICOLA; RAINBOW-TROUT; SALAR L.; PATHOGEN; RESISTANT; INSIGHT</t>
  </si>
  <si>
    <t>Epitheliocystis, an intracellular bacterial infection in the gills and skin epithelium, has been frequently reported in Atlantic salmon (Salmo salar) during freshwater production in a number of countries. This study describes the prevalence and intensity of a natural epitheliocystis infection present in the gills of two strains of Atlantic salmon reared in either a flow-through (FT) or a recirculation aquaculture system (RAS) in Ireland. Repeated sampling of gills prior to and throughout seawater transfer, histology and quantitative real-time PCR were used to determine infection prevalence and intensity. Despite no clinical gill disease, and minor histopathological changes, epitheliocystis lesions were identified in histology at all time points. Specific PCR confirmed the presence of Candidatus Clavichlamydia salmonicola in both strains and its number of copies was correlated with intensity of epitheliocystis lesions. A significant interaction between hatchery system and fish strain on the prevalence and intensity of gill epitheliocystis was found both using histological and molecular methods. Specifically, fish from FT had higher prevalence and intensity than RAS reared fish and within FT, the Irish cohort were more affected than Icelandic.</t>
  </si>
  <si>
    <t>[Quezada-Rodriguez, Petra R.; Taylor, Richard S.; Rigby, Megan; Wynne, James W.] Commonwealth Sci &amp; Ind Res Org, Livestock &amp; Aquaculture, Agr &amp; Food, Hobart, Tas, Australia; [Quezada-Rodriguez, Petra R.; Nowak, Barbara F.] Univ Tasmania, Inst Marine &amp; Antarctic Studies, Launceston, Tas, Australia; [Downes, Jamie; Egan, Fintan; White, Samantha; Brenan, Aisling; Ruane, Neil M.] Marine Inst, Oranmore, Ireland</t>
  </si>
  <si>
    <t>Commonwealth Scientific &amp; Industrial Research Organisation (CSIRO); University of Tasmania; Marine Institute Ireland</t>
  </si>
  <si>
    <t>Quezada-Rodriguez, PR (corresponding author), Commonwealth Sci &amp; Ind Res Org, Livestock &amp; Aquaculture, Agr &amp; Food, Hobart, Tas, Australia.</t>
  </si>
  <si>
    <t>petra.quezada@utas.edu.au</t>
  </si>
  <si>
    <t>Rigby, Megan L/JPL-3059-2023; Nowak, Barbara/J-7261-2014; Wynne, James W/H-7957-2013; Taylor, Richard S/E-9961-2012; Taylor, Richard S./T-7996-2019; Quezada-Rodriguez, Petra/O-7965-2018</t>
  </si>
  <si>
    <t>Rigby, Megan L/0000-0002-6268-0414; Wynne, James W/0000-0001-6846-757X; Taylor, Richard S./0000-0003-0312-7317; Quezada-Rodriguez, Petra/0000-0003-3061-4428; Ruane, Neil/0000-0002-2001-9652</t>
  </si>
  <si>
    <t>Australian Society for Parasitology; Fisheries Society of the British Isles; SalmsonSmolt [17/KG/009]</t>
  </si>
  <si>
    <t>Australian Society for Parasitology; Fisheries Society of the British Isles; SalmsonSmolt</t>
  </si>
  <si>
    <t>Australian Society for Parasitology; Fisheries Society of the British Isles; SalmsonSmolt (17/KG/009)</t>
  </si>
  <si>
    <t>10.1111/jfd.13694</t>
  </si>
  <si>
    <t>5F2QM</t>
  </si>
  <si>
    <t>WOS:000844446700001</t>
  </si>
  <si>
    <t>Young, MJ; Seddon, PJ; Pütz, K; Agnew, P; Mattern, T; Hickcox, RP; Robertson, BC; van Heezik, Y</t>
  </si>
  <si>
    <t>Young, Melanie J.; Seddon, Philip J.; Puetz, Klemens; Agnew, Philippa; Mattern, Thomas; Hickcox, Rachel P.; Robertson, Bruce C.; van Heezik, Yolanda</t>
  </si>
  <si>
    <t>Conservation implications for post-fledging dispersal of yellow-eyed penguins/hoiho</t>
  </si>
  <si>
    <t>Megadyptes antipodes; Juvenile dispersal; Juvenile survival; Habitat use; Seabird tracking; Bycatch; Penguin</t>
  </si>
  <si>
    <t>MARINE PROTECTED AREAS; MEGADYPTES-ANTIPODES; SMOOTHING PARAMETER; PYGOSCELIS-ADELIAE; FORAGING HABITAT; DISTRIBUTIONS; MANAGEMENT; MIGRATION; ACCURACY; REVEALS</t>
  </si>
  <si>
    <t>With the extinction of yellow-eyed penguins Megadyptes antipodes on mainland New Zealand predicted within the next few decades, identifying preventable causes of mortality during the juvenile dispersal period is critical. Between 2017 and 2019, we tracked 30 juvenile yellow-eyed penguins during their post-fledging dispersal to determine their dispersal trajectory, marine habitat use, and to identify overlap with commercial gillnet fishing operations, a known cause of yellow-eyed penguin mortality. Using k-nearest neighbour local convex hulls, we identified core foraging hotspots (50% isopleths) and main marine habitats (95% isopleths). We identified environmental covariates that influenced penguin habitat use during separate stages of the dispersal journey. After fledging, juvenile yellow-eyed penguins from the Otago coast dispersed and foraged 140 to 692 km (mean +/- SD = 359.9 +/- 129.3 km) from their natal locations, north-northeast into the Canterbury Bight, a region where penguin bycatch in commercial gillnet fishing operations has been recorded. There was a 51.6% overlap between core juvenile foraging hotspots and known commercial gillnet fishery locations (from 2017 to 2019). Less than 12.6% of the core foraging hotspots occurred within the 4 nautical mile gillnet prohibition zone implemented in 2008. A recent extension in the size of the gillnet prohibition zone in 2020 increased this spatial overlap to cover 36.9% of core foraging hotspots and 28.9% of main marine habitats. These findings highlight the vulnerability of juvenile yellow-eyed penguins at this critical life-stage, but there is opportunity to amalgamate marine protection measures with other endangered species with overlapping distributions that are also at risk of gillnet-related mortality.</t>
  </si>
  <si>
    <t>[Young, Melanie J.; Seddon, Philip J.; Mattern, Thomas; Hickcox, Rachel P.; Robertson, Bruce C.; van Heezik, Yolanda] Univ Otago, Dept Zool, Dunedin 9054, New Zealand; [Puetz, Klemens] Antarctic Res Trust, Oste Hamme Kanal 10, D-27432 Bremervorde, Germany; [Agnew, Philippa] Oamaru Blue Penguin Colony, Waterfront Rd, Oamaru 9400, New Zealand; [Mattern, Thomas] Global Penguin Soc, Marcos Zar 2716, RA-9120 Puerto Madryn, Chubut, Argentina</t>
  </si>
  <si>
    <t>van Heezik, Y (corresponding author), Univ Otago, Dept Zool, Dunedin 9054, New Zealand.</t>
  </si>
  <si>
    <t>yolanda.vanheezik@otago.ac.nz</t>
  </si>
  <si>
    <t>Seddon, Philip/G-8659-2011</t>
  </si>
  <si>
    <t>Seddon, Philip/0000-0001-9076-9566</t>
  </si>
  <si>
    <t>Antarctic Research Trust [POP2016-05, 48/16]; Birds New Zealand; Conservation Services Programme, Department of Conservation; South Otago and Southland Branches of Forest - University of Otago Postgraduate Scholarship</t>
  </si>
  <si>
    <t>Antarctic Research Trust; Birds New Zealand; Conservation Services Programme, Department of Conservation; South Otago and Southland Branches of Forest - University of Otago Postgraduate Scholarship</t>
  </si>
  <si>
    <t>In undertaking this research on hoiho, the authors acknowledge the kaitiakitanga of Kai Tahu Papatipu Runaka. This research was undertaken in collaboration with DOC's Conservation Services Programme (Contract POP2016-05, 2017-2018), and under DOC Wildlife Act authority (permit FAU-50925, 2019), with AEC approval issued by the University of Otago (48/16). Satellite tags and CLS Argos service fees were financed by the Antarctic Research Trust, Birds New Zealand, Oamaru Blue Penguin Colony and China Travel Services, Conservation Services Programme, Department of Conservation, Save the Otago Peninsula Inc. Soc., South Otago and Southland Branches of Forest and Bird, Mike Hazel and Hildegard Lubcke. Fieldwork travel was facilitated by a grant from Pohatu Penguins. Kind thanks to Dr. Matt Pinkerton (NIWA) for supplying fine-scale habitat data. Gillnet start locations were provided by Clara Schlieman and John Moriarty (FNZ). Gillnet prohibition data were supplied by Riki Mules (MPI). We are incredibly grateful to Bryony Alden (University of Otago) for field assistance, and to Igor Debski, Kris Ramm, Katie Clemens-Seely and Freya Hjorvarsdottir (DOC) for their support of the project. M.J.Y. was funded by a University of Otago Postgraduate Scholarship.</t>
  </si>
  <si>
    <t>10.3354/meps14124</t>
  </si>
  <si>
    <t>O2NX8</t>
  </si>
  <si>
    <t>WOS:001042250200012</t>
  </si>
  <si>
    <t>de Lima, RC; Cebuhar, JD; Negrete, J; Ferreira, A; Secchi, ER; Botta, S</t>
  </si>
  <si>
    <t>de Lima, Renan C.; Cebuhar, Julieta D.; Negrete, Javier; Ferreira, Afonso; Secchi, Eduardo R.; Botta, Silvina</t>
  </si>
  <si>
    <t>Ecosystem shifts inferred from long-term stable isotope analysis of male Antarctic fur seal Arctocephalus gazella teeth</t>
  </si>
  <si>
    <t>Climate change; Southern Ocean; Antarctic krill; Antarctic food webs; Ecological time series</t>
  </si>
  <si>
    <t>SOUTH ORKNEY ISLANDS; CLIMATE-CHANGE; HARMONY-POINT; DIET; PENINSULA; KRILL; PHYTOPLANKTON; VARIABILITY; GROWTH; BRANSFIELD</t>
  </si>
  <si>
    <t>The Atlantic sector of the Southern Ocean has been rapidly changing over the last century. Many of those changes are driven by climate anomalies such as the El Nino-Southern Oscillation and the Southern Annular Mode, which affect biological processes that scale up the food web. We used delta C-13 and delta N-15 time series of dentine growth layer groups (as a proxy of individual foraging history from multiple years, n = 41 teeth) to assess temporal shifts in foraging habits of subadult/adult male Antarctic fur seals Arctocephalus gazella (AFSs) in 2 areas of high concentration of Antarctic krill Euphausia superba: the South Shetland Islands and the South Orkney Islands. Our analyses, which represent the first long-term isotopic assessment of male AFS sampled in Antarctic waters, revealed a significant decrease of delta C-13 (0.04% yr(-1)) from 1974 to 2015 and a decrease of delta N-15 after the late 1990s. The observed changes are likely driven by shifts in latitudinal and longitudinal distribution of krill and increased incorporation of N-15-enriched sources (higher trophic level prey and/or feeding in different areas) in the most recent period for reasons that are not yet clear. We were able to trace ecosystem changes through isotopic bio-archives of Antarctic fur seals, highlighting the role of this species as an ecosystem indicator of the trophic cascade effects caused by climate change in the Southern Ocean.</t>
  </si>
  <si>
    <t>[de Lima, Renan C.; Cebuhar, Julieta D.] Univ Fed Rio Grande, Inst Oceanog, Labo Ecol &amp; Conservacao Megafauna Marinha, BR-96203900 Rio Grande, Brazil; [de Lima, Renan C.; Cebuhar, Julieta D.; Secchi, Eduardo R.; Botta, Silvina] Univ Fed Rio Grande, Inst Oceanog, Programa Posgrad Oceanog Biol, BR-96203900 Rio Grande, Brazil; [Negrete, Javier] Inst Antartico Argentino, Lab Predadores Tope, B1650HML, Buenos Aires, DF, Argentina; [Negrete, Javier] Univ Nacl La Plata, Fac Ciencias Nat &amp; Museo, B1900, La Plata, Argentina; [Ferreira, Afonso] Univ Lisbon, MARE Marine &amp; Environm Sci Ctr, Facu Ciencias, P-1749016 Lisbon, Portugal; [Ferreira, Afonso] Univ Fed Rio Grande, Inst Oceanog, Lab Fitoplancton &amp; Microorganismos Marinhos, BR-96203900 Rio Grande, Brazil</t>
  </si>
  <si>
    <t>Universidade Federal do Rio Grande; Universidade Federal do Rio Grande; Instituto Antartico Argentino; National University of La Plata; Museo La Plata; Universidade de Lisboa; Universidade Federal do Rio Grande</t>
  </si>
  <si>
    <t>de Lima, RC (corresponding author), Univ Fed Rio Grande, Inst Oceanog, Labo Ecol &amp; Conservacao Megafauna Marinha, BR-96203900 Rio Grande, Brazil.;de Lima, RC (corresponding author), Univ Fed Rio Grande, Inst Oceanog, Programa Posgrad Oceanog Biol, BR-96203900 Rio Grande, Brazil.</t>
  </si>
  <si>
    <t>renancdl@gmail.com</t>
  </si>
  <si>
    <t>Lima, Renan/ISS-9775-2023; Ferreira, Afonso/Y-3832-2018</t>
  </si>
  <si>
    <t>Lima, Renan/0000-0002-9311-7085; Ferreira, Afonso/0000-0002-2670-8125</t>
  </si>
  <si>
    <t>Finep-CT-INFRA; CAPES-Pro-Equipamentos [MCTI-CNPq-SisNano2.0]; National Council for Scientific and Technological Development (Projeto EcoPelagos/PROANTAR -CNPq -Brazil) [331526.1/07.6]; Edital Universal (CNPq) [425890/2018-0]; E.R.S. CNPq [PQ 310597/2018-8, PQ 315365/2020-0, GD 140907/2018-1, SFRH/BD/144586/2019, UIDB/04292/2020]; Fundacao para a Ciencia e a Tecnologia (FCT); Coordination for the Improvement of Higher Education Personnel (CAPES); framed within the College on Polar and Extreme Environments (Polar2E) of the University of Lisbon</t>
  </si>
  <si>
    <t>Finep-CT-INFRA(Financiadora de Inovacao e Pesquisa (Finep)); CAPES-Pro-Equipamentos; National Council for Scientific and Technological Development (Projeto EcoPelagos/PROANTAR -CNPq -Brazil); Edital Universal (CNPq)(Conselho Nacional de Desenvolvimento Cientifico e Tecnologico (CNPQ)); E.R.S. CNPq(Fundacao de Apoio a Pesquisa do Distrito Federal (FAPDF)); Fundacao para a Ciencia e a Tecnologia (FCT)(Fundacao para a Ciencia e a Tecnologia (FCT)); Coordination for the Improvement of Higher Education Personnel (CAPES)(Coordenacao de Aperfeicoamento de Pessoal de Nivel Superior (CAPES)); framed within the College on Polar and Extreme Environments (Polar2E) of the University of Lisbon</t>
  </si>
  <si>
    <t>We are grateful to all researchers and personnel who participated in sample collection at the Orcadas and Carlini research stations in Antarctica and to Aldo Corbalan for curation of skulls and the Centro Integrado de Analises -CIA-FURG (funded by Finep-CT-INFRA, CAPES-Pro-Equipamentos, and MCTI-CNPq-SisNano2.0) for the analysis performed. We are also grateful to E. Seyboth for logistic assistance during sample selection in Argentina; A. Mesquita for assisting with SST data extraction; and L. R. de Oliveira for assisting with sex confirmation of individuals sampled. A. M. Garcia, C. R. B. Mendes, S. J. Bury and 2 anonymous reviewers made helpful comments on this manuscript. Financial support was provided by the Instituto Antartico Argentino, Direccion Nacional del Antartico, National Council for Scientific and Technological Development (Projeto EcoPelagos/PROANTAR -CNPq -Brazil, Grant no. 331526.1/07.6) and Edital Universal (CNPq grant no. 425890/2018-0). This article is part of the PhD dissertation of R.C.d.L. at the Universidade Federal do Rio Grande under the supervision of S.B. and E.R.S. CNPq provided research fellowships to E.R.S. (PQ 310597/2018-8) and S.B. (PQ 315365/2020-0), and a doctoral fellowship to R.C.d.L. (GD 140907/2018-1). A.F. received a PhD grant (SFRH/BD/144586/2019) and support (UIDB/04292/2020) from the Fundacao para a Ciencia e a Tecnologia (FCT). The Coordination for the Improvement of Higher Education Personnel (CAPES) provided access to scientific publications through the 'Portal de Periodicos'. This study is a contribution of the Ecologia e Conservacao da Megafauna Marinha (ECOMEGA/CNPq) and Grupo de Oceanografia de Altas Latitudes (GOAL/CNPq). This research is also framed within the College on Polar and Extreme Environments (Polar2E) of the University of Lisbon.</t>
  </si>
  <si>
    <t>10.3354/meps14112</t>
  </si>
  <si>
    <t>WOS:001042250200014</t>
  </si>
  <si>
    <t>Cox, MJ; Macaulay, G; Brasier, MJ; Burns, A; Johnson, OJ; King, R; Maschette, D; Melvin, J; Smith, AJR; Weldrick, CK; Wotherspoon, S; Kawaguchi, S</t>
  </si>
  <si>
    <t>Cox, Martin J.; Macaulay, Gavin; Brasier, Madeleine J.; Burns, Alicia; Johnson, Olivia J.; King, Rob; Maschette, Dale; Melvin, Jessica; Smith, Abigail J. R.; Weldrick, Christine K.; Wotherspoon, Simon; Kawaguchi, So</t>
  </si>
  <si>
    <t>Two scales of distribution and biomass of Antarctic krill (Euphausia superba) in the eastern sector of the CCAMLR Division 58.4.2 (55°E to 80°E)</t>
  </si>
  <si>
    <t>TARGET-STRENGTH MODEL; ABUNDANCE; OCEAN; GROWTH; FISH; SEA</t>
  </si>
  <si>
    <t>Regular monitoring is an important component of the successful management of pelagic animals of interest to commercial fisheries. Here we provide a biomass estimate for Antarctic krill (Euphausia superba) in the eastern sector of the Commission for the Conservation of Antarctic Marine Living Resources (CCAMLR) Division 58.4.2 (55 degrees E to 80 degrees E; area = 775,732 km(2)) using data collected during an acoustic-trawl survey carried out in February and March 2021. Using acoustic data collected in day-time and trawl data, areal biomass density was estimated as 8.3 gm(-2) giving a total areal krill biomass of 6.48 million tonnes, with a 28.9% coefficient of variation (CV). The inaccessibility of the East Antarctic makes fisheries-independent surveys of Antarctic krill expensive and time consuming, so we also assessed the efficacy of extrapolating smaller surveys to a wider area. During the large-scale survey a smaller scale survey (centre coordinates -66.28 degrees S 63.35 degrees E, area = 4,902 km(2)) was conducted. We examine how representative krill densities from the small-scale (Mawson box) survey were over a latitudinal range by comparing krill densities from the large-scale survey split into latitudinal bands. We found the small scale survey provided a good representation of the statistical distribution of krill densities within its latitudinal band (KS-test, D = 0.048, p-value = 0.98), as well as mean density (t-test p-value = 0.44), but not outside of the band. We recommend further in situ testing of this approach.</t>
  </si>
  <si>
    <t>[Cox, Martin J.; King, Rob; Maschette, Dale; Smith, Abigail J. R.; Wotherspoon, Simon; Kawaguchi, So] Australian Antarctic Div, Kingston, Tas, Australia; [Cox, Martin J.; Macaulay, Gavin; King, Rob; Maschette, Dale; Melvin, Jessica; Smith, Abigail J. R.; Weldrick, Christine K.; Kawaguchi, So] Univ Tasmania, Inst Marine &amp; Antarctic Studies, Australian Antarctic Program Partnership, Hobart, Tas, Australia; [Macaulay, Gavin] Aqualyd Ltd, Wakefield, New Zealand; [Brasier, Madeleine J.; Johnson, Olivia J.; Melvin, Jessica] Univ Tasmania, Inst Marine &amp; Antarctic Studies, Hobart, Tas, Australia; [Burns, Alicia] Univ Sydney, Sch Life &amp; Environm Sci, Sydney, NSW, Australia; [Burns, Alicia] Taronga Conservat Soc Australia, Taronga Inst Sci &amp; Learning, Mosman, NSW, Australia</t>
  </si>
  <si>
    <t>Australian Antarctic Division; University of Tasmania; University of Tasmania; University of Sydney; Taronga Conservation Society Australia</t>
  </si>
  <si>
    <t>Cox, MJ (corresponding author), Australian Antarctic Div, Kingston, Tas, Australia.;Cox, MJ (corresponding author), Univ Tasmania, Inst Marine &amp; Antarctic Studies, Australian Antarctic Program Partnership, Hobart, Tas, Australia.</t>
  </si>
  <si>
    <t>martin.cox@aad.gov.au</t>
  </si>
  <si>
    <t>Weldrick, Christine/N-2617-2017</t>
  </si>
  <si>
    <t>Weldrick, Christine/0000-0003-1099-438X; Maschette, Dale/0000-0003-2590-8544; Johnson, Olivia/0000-0002-2928-7784; King, Robert/0000-0002-4650-2335</t>
  </si>
  <si>
    <t>Antarctic Science Foundation [T1F:115595]; Pew Charitable Trust [00034287]; Australian Antarctic Partnership Program: Australian Government [ASCI000002]</t>
  </si>
  <si>
    <t>Antarctic Science Foundation; Pew Charitable Trust; Australian Antarctic Partnership Program: Australian Government</t>
  </si>
  <si>
    <t>We thank financial support from Antarctic Science Foundation, Pew Charitable Trust, and Australian Antarctic Partnership Program: Australian Government, Australian Antarctic Program Partnership (AAPP) ASCI000002 https://aappartnership.org.au/The Pew Charitable Trust (ID 00034287) https://www.pewtrusts.org/en/Antarctic Science Foundation (ASF) T1F:115595 https://antarcticsciencefoundation.org/.</t>
  </si>
  <si>
    <t>AUG 24</t>
  </si>
  <si>
    <t>e0271078</t>
  </si>
  <si>
    <t>10.1371/journal.pone.0271078</t>
  </si>
  <si>
    <t>4M1JC</t>
  </si>
  <si>
    <t>WOS:000853083500016</t>
  </si>
  <si>
    <t>Perfetti-Bolaño, A; Muñoz, K; Kolok, AS; Araneda, A; Barra, RO</t>
  </si>
  <si>
    <t>Perfetti-Bolano, Alessandra; Munoz, Katherine; Kolok, Alan S.; Araneda, Alberto; Barra, Ricardo O.</t>
  </si>
  <si>
    <t>Analysis of the contribution of locally derived wastewater to the occurrence of Pharmaceuticals and Personal Care Products in Antarctic coastal waters</t>
  </si>
  <si>
    <t>Pharmaceutical and personal care product; (PPCPs); Coastal seawater; Pollution; Wastewater treatment plant (WWTP); Antarctica</t>
  </si>
  <si>
    <t>ENDOCRINE DISRUPTING CHEMICALS; BIVALVE LATERNULA-ELLIPTICA; KING GEORGE ISLAND; ORGANIC UV FILTERS; SEASONAL ENERGETICS; ECOLOGICAL RISKS; MARINE ORGANISMS; MCMURDO STATION; SURFACE-WATER; HONG-KONG</t>
  </si>
  <si>
    <t>Pharmaceuticals and Personal Care Products (PPCPs) are emerging pollutants detected in many locations of the world including Antarctica. The main objective of this review is to discuss the influence of the human population on the concentration, distribution and biological effects of PPCPs across the Antarctic coastal marine ecosystem. We carried out a review of the scientific articles published for PPCPs in Antarctic, supported by the information of the Antarctic stations reported by Council of Managers of National Antarctic Programs (CONMAP), Scientific Committee on Antarctic Research (SCAR) and Secretariat of the Antarctic Treaty (ATS). In addition, spatial data regarding the Antarctic continent was obtained from Quantarctica. Antarctic concentrations of PPCPs were more reflective of the treatment system used by research stations as opposed to the infrastructure built or the annual occupancy by station. The main problem is that most of the research stations lack tertiary treatment, resulting in elevated concentrations of PPCPs in effluents. Furthermore, the geographic distribution of Antarctic field stations in coastal areas allows for the release of PPCPs, directly into the sea, a practice that remains in compliance with the current Protocol. After their release, PPCPs can become incorporated into sea ice, which can then act as a chemical reservoir. In addition, there is no clarity on the effects on the local biota. Finally, we recommend regulating the entry and use of PPCPs in Antarctica given the difficulties of operating, and in some cases the complete absence of appropriate treatment systems. Further studies are needed on the fate, transport and biological effects of PPCPs on the Antarctic biota. It is recommended that research efforts be carried out in areas inhabited by humans to generate mitigation measures relative to potential adverse impacts. Tourism should be also considered in further studies due the temporal release of PPCPs.</t>
  </si>
  <si>
    <t>[Perfetti-Bolano, Alessandra; Araneda, Alberto; Barra, Ricardo O.] Univ Concepcion, Fac Ciencias Ambientales, Concepcion 4070386, Chile; [Perfetti-Bolano, Alessandra; Araneda, Alberto; Barra, Ricardo O.] Univ Concepcion, Ctr EULA Chile, Concepcion 4070386, Chile; [Munoz, Katherine] Univ Koblenz Landau, Inst Environm Sci, D-76829 Landau, Germany; [Kolok, Alan S.] Univ Idaho, Idaho Water Resources Res Inst, 875 Perimeter Dr,MS 3002, Moscow, ID 83843 USA; [Barra, Ricardo O.] Inst Milenio Socio Ecol Costera SECOS, Santiago, Chile</t>
  </si>
  <si>
    <t>Universidad de Concepcion; Universidad de Concepcion; University of Koblenz &amp; Landau; Idaho; University of Idaho</t>
  </si>
  <si>
    <t>Perfetti-Bolaño, A (corresponding author), Univ Concepcion, Fac Ciencias Ambientales, Concepcion 4070386, Chile.;Perfetti-Bolaño, A (corresponding author), Univ Concepcion, Ctr EULA Chile, Concepcion 4070386, Chile.</t>
  </si>
  <si>
    <t>aleperfetti@udec.cl</t>
  </si>
  <si>
    <t>Munoz, Katherine/IXX-0323-2023; Barra, Ricardo O./A-5543-2009</t>
  </si>
  <si>
    <t>Munoz, Katherine/0000-0003-2502-3308; Barra, Ricardo O./0000-0002-1567-7722</t>
  </si>
  <si>
    <t>ANID-PFCHA/Doctorado Nacional; ANID - Millennium Science Initiative Program [2017-21170746]; [ICN2019_015]</t>
  </si>
  <si>
    <t>ANID-PFCHA/Doctorado Nacional; ANID - Millennium Science Initiative Program;</t>
  </si>
  <si>
    <t>This paper is part of the doctoral thesis of Alessandra Perfetti supervised by Dr. Ricardo Barra and Dr. Alberto Araneda. Alessandra Perfetti thanks ANID-PFCHA/Doctorado Nacional/2017-21170746 for the financing of their postgraduate studies. R. O. Barra thanks the financial support of the ANID - Millennium Science Initiative Program - Code ICN2019_015?.</t>
  </si>
  <si>
    <t>10.1016/j.scitotenv.2022.158116</t>
  </si>
  <si>
    <t>4X8KG</t>
  </si>
  <si>
    <t>WOS:000861085200012</t>
  </si>
  <si>
    <t>Kerfahi, D; Newsham, KK; Dong, K; Song, H; Tibbett, M; Adams, JM</t>
  </si>
  <si>
    <t>Kerfahi, Dorsaf; Newsham, Kevin K.; Dong, Ke; Song, Hokyung; Tibbett, Mark; Adams, Jonathan M.</t>
  </si>
  <si>
    <t>Enduring legacy of coal mining on the fungal community in a High Arctic soil after five decades</t>
  </si>
  <si>
    <t>PEDOSPHERE</t>
  </si>
  <si>
    <t>abandoned mining site; ectomycorrhizal fungi; intact tundra; mine tailings; mineral extraction; polar ecosystem recovery</t>
  </si>
  <si>
    <t>HEAVY-METALS; NY-ALESUND; VEGETATION; SVALBARD; METALLOTHIONEINS; MYCORRHIZAS; TOLERANCE; DIVERSITY; PATTERNS; FOREST</t>
  </si>
  <si>
    <t>Mineral extraction is known to affect soil fungi in polar environments, but it is unknown how long these effects persist. Here, by amplifying the internal transcribed spacer regions of rRNA genes in soil fungi, we compared soil fungal community in intact natural tundra with that in a nearby former coal mining area, abandoned 52 years previously, on Svalbard in the High Arctic. Compared with those in intact tundra, soils in the former mining area were more acidic and had lower plant coverage. Despite of similar diversity in the two areas, the fungal community was dominated by Basidiomycota in the intact tundra, but by Ascomycota in the former mining area. Ectomycorrhizal genera formed a major part of the tundra community, but were notably less abundant in the mining area. The principal variation among samples was soil pH. Surprisingly, network connectivity analysis indicated that the fungal community in the former mining area had greater network connectivity than that in the tundra area. Overall, the ecosystem in the former mining area has made only limited recovery towards the natural tundra state even after more than five decades. It is unclear whether the recovery of the fungal community is limited more by the low primary productivity, slow migration of fungi and plants, or slow changes in soil parameters. Our findings emphasize the susceptibility of polar ecosystems to disturbance, given their particularly slow recovery back towards the natural state.</t>
  </si>
  <si>
    <t>[Kerfahi, Dorsaf] Keimyung Univ, Sch Nat Sci, Dept Biol Sci, Daegu 42601, South Korea; [Newsham, Kevin K.] NERC British Antarctic Survey, Madingley Rd, Cambridge CB3 0ET, England; [Dong, Ke] Kyonggi Univ, Dept Life Sci, Suwon 16227, South Korea; [Song, Hokyung] Univ Manchester, Sch Earth &amp; Environm Sci, Manchester M13 9PL, England; [Tibbett, Mark] Univ Reading, Dept Sustainable Land Management, Sch Agr Policy &amp; Dev, Reading RG6 6AR, England; [Adams, Jonathan M.] Nanjing Univ, Sch Geog &amp; Oceanog Sci, Nanjing 210008, Peoples R China</t>
  </si>
  <si>
    <t>Keimyung University; Kyonggi University; University of Manchester; University of Reading; Nanjing University</t>
  </si>
  <si>
    <t>Adams, JM (corresponding author), Nanjing Univ, Sch Geog &amp; Oceanog Sci, Nanjing 210008, Peoples R China.</t>
  </si>
  <si>
    <t>foundinkualalumpur@yahoo.com</t>
  </si>
  <si>
    <t>Song, Hokyung/ISA-0942-2023</t>
  </si>
  <si>
    <t>Song, Hokyung/0000-0002-0987-7488; Tibbett, Mark/0000-0003-0143-2190</t>
  </si>
  <si>
    <t>1002-0160</t>
  </si>
  <si>
    <t>2210-5107</t>
  </si>
  <si>
    <t>Pedosphere</t>
  </si>
  <si>
    <t>10.1016/j.pedsph.2022.06.001</t>
  </si>
  <si>
    <t>4P0YX</t>
  </si>
  <si>
    <t>WOS:000855123900004</t>
  </si>
  <si>
    <t>Muñoz-Villagrán, C; Grossolli-Gálvez, J; Acevedo-Arbunic, J; Valenzuela, X; Ferrer, A; Díez, B; Levicán, G</t>
  </si>
  <si>
    <t>Munoz-Villagran, Claudia; Grossolli-Galvez, Jonnathan; Acevedo-Arbunic, Javiera; Valenzuela, Ximena; Ferrer, Alonso; Diez, Beatriz; Levican, Gloria</t>
  </si>
  <si>
    <t>Characterization and genomic analysis of two novel psychrotolerant Acidithiobacillus ferrooxidans strains from polar and subpolar environments</t>
  </si>
  <si>
    <t>Acidithiobacillus; iron-oxidizing bacteria; cold adaptations; acidophiles; Antarctic; Chilean Patagonia</t>
  </si>
  <si>
    <t>PRINTED-CIRCUIT BOARDS; INORGANIC POLYPHOSPHATE; MERCURY RESISTANCE; BACTERIAL OXIDATION; BIOFILM FORMATION; METAL RESISTANCE; STRESS-RESPONSE; IRON OXIDATION; FERROUS IRON; GEN. NOV.</t>
  </si>
  <si>
    <t>The bioleaching process is carried out by aerobic acidophilic iron-oxidizing bacteria that are mainly mesophilic or moderately thermophilic. However, many mining sites are located in areas where the mean temperature is lower than the optimal growth temperature of these microorganisms. In this work, we report the obtaining and characterization of two psychrotolerant bioleaching bacterial strains from low-temperature sites that included an abandoned mine site in Chilean Patagonia (PG05) and an acid rock drainage in Marian Cove, King George Island in Antarctic (MC2.2). The PG05 and MC2.2 strains showed significant iron-oxidation activity and grew optimally at 20 degrees C. Genome sequence analyses showed chromosomes of 2.76 and 2.84 Mbp for PG05 and MC2.2, respectively, and an average nucleotide identity estimation indicated that both strains clustered with the acidophilic iron-oxidizing bacterium Acidithiobacillus ferrooxidans. The Patagonian PG05 strain had a high content of genes coding for tolerance to metals such as lead, zinc, and copper. Concordantly, electron microscopy revealed the intracellular presence of polyphosphate-like granules, likely involved in tolerance to metals and other stress conditions. The Antarctic MC2.2 strain showed a high dosage of genes for mercury resistance and low temperature adaptation. This report of cold-adapted cultures of the At. ferrooxidans species opens novel perspectives to satisfy the current challenges of the metal bioleaching industry.</t>
  </si>
  <si>
    <t>[Munoz-Villagran, Claudia; Grossolli-Galvez, Jonnathan; Acevedo-Arbunic, Javiera; Levican, Gloria] Univ Santiago Chile USACH, Dept Biol, Fac Quim &amp; Biol, Santiago, Chile; [Valenzuela, Ximena] Univ Austral Chile, Programa Biorremediac, Campus Patagonia, Valdivia, Chile; [Ferrer, Alonso] Univ Mayor, Nucleo Quim &amp; Bioquim, Fac Ciencias Ingn &amp; Tecnol, Santiago, Chile; [Diez, Beatriz] Pontificia Univ Catolica Chile, Dept Genet Mol &amp; Microbiol, Santiago, Chile; [Diez, Beatriz] Ctr Climate &amp; Resilience Res CR, Santiago, Chile; [Diez, Beatriz] Ctr Genome Regulat CRG, Santiago, Chile</t>
  </si>
  <si>
    <t>Universidad de Santiago de Chile; Universidad Austral de Chile; Universidad Mayor; Pontificia Universidad Catolica de Chile</t>
  </si>
  <si>
    <t>Levicán, G (corresponding author), Univ Santiago Chile USACH, Dept Biol, Fac Quim &amp; Biol, Santiago, Chile.</t>
  </si>
  <si>
    <t>gloria.levican@usach.cl</t>
  </si>
  <si>
    <t>Díez, Beatriz/AAG-2244-2021</t>
  </si>
  <si>
    <t>Díez, Beatriz/0000-0002-9371-8083</t>
  </si>
  <si>
    <t>government of Chile, Basal; USACH [INACH RT_31-16, 1211386]; FICRegion de Aysen [INACH RT_31-16]; [USA1799/1555/1498]; [2017 BIP40000480]; [021943LJ_POSTDOC]; [DICYT-USACH]</t>
  </si>
  <si>
    <t>government of Chile, Basal; USACH; FICRegion de Aysen; ; ; ;</t>
  </si>
  <si>
    <t>This work was received financial support by the INACH RT_31-16 and Fondecyt 1211386 grant from the government of Chile, Basal project USA1799/1555/1498 from USACH, and FICRegion de Aysen 2017 BIP40000480. Support from the Project 021943LJ_POSTDOC and the DICYT-USACH.</t>
  </si>
  <si>
    <t>10.3389/fmicb.2022.960324</t>
  </si>
  <si>
    <t>4I7BS</t>
  </si>
  <si>
    <t>WOS:000850730600001</t>
  </si>
  <si>
    <t>Winter-Billington, A; Dadic, R; Moore, RD; Flerchinger, G; Wagnon, P; Banerjee, A</t>
  </si>
  <si>
    <t>Winter-Billington, Alex; Dadic, Ruzica; Moore, R. D.; Flerchinger, Gerald; Wagnon, Patrick; Banerjee, Argha</t>
  </si>
  <si>
    <t>Modelling Debris-Covered Glacier Ablation Using the Simultaneous Heat and Water Transport Model. Part 1: Model Development and Application to North Changri Nup</t>
  </si>
  <si>
    <t>glacier; debris; ablation; model; SHAW; physically based; Changri Nup</t>
  </si>
  <si>
    <t>SOUTHEASTERN TIBETAN PLATEAU; SURFACE-ENERGY BALANCE; MASS-BALANCE; SPATIAL-DISTRIBUTION; BALTORO GLACIER; EVEREST REGION; MIAGE GLACIER; ICE ABLATION; MELT; CLIMATE</t>
  </si>
  <si>
    <t>Modelling ablation of glacier ice under a layer of mineral debris is increasingly important, because the extent of supraglacial debris is expanding worldwide due to glacier recession. Physically based models have been developed, but the uncertainty in predictions is not yet well constrained. A new one-dimensional model of debris-covered ice ablation that is based on the Simultaneous Heat and Water transfer model is introduced here. SHAW-Glacier is a physically based, vertically integrated, fully coupled, water and energy balance model, which includes the advection of heat by rainwater and lateral flow. SHAW-Glacier was applied to North Changri Nup, a high elevation alpine glacier in the monsoon-dominated Central Himalaya. Simulations were compared with observed debris temperature profiles, snow depth, and ablation stake measurements for debris 0.03-0.41 m thick, in a 2500 m(2) study area. Prediction uncertainty was estimated in a Monte Carlo analysis. SHAW-Glacier simulated the characteristic pattern of decreasing ablation with increasing debris thickness. However, the observations of ablation did not follow the characteristic pattern; annual ablation was highest where the debris was thickest. Recursive partitioning revealed a substantial, non-linear sensitivity to the snow threshold air temperature, suggesting a sensitivity to the duration of snow cover. Photographs showed patches of snow persisting through the ablation season, and the observational data were consistent with uneven persistence of snow patches. The analyses indicate that patchy snow cover in the ablation season can overwhelm the sensitivity of sub-debris ablation to debris thickness. Patchy snow cover may be an unquantified source of uncertainty in predictions of sub-debris ablation.</t>
  </si>
  <si>
    <t>[Winter-Billington, Alex; Moore, R. D.] Univ British Columbia, Dept Geog, Vancouver, BC, Canada; [Dadic, Ruzica] Victoria Univ Wellington Te Herenga Waka, Antarctic Res Ctr Te Puna Patiotio, Wellington, New Zealand; [Flerchinger, Gerald] US Dept Agr, Northwest Watershed Res Ctr, Agr Res Serv, Boise, ID USA; [Wagnon, Patrick] Univ Grenoble Alpes, CNRS, IRD, Grenoble, France; [Banerjee, Argha] Indian Inst Sci Educ &amp; Res, Dept Earth Sci, Pune, India</t>
  </si>
  <si>
    <t>University of British Columbia; United States Department of Agriculture (USDA); Communaute Universite Grenoble Alpes; Universite Grenoble Alpes (UGA); Institut de Recherche pour le Developpement (IRD); Centre National de la Recherche Scientifique (CNRS); Indian Institute of Science Education &amp; Research (IISER) Pune</t>
  </si>
  <si>
    <t>Winter-Billington, A (corresponding author), Univ British Columbia, Dept Geog, Vancouver, BC, Canada.</t>
  </si>
  <si>
    <t>winter-billington@alumni.ubc.ca</t>
  </si>
  <si>
    <t>Dadic, Ruzica/0000-0003-1303-1896</t>
  </si>
  <si>
    <t>French Service d'Observation GLACIOCLIM; French National Research Agency; Labex OSUG@2020 [ANR-13-SENV-0005-04/05-PRESHINE]; [ANR10 LABX56]</t>
  </si>
  <si>
    <t>French Service d'Observation GLACIOCLIM; French National Research Agency(Agence Nationale de la Recherche (ANR)); Labex OSUG@2020;</t>
  </si>
  <si>
    <t>Data collection on Changri Nup Glacier has been supported by the French Service d'Observation GLACIOCLIM (part of IR OZCAR), the French National Research Agency (ANR) through ANR-13-SENV-0005-04/05-PRESHINE, and by a grant from Labex OSUG@2020 (Investissements d'avenir-ANR10 LABX56).</t>
  </si>
  <si>
    <t>10.3389/feart.2022.796877</t>
  </si>
  <si>
    <t>4I7IV</t>
  </si>
  <si>
    <t>WOS:000850749600001</t>
  </si>
  <si>
    <t>Corsolini, S; Ademollo, N</t>
  </si>
  <si>
    <t>Corsolini, Simonetta; Ademollo, Nicoletta</t>
  </si>
  <si>
    <t>POPs in Antarctic ecosystems: is climate change affecting their temporal trends?</t>
  </si>
  <si>
    <t>PERSISTENT ORGANIC POLLUTANTS; DIPHENYL ETHERS PBDES; KING-GEORGE-ISLAND; POLYCHLORINATED-BIPHENYLS; ROSS SEA; ORGANOCHLORINE POLLUTANTS; CHLORINATED BIPHENYLS; EMPEROR PENGUINS; ADELIE PENGUINS; SOUTHERN-OCEAN</t>
  </si>
  <si>
    <t>Climate change is affecting Antarctica and the Southern Ocean and effects have been already reported for the abiotic compartments of the ecosystems, e.g. ice loss and iceberg calving. Global warming can alter also the distribution of persistent organic pollutant (POPs) both at a global scale and in the Antarctic Region, due to their physical-chemical characteristics. Effects of climate changes have been already reported on feeding behaviour and reproductive process of organisms. Another consequence for organisms includes the POP bioaccumulation. Here we review the literature reporting the linkage between recorded effects of climate changes and POP bioaccumulation in resident marine Antarctic species (fish and penguins). Notwithstanding Antarctica is a final sink for persistent contaminants due to the extreme cold climate, a general decreasing POP trend has been observed for some POPs. Their concentrations in biota are reported to be linked to ice melting and large iceberg calving; the peculiar marine Antarctic ecosystems and the pelagic-benthic coupling may also contribute to alterations in the bioaccumulation processes. These effects are similar in polar regions, although the comparison with the Arctic biota is not possible due to the lack of data in the Antarctic Region. It remains an open question if the POP amount accumulated in the Antarctic ecosystems is decreasing or not.</t>
  </si>
  <si>
    <t>[Corsolini, Simonetta] Univ Siena, Dept Phys Earth &amp; Environm Sci, Via PA Mattioli 4, I-53100 Siena, Italy; [Ademollo, Nicoletta] Inst Polar Sci Italian Natl Res Council, ISP CNR, Str Prov 35d,Km 0-7, I-00010 Rome, Italy</t>
  </si>
  <si>
    <t>University of Siena; Consiglio Nazionale delle Ricerche (CNR); Istituto di Scienze Polari (ISP-CNR)</t>
  </si>
  <si>
    <t>Corsolini, S (corresponding author), Univ Siena, Dept Phys Earth &amp; Environm Sci, Via PA Mattioli 4, I-53100 Siena, Italy.</t>
  </si>
  <si>
    <t>simonetta.corsolini@unisi.it</t>
  </si>
  <si>
    <t>Corsolini, Simonetta/B-9460-2012</t>
  </si>
  <si>
    <t>Corsolini, Simonetta/0000-0002-9772-2362; Ademollo, nicoletta/0000-0002-1875-6530</t>
  </si>
  <si>
    <t>10.1039/d2em00273f</t>
  </si>
  <si>
    <t>5K6ZQ</t>
  </si>
  <si>
    <t>WOS:000847731000001</t>
  </si>
  <si>
    <t>Azhar, SSA; Chenoli, SN; Abu Samah, A; Kim, SJ; Murukesh, N</t>
  </si>
  <si>
    <t>Azhar, Siti Syairah Atiqah; Chenoli, Sheeba Nettukandy; Abu Samah, Azizan; Kim, Seong-Joong; Murukesh, Nuncio</t>
  </si>
  <si>
    <t>The mechanism linking the variability of the Antarctic sea ice extent in the Indian Ocean sector to Indian summer monsoon rainfall</t>
  </si>
  <si>
    <t>CLIMATE DYNAMICS</t>
  </si>
  <si>
    <t>Antarctic sea ice extent (SIE) in the Indian Ocean sector; High ice phase; Low ice phase; Indian summer monsoon rainfall; Convective activity</t>
  </si>
  <si>
    <t>SOUTHERN ANNULAR MODE; HADLEY CIRCULATION; INTERANNUAL VARIABILITY; SURFACE TEMPERATURE; CLIMATE-CHANGE; OSCILLATION; IMPACTS; SIMULATIONS; BEHAVIOR; PHASES</t>
  </si>
  <si>
    <t>The study investigates the mechanism of teleconnection between the variability of sea ice extent (SIE) in the Indian Ocean sector of the Southern Ocean and the variability of Indian summer monsoon rainfall. We utilized reanalysis, satellite, in-situ observation data, and model output from the coupled model intercomparison project phase 5 (CMIP5) from 1979 to 2013. The empirical orthogonal function (EOF) and correlation analysis show that the first and third modes of principal component (PC1 and PC3) of SIE in the Indian Ocean sector during April-May-June (AMJ) are significantly correlated with the second mode of principal component (PC2) of Indian summer monsoon rainfall. The reanalysis data revealed that the changes in the SIE in the Indian Ocean sector excite meridional wave train responses along the Indian Ocean for both principal component modes. Positive (negative) SIE anomalies based on first and third EOFs (EOF1 and EOF3), contribute to the strengthening (weakening) of the Polar, Ferrel, and Hadley cells, inducing stronger (weaker) convective activity over the Indian latitudes. The stronger (weaker) convective activity over the Indian region leads to more (less) rainfall over the region during high (low) ice phase years. Furthermore, a stronger (weaker) polar jet during the high (low) ice phase is also noted. The selected CMIP5 models captured certain atmospheric teleconnection features found in the reanalysis. During AMJ, the SIE simulated by the NorESM1-M model was significantly positively correlated with Indian summer monsoon rainfall, whereas the IPSL-CM54-LR model showed a negative correlation.</t>
  </si>
  <si>
    <t>[Azhar, Siti Syairah Atiqah; Chenoli, Sheeba Nettukandy; Abu Samah, Azizan] Univ Malaya, Inst Ocean &amp; Earth Sci, Inst Postgrad Studies Bldg, Kuala Lumpur, Malaysia; [Azhar, Siti Syairah Atiqah; Chenoli, Sheeba Nettukandy; Abu Samah, Azizan] Univ Malaya, Natl Antarctic Res Ctr, Res Management &amp; Innovat Complex, Kuala Lumpur, Malaysia; [Chenoli, Sheeba Nettukandy; Abu Samah, Azizan] Univ Malaya, Fac Arts &amp; Social Sci, Dept Geog, Kuala Lumpur, Malaysia; [Kim, Seong-Joong] Korea Polar Res Inst, Incheon 21990, South Korea; [Murukesh, Nuncio] Govt India, Natl Ctr Polar &amp; Ocean Res, Minist Earth Sci, Vasco Da Gama 403804, Goa, India</t>
  </si>
  <si>
    <t>Universiti Malaya; Universiti Malaya; Universiti Malaya; Korea Polar Research Institute (KOPRI); Ministry of Earth Sciences (MoES) - India; National Centre for Polar and Ocean Research (NCPOR)</t>
  </si>
  <si>
    <t>Chenoli, SN (corresponding author), Univ Malaya, Inst Ocean &amp; Earth Sci, Inst Postgrad Studies Bldg, Kuala Lumpur, Malaysia.;Chenoli, SN (corresponding author), Univ Malaya, Natl Antarctic Res Ctr, Res Management &amp; Innovat Complex, Kuala Lumpur, Malaysia.;Chenoli, SN (corresponding author), Univ Malaya, Fac Arts &amp; Social Sci, Dept Geog, Kuala Lumpur, Malaysia.</t>
  </si>
  <si>
    <t>sheeba@um.edu.my</t>
  </si>
  <si>
    <t>Chenoli, Sheeba Nettukandy/G-6726-2012; ABU SAMAH, AZIZAN HJ/B-8295-2010</t>
  </si>
  <si>
    <t>Fundamental Research Grant Scheme [FRGS: FP059-2019A]; Ministry of Sciences Technology and Innovation Flagship Grant [FP1213E03]; Academic Sciences of Malaysia, Sultan Mizan Antarctic Research Foundation, Malaysian Antarctic Research Program; Korea Polar Research Institute [PE22030]; Fundamental Research Funds for the Central Universities; Kementerian Sains, Teknologi dan Inovasi</t>
  </si>
  <si>
    <t>Fundamental Research Grant Scheme; Ministry of Sciences Technology and Innovation Flagship Grant; Academic Sciences of Malaysia, Sultan Mizan Antarctic Research Foundation, Malaysian Antarctic Research Program; Korea Polar Research Institute(Korea Polar Research Institute of Marine Research Placement (KOPRI)); Fundamental Research Funds for the Central Universities(Fundamental Research Funds for the Central Universities); Kementerian Sains, Teknologi dan Inovasi</t>
  </si>
  <si>
    <t>This work was supported by Fundamental Research Grant Scheme (FRGS: FP059-2019A), the Ministry of Sciences Technology and Innovation Flagship Grant (FP1213E03) and Academic Sciences of Malaysia, Sultan Mizan Antarctic Research Foundation, Malaysian Antarctic Research Program. Seong-Joong Kim was supported by the project (PE22030) of the Korea Polar Research Institute. Fundamental Research Funds for the Central Universities; Kementerian Sains, Teknologi dan Inovasi.</t>
  </si>
  <si>
    <t>0930-7575</t>
  </si>
  <si>
    <t>1432-0894</t>
  </si>
  <si>
    <t>CLIM DYNAM</t>
  </si>
  <si>
    <t>Clim. Dyn.</t>
  </si>
  <si>
    <t>MAY</t>
  </si>
  <si>
    <t>10.1007/s00382-022-06466-z</t>
  </si>
  <si>
    <t>E1XX9</t>
  </si>
  <si>
    <t>WOS:000844019300003</t>
  </si>
  <si>
    <t>Krishnan, K; Garde, B; Bennison, A; Cole, NC; Cole, EL; Darby, J; Elliott, KH; Fell, A; Gómez-Laich, A; de Grissac, S; Jessopp, M; Lempidakis, E; Mizutani, Y; Prudor, A; Quetting, M; Quintana, F; Robotka, H; Roulin, A; Ryan, PG; Schalcher, K; Schoombie, S; Tatayah, V; Tremblay, F; Weimerskirch, H; Whelan, S; Wikelski, M; Yoda, K; Hedenström, A; Shepard, ELC</t>
  </si>
  <si>
    <t>Krishnan, Krishnamoorthy; Garde, Baptiste; Bennison, Ashley; Cole, Nik C.; Cole, Emma-L; Darby, Jamie; Elliott, Kyle H.; Fell, Adam; Gomez-Laich, Agustina; de Grissac, Sophie; Jessopp, Mark; Lempidakis, Emmanouil; Mizutani, Yuichi; Prudor, Aurelien; Quetting, Michael; Quintana, Flavio; Robotka, Hermina; Roulin, Alexandre; Ryan, Peter G.; Schalcher, Kim; Schoombie, Stefan; Tatayah, Vikash; Tremblay, Fred; Weimerskirch, Henri; Whelan, Shannon; Wikelski, Martin; Yoda, Ken; Hedenstrom, Anders; Shepard, Emily L. C.</t>
  </si>
  <si>
    <t>The role of wingbeat frequency and amplitude in flight power</t>
  </si>
  <si>
    <t>JOURNAL OF THE ROYAL SOCIETY INTERFACE</t>
  </si>
  <si>
    <t>energy expenditure; accelerometry; kinematics; bio-logging; movement ecology</t>
  </si>
  <si>
    <t>WIND-TUNNEL; MECHANICAL POWER; NYMPHICUS-HOLLANDICUS; ENERGY-EXPENDITURE; PECTORALIS-MUSCLE; METABOLIC POWER; VORTEX WAKE; WIDE-RANGE; KINEMATICS; HUMMINGBIRD</t>
  </si>
  <si>
    <t>Body-mounted accelerometers provide a new prospect for estimating power use in flying birds, as the signal varies with the two major kinematic determinants of aerodynamic power: wingbeat frequency and amplitude. Yet wingbeat frequency is sometimes used as a proxy for power output in isolation. There is, therefore, a need to understand which kinematic parameter birds vary and whether this is predicted by flight mode (e.g. accelerating, ascending/descending flight), speed or morphology. We investigate this using high-frequency acceleration data from (i) 14 species flying in the wild, (ii) two species flying in controlled conditions in a wind tunnel and (iii) a review of experimental and field studies. While wingbeat frequency and amplitude were positively correlated, R-2 values were generally low, supporting the idea that parameters can vary independently. Indeed, birds were more likely to modulate wingbeat amplitude for more energy-demanding flight modes, including climbing and take-off. Nonetheless, the striking variability, even within species and flight types, highlights the complexity of describing the kinematic relationships, which appear sensitive to both the biological and physical context. Notwithstanding this, acceleration metrics that incorporate both kinematic parameters should be more robust proxies for power than wingbeat frequency alone.</t>
  </si>
  <si>
    <t>[Krishnan, Krishnamoorthy; Garde, Baptiste; Cole, Emma-L; Lempidakis, Emmanouil; Shepard, Emily L. C.] Swansea Univ, Dept Biosci, Swansea SA1 8PP, W Glam, Wales; [Bennison, Ashley; Darby, Jamie; Jessopp, Mark] Univ Coll Cork, Sch Biol Earth &amp; Environm Sci, Cork T23 N73 K, Ireland; [Bennison, Ashley] NERC, British Antarctic Survey, Cambridge, England; [Cole, Nik C.] Durrell Wildlife Conservat Trust, La Profonde Rue, Jersey JE3 5BP, England; [Elliott, Kyle H.; Tremblay, Fred; Whelan, Shannon] McGill Univ, Dept Nat Resources Sci, Ste Anne De Bellevue, PQ, Canada; [Fell, Adam] Univ Stirling, Biol &amp; Environm Sci, Stirling FK9 4LA, Scotland; [Gomez-Laich, Agustina] Consejo Nacl Invest Cient &amp; Tecn, Dept Ecol Genet &amp; Evolut, Pabellon II Ciudad Univ,C1428EGA, Buenos Aires, DF, Argentina; [Gomez-Laich, Agustina] Consejo Nacl Invest Cient &amp; Tecn, Inst Ecol Genet &amp; Evolut Buenos Aires IEGEBA, Pabellon II Ciudad Univ,C1428EGA, Buenos Aires, DF, Argentina; [de Grissac, Sophie] Diomedea Sci Res &amp; Sci Commun, 819 Route La Jars, F-38950 Quaix En Chartreuse, France; [Mizutani, Yuichi; Yoda, Ken] Nagoya Univ, Grad Sch Environm Studies, Chikusa Ku, Furo Cho, Nagoya, Aichi 4648601, Japan; [Prudor, Aurelien; Weimerskirch, Henri] Ctr Etud Biol Chize CNRS, Villiers En Bois, France; [Quetting, Michael; Wikelski, Martin] Max Planck Inst Anim Behav, Dept Migrat, Radolfzell am Bodensee, Germany; [Quintana, Flavio] Consejo Nacl Invest Cient &amp; Tecn, Inst Biol Organismos Marinos IBIOMAR, Blvd Brown,U9120ACD, RA-2915 Puerto Madryn, Chubut, Argentina; [Robotka, Hermina] Max Planck Inst Ornithol, Seewiesen, Germany; [Roulin, Alexandre; Schalcher, Kim] Univ Lausanne, Dept Ecol &amp; Evolut, Bldg Biophore, CH-1015 Lausanne, Switzerland; [Ryan, Peter G.; Schoombie, Stefan] Univ Cape Town, FitzPatrick Inst African Ornithol, Rondebosch, South Africa; [Tatayah, Vikash] Mauritian Wildlife Fdn, Grannum Rd, Vacoas 73418, Mauritius; [Wikelski, Martin] Univ Konstanz, Ctr Adv Study Collect Behav, D-78457 Constance, Germany; [Hedenstrom, Anders] Lund Univ, Ctr Anim Movement Res, Dept Biol, Lund, Sweden</t>
  </si>
  <si>
    <t>Swansea University; University College Cork; UK Research &amp; Innovation (UKRI); Natural Environment Research Council (NERC); NERC British Antarctic Survey; McGill University; University of Stirling; Consejo Nacional de Investigaciones Cientificas y Tecnicas (CONICET); Consejo Nacional de Investigaciones Cientificas y Tecnicas (CONICET); Nagoya University; Centre National de la Recherche Scientifique (CNRS); Max Planck Society; Consejo Nacional de Investigaciones Cientificas y Tecnicas (CONICET); Max Planck Society; University of Lausanne; University of Cape Town; University of Konstanz; Lund University</t>
  </si>
  <si>
    <t>Krishnan, K (corresponding author), Swansea Univ, Dept Biosci, Swansea SA1 8PP, W Glam, Wales.</t>
  </si>
  <si>
    <t>k.krishnan@swansea.ac.uk</t>
  </si>
  <si>
    <t>Weimerskirch, Henri/F-5562-2013; de Grissac, Sophie/Q-6666-2017</t>
  </si>
  <si>
    <t>Darby, Jamie/0000-0002-9757-7150; Ryan, Peter/0000-0002-3356-2056; Whelan, Shannon/0000-0003-2862-327X; Elliott, Kyle/0000-0001-5304-3993; Garde, Baptiste/0000-0002-8726-6279; Krishnan, Krishnamoorthy/0000-0002-3314-2991</t>
  </si>
  <si>
    <t>European Research Council [715874]; European Regional Development fund; Department of Agriculture Food and the Marine [15/S/744]; Swedish Research Council [2016-03625]; Max Planck Sabbatical Fellowship; Natural Sciences and Engineering Research Council of Canada; Swiss National Science Foundation [310030, 200321]; Japan Society of the Promotion of Science [16K21735, 16H06541, 21H05294]; European Research Council (ERC) [715874] Funding Source: European Research Council (ERC); Swedish Research Council [2016-03625] Funding Source: Swedish Research Council</t>
  </si>
  <si>
    <t>European Research Council(European Research Council (ERC)); European Regional Development fund(European Union (EU)); Department of Agriculture Food and the Marine; Swedish Research Council(Swedish Research Council); Max Planck Sabbatical Fellowship(Max Planck Society); Natural Sciences and Engineering Research Council of Canada(Natural Sciences and Engineering Research Council of Canada (NSERC)CGIAR); Swiss National Science Foundation(Swiss National Science Foundation (SNSF)); Japan Society of the Promotion of Science(Ministry of Education, Culture, Sports, Science and Technology, Japan (MEXT)Japan Society for the Promotion of Science); European Research Council (ERC)(European Research Council (ERC)Spanish Government); Swedish Research Council(Swedish Research Council)</t>
  </si>
  <si>
    <t>This work was supported by European Research Council star-ter grant no. 715874 to E.L.C.S., under the European Union's Horizon2020 research and innovation programme. Rory Wilson supplied thetags that were used for data collection in the studies on imperial cor-morants, wandering albatrosses, grey-headed albatrosses andstreaked shearwaters. Fieldwork on northern fulmars was supportedby the BlueFish project, funded by the European Regional Development fund through the Ireland Wales Co-operation Pro-gramme (2014-2020) and an extended field team. Fieldwork onnorthern gannets was supported by the FishKOSM project fundedby the Department of Agriculture Food and the Marine (15/S/744).The wind tunnel experiments at Lund University were supportedby the Swedish Research Council (2016-03625) and A.H. LinusHedh helped training the dunlin for wind tunnel flight. Data collec-tion in the Max Planck wind tunnel was supported by a Max Planck Sabbatical Fellowship (to E.L.C.S.). Fieldwork on black-legged kitti-wakes was assisted by the Middleton Island Field Crew of 2019.Funding for Bruennich's guillemot and black-legged kittiwake workwas partially from the Natural Sciences and Engineering Research Council of Canada (to K.H.E.). Fieldwork on the barn owls was funded by Swiss National Science Foundation (310030, 200321 toA.R.). We thank the National Parks and Conservation Service, theGovernment of Mauritius, for permission to conduct the fieldworkon the red-tailed tropicbirds and the Round Island Wardens fortheir support in the field. Research in Japan was funded by Grants-in-Aid for Scientific Research from the Japan Society of the Promotion of Science (16K21735, 16H06541, 21H05294 to K.Y.). We also thank Gil Bohrer for essential help in setting up the sonic anemometer forin-flight measurements of air movement.</t>
  </si>
  <si>
    <t>1742-5689</t>
  </si>
  <si>
    <t>1742-5662</t>
  </si>
  <si>
    <t>J R SOC INTERFACE</t>
  </si>
  <si>
    <t>J. R. Soc. Interface</t>
  </si>
  <si>
    <t>10.1098/rsif.2022.0168</t>
  </si>
  <si>
    <t>3Z3HV</t>
  </si>
  <si>
    <t>Green Published, Green Accepted, Green Submitted, hybrid</t>
  </si>
  <si>
    <t>WOS:000844309800004</t>
  </si>
  <si>
    <t>Lutz, F; Prior, DJ; Still, H; Bowman, MH; Boucinhas, B; Craw, L; Fan, S; Kim, D; Mulvaney, R; Thomas, RE; Hulbe, CL</t>
  </si>
  <si>
    <t>Lutz, Franz; Prior, David J.; Still, Holly; Bowman, M. Hamish; Boucinhas, Bia; Craw, Lisa; Fan, Sheng; Kim, Daeyeong; Mulvaney, Robert; Thomas, Rilee E.; Hulbe, Christina L.</t>
  </si>
  <si>
    <t>Ultrasonic and seismic constraints on crystallographic preferred orientations of the Priestley Glacier shear margin, Antarctica</t>
  </si>
  <si>
    <t>ICE STREAM; POLYCRYSTALLINE ICE; WAVE PROPAGATION; ANISOTROPIC ICE; MICROSTRUCTURE; ELASTICITY; EVOLUTION; PHASE</t>
  </si>
  <si>
    <t>Crystallographic preferred orientations (CPOs) are particularly important in controlling the mechanical properties of glacial shear margins. Logistical and safety considerations often make direct sampling of shear margins difficult, and geophysical measurements are commonly used to constrain the CPOs. We present here the first direct comparison of seismic and ultrasonic data with measured CPOs in a polar shear margin. The measured CPO from ice samples from a 58 m deep borehole in the left lateral shear margin of the Priestley Glacier, Antarctica, is dominated by horizontal c axes aligned sub-perpendicularly to flow. A vertical-seismic-profile experiment with hammer shots up to 50 m away from the borehole, in four different azimuthal directions, shows velocity anisotropy of both P waves and S waves. Matching P-wave data to the anisotropy corresponding to CPO models defined by horizontally aligned c axes gives two possible solutions for the c-axis azimuth, one of which matches the c-axis measurements. If both P-wave and S-wave data are used, there is one best fit for the azimuth and intensity of c-axis alignment that matches the measurements well. Azimuthal P-wave and S-wave ultrasonic data recorded in the laboratory on the ice core show clear anisotropy of P-wave and S-wave velocities in the horizontal plane that match that predicted from the CPO of the samples. With quality data, azimuthal increments of 30 degrees or less will constrain well the orientation and intensity of c-axis alignment. Our experiments provide a good framework for planning seismic surveys aimed at constraining the anisotropy of shear margins.</t>
  </si>
  <si>
    <t>[Lutz, Franz; Prior, David J.; Bowman, M. Hamish; Fan, Sheng; Thomas, Rilee E.] Univ Otago, Dept Geol, Otepoti, New Zealand; [Still, Holly; Hulbe, Christina L.] Univ Otago, Sch Surveying, Otepoti, New Zealand; [Boucinhas, Bia] Antarctica New Zealand, Otautahi, New Zealand; [Craw, Lisa] Univ Tasmania, Inst Marine &amp; Antarctic Sci, Hobart, Tas, Australia; [Kim, Daeyeong] Korea Polar Res Inst, Div Earth Sci, Incheon, South Korea; [Mulvaney, Robert] British Antarctic Survey, Nat Environm Res Council, Cambridge, England</t>
  </si>
  <si>
    <t>University of Tasmania; Korea Polar Research Institute (KOPRI); UK Research &amp; Innovation (UKRI); Natural Environment Research Council (NERC); NERC British Antarctic Survey</t>
  </si>
  <si>
    <t>Lutz, F (corresponding author), Univ Otago, Dept Geol, Otepoti, New Zealand.</t>
  </si>
  <si>
    <t>franz.lutz@otago.ac.nz</t>
  </si>
  <si>
    <t>Kim, Daeyeong/H-4318-2018; Mulvaney, Robert/K-3929-2012; Craw, Lisa/V-5681-2018</t>
  </si>
  <si>
    <t>Mulvaney, Robert/0000-0002-5372-8148; Lutz, Franz/0000-0002-6920-690X; Craw, Lisa/0000-0002-6809-3587; Bowman, Michael/0000-0002-0455-9421; Kim, Daeyeong/0000-0003-4444-7851; Fan, Sheng/0000-0002-0404-1374; Prior, David/0000-0002-4653-2112</t>
  </si>
  <si>
    <t>Marsden Fund [UOO1716]; Korea Polar Research Institute [PE22430]; New Zealand Antarctic Research Institute (Early Career Researcher Seed Grant); NZARI [20201-3]</t>
  </si>
  <si>
    <t>Marsden Fund(Royal Society of New ZealandMarsden Fund (NZ)); Korea Polar Research Institute(Korea Polar Research Institute of Marine Research Placement (KOPRI)); New Zealand Antarctic Research Institute (Early Career Researcher Seed Grant); NZARI</t>
  </si>
  <si>
    <t>This research has been supported by the Marsden Fund (grant no. UOO1716), the Korea Polar Research Institute (grant no. PE22430) and the New Zealand Antarctic Research Institute (Early Career Researcher Seed Grant, grant no. NZARI 20201-3).</t>
  </si>
  <si>
    <t>10.5194/tc-16-3313-2022</t>
  </si>
  <si>
    <t>3Y3UU</t>
  </si>
  <si>
    <t>WOS:000843652600001</t>
  </si>
  <si>
    <t>Miller, BS; Madhusudhana, S; Aulich, MG; Kelly, N</t>
  </si>
  <si>
    <t>Miller, Brian S.; Madhusudhana, Shyam; Aulich, Meghan G.; Kelly, Nat</t>
  </si>
  <si>
    <t>Deep learning algorithm outperforms experienced human observer at detection of blue whale D-calls: a double-observer analysis</t>
  </si>
  <si>
    <t>REMOTE SENSING IN ECOLOGY AND CONSERVATION</t>
  </si>
  <si>
    <t>automated detector; blue whale; deep-learning; double-observer; passive acoustics</t>
  </si>
  <si>
    <t>SONG; VOCALIZATIONS; RELIABILITY; PERFORMANCE; CALIFORNIA; ABUNDANCE; NETWORK</t>
  </si>
  <si>
    <t>An automated algorithm for passive acoustic detection of blue whale D-calls was developed based on established deep learning methods for image recognition via the DenseNet architecture. The detector was trained on annotated acoustic recordings from the Antarctic, and performance of the detector was assessed by calculating precision and recall using a separate independent dataset also from the Antarctic. Detections from both the human analyst and automated detector were then inspected by an independent judge to identify any calls missed by either approach and to adjudicate whether the apparent false-positive detections from the automated approach were actually true positives. A final performance assessment was conducted using double-observer methods (via a closed-population Huggins mark-recapture model) to assess the probability of detection of calls by both the human analyst and automated detector, based on the assumption of false-positive-free adjudicated detections. According to our double-observer analysis, the automated detector showed superior performance with higher recall and fewer false positives than the original human analyst, and with performance similar to existing top automated detectors. To understand the performance of both detectors we inspected the time-series and signal-to-noise ratio (SNR) of detections for the test dataset, and found that most of the advantages from the automated detector occurred at low and medium SNR.</t>
  </si>
  <si>
    <t>[Miller, Brian S.; Kelly, Nat] Australian Antarctic Div, 203 Channel Highway, Kingston, Tas 203, Australia; [Madhusudhana, Shyam] Cornell Univ, K Lisa Yang Ctr Conservat Bioacoust, Cornell Lab Ornithol, Ithaca, NY USA; [Aulich, Meghan G.] Curtin Univ, Ctr Marine Sci &amp; Technol, Bentley, WA, Australia</t>
  </si>
  <si>
    <t>Australian Antarctic Division; Cornell University; Curtin University</t>
  </si>
  <si>
    <t>Miller, BS (corresponding author), Australian Antarctic Div, 203 Channel Highway, Kingston, Tas 203, Australia.</t>
  </si>
  <si>
    <t>brian.miller@aad.gov.au</t>
  </si>
  <si>
    <t>Kelly, Natalie/B-3481-2010</t>
  </si>
  <si>
    <t>Miller, Brian/0000-0001-7615-3044; Aulich, Meghan/0000-0002-4316-8642; Kelly, Nat/0000-0002-9664-354X; Madhusudhana, Shyam/0000-0002-4142-3881</t>
  </si>
  <si>
    <t>Australian Antarctic Science Projects [4102, 4600]</t>
  </si>
  <si>
    <t>Australian Antarctic Science Projects</t>
  </si>
  <si>
    <t>This work was supported by the Australian Antarctic Science Projects #4102 and #4600; Thanks to creators of and contributors to the IWC-SORP Annotated Blue and Fin Whale Sound Library as well as the IWC-SORP Acoustic Trends Working Group.</t>
  </si>
  <si>
    <t>111 RIVER ST, HOBOKEN, NJ 07030 USA</t>
  </si>
  <si>
    <t>2056-3485</t>
  </si>
  <si>
    <t>REMOTE SENS ECOL CON</t>
  </si>
  <si>
    <t>Remote Sens. Ecol. Conserv.</t>
  </si>
  <si>
    <t>10.1002/rse2.297</t>
  </si>
  <si>
    <t>Ecology; Remote Sensing</t>
  </si>
  <si>
    <t>X6RU1</t>
  </si>
  <si>
    <t>WOS:000843537300001</t>
  </si>
  <si>
    <t>Häussermann, V; Molinet, C; Gómez, MD; Försterra, G; Henríquez, J; Cea, KE; Ascencio, TM; Hüne, M; Cárdenas, CA; Glon, H; Toledo, NB; Mena, DS</t>
  </si>
  <si>
    <t>Haussermann, Vreni; Molinet, Carlos; Gomez, Manuel Diaz; Forsterra, Gunter; Henriquez, Jorge; Espinoza Cea, Katherine; Matamala Ascencio, Thamara; Hune, Mathias; Cardenas, Cesar A.; Glon, Heather; Barahona Toledo, Nancy; Subiabre Mena, Dagoberto</t>
  </si>
  <si>
    <t>Recent massive invasions of the circumboreal sea anemone Metridium senile in North and South Patagonia</t>
  </si>
  <si>
    <t>BIOLOGICAL INVASIONS</t>
  </si>
  <si>
    <t>Metridium senile; Invasion; Chilean Patagonia; Economic damage; Expansion</t>
  </si>
  <si>
    <t>1ST RECORD; BIOGEOGRAPHY; ACTINIARIA; ATLANTIC</t>
  </si>
  <si>
    <t>The circumboreal sea anemone species Metridium senile is a non-native species in Chilean Patagonia. The species is responsible for the occupation of large tracts of benthic substrate, threatening benthic resources such as sea urchins and barnacles. It has potentially devastating ecological impact on the overall benthic community. Species associated to the genus Metridium have been alluded to in the historical literature on Chilean marine life by various names. We summarize and evaluate their appearance in the literature and suggest eliminating the name Metridium senile lobatum for the South American subspecies. The first appearance of Metridium senile was confirmed in 2005 by the authors from Central Patagonia. Subsequently it was noted as abundant at multiple sites. In North Patagonia, it was first recorded from one site in 2011, followed by one more record in 2013 and several in 2015. In subsequent years, it has been recorded at an increasing number of sites based on our surveying. During our most recent surveys in 2021, we confirmed that it remains abundant at numerous sites throughout North Patagonia. In South Patagonia, it was first reported in 2015 from one site in the Straits of Magellan, and from two further sites around Cape Horn in 2017. It has not been recorded at additional sites nor has it significantly increased in abundance in southern Chilean Patagonia. However, it has been observed to be common at the Becasses Islands in the Argentinean part of Beagle Channel in 2021. Therefore, we recommend starting a monitoring program and putting restrictions on the transport of benthic invertebrates to avoid introducing the species to sites where it is not present yet.</t>
  </si>
  <si>
    <t>[Haussermann, Vreni] Univ San Sebastian, Fac Econ &amp; Negocios, Dept Vinculac Medio, Puerto Montt, Chile; [Molinet, Carlos; Gomez, Manuel Diaz; Henriquez, Jorge; Espinoza Cea, Katherine; Matamala Ascencio, Thamara] Univ Austral Chile, Inst Acuicultura, Programa Invest Pesquera, Puerto Montt, Chile; [Molinet, Carlos] Univ Concepcion, Programa Integrat, Ctr Interdisciplinario Invest Acuicola INCAR, Concepcion, Chile; [Forsterra, Gunter] Pontificia Univ Catolica Valparaiso, Fac Recursos Nat, Escuela Ciencias Mar, Avda Brasil, Valparaiso 2950, Chile; [Forsterra, Gunter] Huinay Fdn, Huinay, Chile; [Hune, Mathias] Ctr Invest Conservac Ecosistemas Australes ICEA, Punta Arenas, Chile; [Cardenas, Cesar A.] Inst Antartico Chileno, Dept Cientif, Punta Arenas, Chile; [Cardenas, Cesar A.] Millennium Inst Biodivers Antarctic &amp; Subantarct, Santiago, Chile; [Glon, Heather] Ohio State Univ, Dept Evolut Ecol &amp; Organismal Biol, Columbus, OH USA; [Barahona Toledo, Nancy; Subiabre Mena, Dagoberto] Inst Fomento Pesquero, Blanco 839, Valparaiso, Chile</t>
  </si>
  <si>
    <t>Universidad San Sebastian; Universidad Austral de Chile; Universidad de Concepcion; Pontificia Universidad Catolica de Valparaiso; University System of Ohio; Ohio State University; Instituto de Fomento Pesquero (Valparaiso)</t>
  </si>
  <si>
    <t>Häussermann, V (corresponding author), Univ San Sebastian, Fac Econ &amp; Negocios, Dept Vinculac Medio, Puerto Montt, Chile.</t>
  </si>
  <si>
    <t>verena.haussermann@uss.cl</t>
  </si>
  <si>
    <t>Haussermann, Verena Susanne/0000-0001-9630-7477</t>
  </si>
  <si>
    <t>Fondecyt [1131039, 1150843, 1161699, 1201717]; Ministerio de Economia y Turismo Seguimiento de Pesquerias Bentonicas [20/2020]; FIP project 2012-14 Diseno e implementacion de una red de estaciones fijas de monitoreo para la pesqueria del recurso erizo de la X y XI Regiones</t>
  </si>
  <si>
    <t>Fondecyt(Comision Nacional de Investigacion Cientifica y Tecnologica (CONICYT)CONICYT FONDECYT); Ministerio de Economia y Turismo Seguimiento de Pesquerias Bentonicas; FIP project 2012-14 Diseno e implementacion de una red de estaciones fijas de monitoreo para la pesqueria del recurso erizo de la X y XI Regiones</t>
  </si>
  <si>
    <t>The data collection was financed by Fondecyt projects nr 1131039, 1150843, 1161699 and 1201717 to VH and GF, the FIP project 2012-14 Diseno e implementacion de una red de estaciones fijas de monitoreo para la pesqueria del recurso erizo de la X y XI Regiones to CM and the project financed by Ministerio de Economia y Turismo Seguimiento de Pesquerias Bentonicas to IFOP (project number 20/2020 from decree MINECOM N degrees 85).</t>
  </si>
  <si>
    <t>1387-3547</t>
  </si>
  <si>
    <t>1573-1464</t>
  </si>
  <si>
    <t>BIOL INVASIONS</t>
  </si>
  <si>
    <t>Biol. Invasions</t>
  </si>
  <si>
    <t>10.1007/s10530-022-02878-4</t>
  </si>
  <si>
    <t>5Q5OF</t>
  </si>
  <si>
    <t>WOS:000843424900001</t>
  </si>
  <si>
    <t>Stark, JS</t>
  </si>
  <si>
    <t>Stark, Jonathan S.</t>
  </si>
  <si>
    <t>Effects of lubricant oil and diesel on macrofaunal communities in marine sediments: A five year field experiment in Antarctica*</t>
  </si>
  <si>
    <t>Pollution; Hydrocarbon spill; Benthic community; Polar environment; Polychaete; Amphipod</t>
  </si>
  <si>
    <t>PETROLEUM-HYDROCARBONS; RESIDUAL PETROLEUM; MCMURDO-STATION; CRUDE-OIL; CONTAMINATION; TOXICITY; POLLUTION; WATER; FUEL; AMPHIPODS</t>
  </si>
  <si>
    <t>Hydrocarbons pose significant risks to marine ecosystems. A field experiment investigated the effects of four different hydrocarbon products (diesel fuel and three lubricating oils: Unused, Used and Biodegradable) on sediment macrofaunal communities over a five year period, in a shallow Antarctic marine embayment. Sediments were defaunated, treated with a hydrocarbon and deployed in trays (including a control) on the seabed. Diesel fuel had the biggest initial impact on communities, with strong effects at 5 weeks and 1 year, in particular on annelids, but also on amphipods, ostracods and cumaceans. By five years, however, the effect of diesel was less than that of lubrication oils and showed more recovery than oiled treatments and the biggest effect was from the Used oil. There was an effect of hydrocarbons on diversity, especially diesel, at 5 weeks and 1 year, but by 2 and 5 years diversity was not different or greater in hydrocarbon treatments than controls. Total abundance was always lower in hydrocarbon treatments than controls, especially for crustaceans, but annelids were more abundant in oil treatments than controls at 5 years. Oils, and in some cases diesel, enhanced the abundance of some taxa at 2-5 years, including molluscs, some polychaete families (capitellids, cirratulids, dorvilleids), oligochaetes, as well as ostracods, cumaceans and isopods. Amphipods and tanaids were most sensitive to hydrocarbons, and annelids were very sensitive to diesel. The Biodegradable oil had similar magnitude community effects to standard oil at 5 years, but annelids were more affected by Biodegradable oil, particularly at 1 and 2 years, and it did not enhance annelid or mollusc abundance at 5 years like the other oils, except for some polychaete families. Impacts of spilled hydrocarbons in Antarctica will persist well beyond 5 years, but diesel impacts will recover faster than oil.</t>
  </si>
  <si>
    <t>[Stark, Jonathan S.] Australian Antarctic Div, Dept Climate Change Energy Environm &amp; Water, East Antarctic Monitoring Program, 203 Channel Highway, Kingston, Tas 7050, Australia</t>
  </si>
  <si>
    <t>Australian Antarctic Division</t>
  </si>
  <si>
    <t>Stark, JS (corresponding author), Australian Antarctic Div, Dept Climate Change Energy Environm &amp; Water, East Antarctic Monitoring Program, 203 Channel Highway, Kingston, Tas 7050, Australia.</t>
  </si>
  <si>
    <t>Jonny.stark@aad.gov.au</t>
  </si>
  <si>
    <t>Stark, Jonathan/0000-0002-4268-8072</t>
  </si>
  <si>
    <t>Australian Antarctic Division-Australian Antarctic Science [4180]; [2201]</t>
  </si>
  <si>
    <t>Australian Antarctic Division-Australian Antarctic Science;</t>
  </si>
  <si>
    <t>The following made valuable contributions to this study: the Casey dive teams between 2001/02 and 2006/07; Glenn Johnstone, Paul Goldsworthy, Belinda Goldsworthy, Martin Riddle, Ian Snape, Shane Powell, Kate Stark. This study was funded by the Australian Antarctic Division-Australian Antarctic Science grants #2201 and #4180.</t>
  </si>
  <si>
    <t>10.1016/j.envpol.2022.119885</t>
  </si>
  <si>
    <t>4X2QY</t>
  </si>
  <si>
    <t>WOS:000860693500008</t>
  </si>
  <si>
    <t>Nicolas, M; Martinent, G; Palinkas, L; Suedfeld, P</t>
  </si>
  <si>
    <t>Nicolas, Michel; Martinent, Guillaume; Palinkas, Lawrence; Suedfeld, Peter</t>
  </si>
  <si>
    <t>Dynamics of stress and recovery and relationships with perceived environmental mastery in extreme environments</t>
  </si>
  <si>
    <t>JOURNAL OF ENVIRONMENTAL PSYCHOLOGY</t>
  </si>
  <si>
    <t>Stress; Recovery; Environmental mastery; Extreme environments; Adaptation</t>
  </si>
  <si>
    <t>POLAR; PSYCHOLOGY; ADAPTATION; OUTCOMES; ISSUES</t>
  </si>
  <si>
    <t>This study investigated the dynamics of stress and recovery responses and their relationships with perceived environmental mastery during one-year of polar winter-over expeditioners in distinct environmental conditions of sub-Antarctic and Antarctic polar station. The findings of multilevel analysis suggested that the several stress and recovery responses experienced by the winterers were characterized by diverse dynamics according to the severity of the environment. Furthermore, perceived environmental mastery impacted differently the dynamics of these responses. This multidimensional study highlights the complex evolution of stress and recovery in these extreme situations and the central role of environmental mastery on the temporal patterns of these psychological dimensions with potential salutogenic effects. Practical recommendations for improving environmental mastery at the different stages of the mission including psychoeducation, monitoring and psychological preparation are proposed.</t>
  </si>
  <si>
    <t>[Nicolas, Michel] Univ Bourgogne Franche Comte, Lab Psy DREPI EA 7458, Dijon, France; [Martinent, Guillaume] Univ Lyon 1, Lab Vulnerabil &amp; Innovat Sport EA 7428, Interdisciplinary Res Confederat Sport FED 4272, Villeurbanne, France; [Suedfeld, Peter] Univ British Columbia, Dept Psychol, Vancouver, BC, Canada; [Palinkas, Lawrence] Univ Southern Calif, Los Angeles, CA USA</t>
  </si>
  <si>
    <t>Universite de Bourgogne; Universite Claude Bernard Lyon 1; University of British Columbia; University of Southern California</t>
  </si>
  <si>
    <t>Nicolas, M (corresponding author), Univ Bourgogne Franche Comte, Lab Psy DREPI EA 7458, Dijon, France.</t>
  </si>
  <si>
    <t>michel.nicolas@u-bourgogne.fr</t>
  </si>
  <si>
    <t>NICOLAS, Michel/AAZ-6390-2021</t>
  </si>
  <si>
    <t>NICOLAS, Michel/0000-0001-7206-671X</t>
  </si>
  <si>
    <t>European Space Agency (ESA); French Polar Institute IPEV (Institut Paul Emile Victor); TAAF (Terres Australes &amp; Antarctiques Francaises); Centre Nationale d'Etudes Spatiales (CNES), France; Canadian Space Agency</t>
  </si>
  <si>
    <t>European Space Agency (ESA)(European Space Agency); French Polar Institute IPEV (Institut Paul Emile Victor); TAAF (Terres Australes &amp; Antarctiques Francaises); Centre Nationale d'Etudes Spatiales (CNES), France; Canadian Space Agency(Canadian Space Agency)</t>
  </si>
  <si>
    <t>We would like to thank all of the participants who contributed to this international research program and especially the winter crews and the physicians who participated to perform the protocol during the winter months. The study was sponsored by the European Space Agency (ESA) , the French Polar Institute IPEV (Institut Paul Emile Victor) and the TAAF (Terres Australes &amp; Antarctiques Francaises) . The work reported in this paper was funded by research grants from the Centre Nationale d'Etudes Spatiales (CNES), France and supported by the Canadian Space Agency.</t>
  </si>
  <si>
    <t>0272-4944</t>
  </si>
  <si>
    <t>1522-9610</t>
  </si>
  <si>
    <t>J ENVIRON PSYCHOL</t>
  </si>
  <si>
    <t>J. Environ. Psychol.</t>
  </si>
  <si>
    <t>10.1016/j.jenvp.2022.101853</t>
  </si>
  <si>
    <t>Environmental Studies; Psychology, Multidisciplinary</t>
  </si>
  <si>
    <t>Environmental Sciences &amp; Ecology; Psychology</t>
  </si>
  <si>
    <t>4Y0NK</t>
  </si>
  <si>
    <t>WOS:000861231100001</t>
  </si>
  <si>
    <t>de Ferran, V; Figueiró, HV; Trindade, FD; Smith, O; Sinding, MHS; Trinca, CS; Lazzari, GZ; Veron, G; Vianna, JA; Barbanera, F; Kliver, S; Serdyukova, N; Bulyonkova, T; Ryder, OA; Gilbert, MTP; Koepfli, KP; Eizirik, E</t>
  </si>
  <si>
    <t>de Ferran, Vera; Figueiro, Henrique Vieira; Trindade, Fernanda de Jesus; Smith, Oliver; Sinding, Mikkel-Holger S.; Trinca, Cristine S.; Lazzari, Gabriele Zenato; Veron, Geraldine; Vianna, Juliana A.; Barbanera, Filippo; Kliver, Sergei; Serdyukova, Natalia; Bulyonkova, Tatiana; Ryder, Oliver A.; Gilbert, M. Thomas P.; Koepfli, Klaus-Peter; Eizirik, Eduardo</t>
  </si>
  <si>
    <t>Phylogenomics of the world's otters</t>
  </si>
  <si>
    <t>PHYLOGENETIC ANALYSIS; GENE TREES; CARNIVORA; MUSTELIDAE; ANCIENT; HISTORY; COLONIZATION; EVOLUTIONARY; ALIGNMENT; TAXONOMY</t>
  </si>
  <si>
    <t>Comparative whole-genome analyses hold great power to illuminate commonalities and differences in the evolution of related species that share similar ecologies. The mustelid subfamily Lutrinae includes 13 currently recognized extant species of otters,(1-5) a semiaquatic group whose evolutionary history is incompletely understood. We assembled a dataset comprising 24 genomes from all living otter species, 14 of which were newly sequenced. We used this dataset to infer phylogenetic relationships and divergence times, to characterize patterns of genome-wide genealogical discordance, and to investigate demographic history and current genomic diversity. We found that genera Lutra, Aonyx, Amblonyx, and Lutrogale form a coherent clade that should be synonymized under Lutra, simplifying the taxonomic structure of the subfamily. The poorly known tropical African Aonyx congicus and the more widespread Aonyx capensis were found to be reciprocally monophyletic (having diverged 440,000 years ago), supporting the validity of the former as a distinct species. We observed variable changes in effective population sizes over time among otters within and among continents, although several species showed similar trends of expansions and declines during the last 100,000 years. This has led to different levels of genomic diversity assessed by overall heterozygosity, genome-wide SNV density, and run of homozygosity burden. Interestingly, there were cases in which diversity metrics were consistent with the current threat status (mostly based on census size), highlighting the potential of genomic data for conservation assessment. Overall, our results shed light on otter evolutionary history and provide a framework for further in-depth comparative genomic studies targeting this group.</t>
  </si>
  <si>
    <t>[de Ferran, Vera; Trindade, Fernanda de Jesus; Trinca, Cristine S.; Lazzari, Gabriele Zenato; Eizirik, Eduardo] Pontificia Univ Catolica Rio Grande do Sul, Sch Hlth &amp; Life Sci, Av Ipiranga 6681,Predio 12C,Sala 134, BR-90619900 Porto Alegre, RS, Brazil; [Figueiro, Henrique Vieira; Koepfli, Klaus-Peter] Natl Zool Pk, Smithsonian Conservat Biol Inst, Ctr Species Survival, 3001 Connecticut Ave NW, Washington, DC 20008 USA; [Smith, Oliver; Sinding, Mikkel-Holger S.; Gilbert, M. Thomas P.] Univ Copenhagen, Ctr Evolutionary Hologen, GLOBE Inst, Oster Farimagsgade 5A, DK-1353 Copenhagen, Denmark; [Veron, Geraldine] Sorbonne Univ, Univ Antilles, Museum Natl Hist Nat, EPHE,Inst Systemat,Evolut,Biodiversite ISYEB,CNRS, 57 Rue Cuvier,CP 51, F-75231 Paris 5, France; [Vianna, Juliana A.] Pontificia Univ Catolica Chile, Fac Agron &amp; Ingn Forestal, Millennium Inst Ctr Genome Regulat CRG,Dept Ecosi, Millennium Inst Biodivers Antarctic &amp; Subantarct, Av Vicuna Mackenna 4860, Santiago 7820436, Chile; [Barbanera, Filippo] Univ Pisa, Dept Biol, Via A Volta 4, I-56126 Pisa, Italy; [Kliver, Sergei; Serdyukova, Natalia] Inst Mol &amp; Cellular Biol SB RAS, 8-2 Acad Lavrentiev Ave, Novosibirsk 630090, Russia; [Bulyonkova, Tatiana] AP Ershov Inst Informat Syst SB RAS, 6 Acad Lavrentiev Ave, Novosibirsk 630090, Russia; [Ryder, Oliver A.] San Diego Zoo Inst Conservat Res, Escondido, CA 92027 USA; [Ryder, Oliver A.] Univ Calif San Diego, Div Biol, Dept Evolut Behav &amp; Ecol, La Jolla, CA 92093 USA; [Gilbert, M. Thomas P.] Univ Museum, NTNU, Trondheim, Norway; [Koepfli, Klaus-Peter] George Mason Univ, Smithsonian Mason Sch Conservat, Front Royal, VA 22630 USA; [Eizirik, Eduardo] Inst Pro Carnivoros, Av Horatio Netto 1030, BR-12945010 Atibaia, SP, Brazil</t>
  </si>
  <si>
    <t>Pontificia Universidade Catolica Do Rio Grande Do Sul; Smithsonian Institution; Smithsonian National Zoological Park &amp; Conservation Biology Institute; University of Copenhagen; Sorbonne Universite; Universite PSL; Ecole Pratique des Hautes Etudes (EPHE); Museum National d'Histoire Naturelle (MNHN); Centre National de la Recherche Scientifique (CNRS); Pontificia Universidad Catolica de Chile; University of Pisa; Russian Academy of Sciences; Ershov Institute of Informatics Systems; Zoological Society of San Diego; University of California System; University of California San Diego; Smithsonian Institution; Smithsonian National Zoological Park &amp; Conservation Biology Institute</t>
  </si>
  <si>
    <t>Eizirik, E (corresponding author), Pontificia Univ Catolica Rio Grande do Sul, Sch Hlth &amp; Life Sci, Av Ipiranga 6681,Predio 12C,Sala 134, BR-90619900 Porto Alegre, RS, Brazil.;Koepfli, KP (corresponding author), Natl Zool Pk, Smithsonian Conservat Biol Inst, Ctr Species Survival, 3001 Connecticut Ave NW, Washington, DC 20008 USA.;Koepfli, KP (corresponding author), George Mason Univ, Smithsonian Mason Sch Conservat, Front Royal, VA 22630 USA.;Eizirik, E (corresponding author), Inst Pro Carnivoros, Av Horatio Netto 1030, BR-12945010 Atibaia, SP, Brazil.</t>
  </si>
  <si>
    <t>kkoepfli@gmu.edu; eduardo.eizirik@pucrs.br</t>
  </si>
  <si>
    <t>Koepfli, Klaus-Peter/AAT-9320-2020; Sinding, Mikkel-Holger S./B-9450-2015; Trinca, Cristine S/G-9507-2012; Eizirik, Eduardo/K-8034-2012; Vianna, Juliana A/E-9847-2015; Gilbert, Thomas/JSK-2650-2023; Gilbert, Marcus/A-8936-2013</t>
  </si>
  <si>
    <t>Eizirik, Eduardo/0000-0002-9658-0999; de Ferran, Vera/0000-0002-1417-4197; Gilbert, Marcus/0000-0002-5805-7195</t>
  </si>
  <si>
    <t>Office of Naval Research Global [N62909-15-1-N107]; CNPq [141172/2017-7, 309068/2019-3]; PUCRS/CAPES-PrInt Program [88887.370464/2019-00]; MCTIC/CNPq [465610/2014-5]; FAPEG [201810267000023]; ANID MILENIO [ICN2021_044, ICN2021_002]</t>
  </si>
  <si>
    <t>Office of Naval Research Global(Office of Naval Research); CNPq(Conselho Nacional de Desenvolvimento Cientifico e Tecnologico (CNPQ)); PUCRS/CAPES-PrInt Program; MCTIC/CNPq(Conselho Nacional de Desenvolvimento Cientifico e Tecnologico (CNPQ)); FAPEG(Fundacao de Amparo a Pesquisa do Estado do Goias (FAPEG)); ANID MILENIO</t>
  </si>
  <si>
    <t>We thank Prof. A.A. Khan (Zoology Department, Ghazi University, Dera Ghazi Khan, Pakistan) and Prof. T.M. Ansari (Institutional Research Ethical Committee of Bahauddin Zakariya University, Multan, Pakistan) for access to samples; Alexander Migura for help; the Smithsonian Institution High Performance Cluster (SI/HPC) for access to computational resources; and Drs. A.R. Percequillo, F.R. Santos, and S.L. Bonatto for constructive comments on a previous version of this manuscript (part of V.d.F.'s doctoral dissertation at PPG-EEB/PUCRS). Credits for the otter illustrations in the figures are to Toni Llobet in Handbook of the Mammals of the World, Vol. 1. Carnivores. Financial support for this study was provided by the Office of Naval Research Global (award N62909-15-1-N107 to E.E.), CNPq (grants 141172/2017-7 and 309068/2019-3 awarded to V.d.F. and E.E., respectively), the PUCRS/CAPES-PrInt Program (fellowship 88887.370464/2019-00 awarded to V.d.F.), and ANID MILENIO (ICN2021_044 and ICN2021_002 awarded to J.A.V.). This study is a contribution of the National Institute of Science and Technology in Ecology, Evolution and Biodiversity Conservation (INCT-EECBio), supported by MCTIC/CNPq (proc. 465610/2014-5) and FAPEG (proc. 201810267000023).</t>
  </si>
  <si>
    <t>AUG 22</t>
  </si>
  <si>
    <t>10.1016/j.cub.2022.06.036</t>
  </si>
  <si>
    <t>4F5MP</t>
  </si>
  <si>
    <t>WOS:000848556500012</t>
  </si>
  <si>
    <t>Bairstow, F; Gastauer, S; Wotherspoon, S; Brown, CTA; Kawaguchi, S; Edwards, T; Cox, MJ</t>
  </si>
  <si>
    <t>Bairstow, Fiona; Gastauer, Sven; Wotherspoon, Simon; Brown, C. Tom A.; Kawaguchi, So; Edwards, Tom; Cox, Martin J.</t>
  </si>
  <si>
    <t>Krill biomass estimation: Sampling and measurement variability</t>
  </si>
  <si>
    <t>Antarctic krill; biomass; fisheries acoustics; geostatistics; target strength; wetmass</t>
  </si>
  <si>
    <t>SOUTH SHETLAND ISLANDS; TARGET-STRENGTH MODEL; INDIAN-OCEAN SECTOR; ANTARCTIC KRILL; EUPHAUSIA-SUPERBA; IMPROVED PARAMETERIZATION; SCALE DISTRIBUTION; ORIENTATION; ABUNDANCE; GEOSTATISTICS</t>
  </si>
  <si>
    <t>Krill are the subject of growing commercial fisheries and therefore fisheries management is necessary to ensure long-term sustainability. Krill catch limits, set by Commission for the Conservation of Antarctic Marine Living Resources, are based on absolute krill biomass, estimated from acoustic-trawl surveys. In this work, we develop a method for determining an error budget for acoustic-trawl surveys of krill which includes sampling and measurement variability. We use our error budget method to examine the sensitivity of biomass estimates to parameters in acoustic target strength (TS) models, length frequency distribution and length to wetmass relationships derived from net data. We determined that the average coefficient of variation (CV) of estimated biomass was 17.7% and the average CV due from scaling acoustic observations to biomass density was 5.3%. We found that a large proportion of the variability of biomass estimates is due to the krill orientation distribution, a parameter in the TS model. Orientation distributions with narrow standard deviations were found to emphasise the results of nulls in the TS to length relationship, which has to potential to lead to biologically implausible results.</t>
  </si>
  <si>
    <t>[Bairstow, Fiona; Brown, C. Tom A.; Edwards, Tom] Univ St Andrews, Sch Phys &amp; Astron, SUPA, St Andrews, Scotland; [Gastauer, Sven] Thunen Inst Sea Fisheries, Bremerhaven, Germany; [Gastauer, Sven] Univ Calif San Diego, Scripps Inst Oceanog, San Diego, CA USA; [Wotherspoon, Simon; Kawaguchi, So; Cox, Martin J.] Australian Antarctic Div, Dept Agr Water &amp; Environm, Kingston, Tas, Australia</t>
  </si>
  <si>
    <t>University of St Andrews; Johann Heinrich von Thunen Institute; University of California System; University of California San Diego; Scripps Institution of Oceanography; Australian Antarctic Division</t>
  </si>
  <si>
    <t>Cox, MJ (corresponding author), Australian Antarctic Div, Dept Agr Water &amp; Environm, Kingston, Tas, Australia.</t>
  </si>
  <si>
    <t>Gastauer, Sven/KFT-2835-2024</t>
  </si>
  <si>
    <t>Brown, Christian Thomas Alcuin/0000-0002-4405-6677; Gastauer, Sven/0000-0001-9676-9946</t>
  </si>
  <si>
    <t>EPSRC [EP/R513337/1]</t>
  </si>
  <si>
    <t>EPSRC(UK Research &amp; Innovation (UKRI)Engineering &amp; Physical Sciences Research Council (EPSRC))</t>
  </si>
  <si>
    <t>FB is funded by an EPSRC studentship (grant code: EP/R513337/1).</t>
  </si>
  <si>
    <t>10.3389/fmars.2022.903035</t>
  </si>
  <si>
    <t>4I6FW</t>
  </si>
  <si>
    <t>WOS:000850672500001</t>
  </si>
  <si>
    <t>Gorb, EV; Kozeretska, IA; Gorb, SN</t>
  </si>
  <si>
    <t>V. Gorb, Elena; Kozeretska, Iryna A.; Gorb, Stanislav N.</t>
  </si>
  <si>
    <t>Hierachical epicuticular wax coverage on leaves of Deschampsia antarctica as a possible adaptation to severe environmental conditions</t>
  </si>
  <si>
    <t>BEILSTEIN JOURNAL OF NANOTECHNOLOGY</t>
  </si>
  <si>
    <t>cryo-SEM; microstructure; plant; surface; wax projection</t>
  </si>
  <si>
    <t>VASCULAR PLANTS; SLIPPERY ZONE; GROWTH; ULTRASTRUCTURE; CLASSIFICATION; TEMPERATURE; RADIATION; FEATURES; PITCHERS; POACEAE</t>
  </si>
  <si>
    <t>Using cryo scanning electron microscopy, the surface micromorphology of vegetative (leaf blade and ligule) and generative (pedicel and outer glume) organs in Deschampsia antarctica, one of the only two flowering plants native to Antarctica, was exam-ined. Whereas the pedicel and outer glume were wax-free, both leaf sides had a prominent epicuticular wax coverage consisting of two superimposed layers: polygonal rodlets formed by fused irregular platelets (the lower wax layer) and membraneous platelets (the upper wax layer). Although the adaxial (inner) and abaxial (outer) leaf surfaces showed a similar microstructure of the wax coverage, they differed in the thickness ratio between lower and upper wax layer. The ligule bore a very loose wax coverage composed of separate scale-like projections or clusters of them. We suppose that the two-layered wax densely covering both leaf surfaces might contribute to the plant adaptation to severe environmental conditions in Antarctica due to an increase of its resis-tance against cold temperatures, icing, harmful UV radiation, and dehydration. The presence of the epicuticular wax on the abaxial leaf side and the ligule as well as the hierarchical structure of the wax coverage on both leaf surfaces is described in D. antarctica for the first time.</t>
  </si>
  <si>
    <t>[V. Gorb, Elena; Gorb, Stanislav N.] Univ Kiel, Zool Inst, Dept Funct Morphol &amp; Biomech, Bot Garten 9, D-24118 Kiel, Germany; [Kozeretska, Iryna A.] Natl Antarctic Sci Ctr Ukraine, Taras Shevchenko Blvd 16, UA-01601 Kiev, Ukraine</t>
  </si>
  <si>
    <t>University of Kiel; Ministry of Education &amp; Science of Ukraine; State Institution National Antarctic Scientific Center</t>
  </si>
  <si>
    <t>Gorb, EV (corresponding author), Univ Kiel, Zool Inst, Dept Funct Morphol &amp; Biomech, Bot Garten 9, D-24118 Kiel, Germany.</t>
  </si>
  <si>
    <t>egorb@zoologie.uni-kiel.de; sgorb@zoologie.uni-kiel.de</t>
  </si>
  <si>
    <t>Kozeretska, Iryna/F-1383-2010</t>
  </si>
  <si>
    <t>Kozeretska, Iryna/0000-0002-6485-1408</t>
  </si>
  <si>
    <t>BEILSTEIN-INSTITUT</t>
  </si>
  <si>
    <t>FRANKFURT AM MAIN</t>
  </si>
  <si>
    <t>TRAKEHNER STRASSE 7-9, FRANKFURT AM MAIN, 60487, GERMANY</t>
  </si>
  <si>
    <t>2190-4286</t>
  </si>
  <si>
    <t>BEILSTEIN J NANOTECH</t>
  </si>
  <si>
    <t>Beilstein J. Nanotechnol.</t>
  </si>
  <si>
    <t>10.3762/bjnano.13.71</t>
  </si>
  <si>
    <t>Nanoscience &amp; Nanotechnology; Materials Science, Multidisciplinary; Physics, Applied</t>
  </si>
  <si>
    <t>Science &amp; Technology - Other Topics; Materials Science; Physics</t>
  </si>
  <si>
    <t>4A1NN</t>
  </si>
  <si>
    <t>WOS:000844877400001</t>
  </si>
  <si>
    <t>Balasco, N; Paladino, A; Graziano, G; D'Abramo, M; Vitagliano, L</t>
  </si>
  <si>
    <t>Balasco, Nicole; Paladino, Antonella; Graziano, Giuseppe; D'Abramo, Marco; Vitagliano, Luigi</t>
  </si>
  <si>
    <t>Atomic-Level View of the Functional Transition in Vertebrate Hemoglobins: The Case of Antarctic Fish Hbs</t>
  </si>
  <si>
    <t>JOURNAL OF CHEMICAL INFORMATION AND MODELING</t>
  </si>
  <si>
    <t>QUATERNARY-STRUCTURE; CRYSTAL-STRUCTURE; PAGOTHENIA-BERNACCHII; TETRAMERIC HEMOGLOBIN; TREMATOMUS-BERNACCHII; DYNAMICS; SIMULATIONS; ADAPTATIONS; ALLOSTERY; GROMACS</t>
  </si>
  <si>
    <t>Tetrameric hemoglobins (Hbs) are prototypal systems for studies aimed at unveiling basic structure-function relationships as well as investigating the molecular/structural basis of adaptation of living organisms to extreme conditions. However, a chronological analysis of decade-long studies conducted on Hbs is illuminating on the difficulties associated with the attempts of gaining functional insights from static structures. Here, we applied molecular dynamics (MD) simulations to explore the functional transition from the T to the R state of the hemoglobin of the Antarctic fish Trematomus bernacchii (HbTb). Our study clearly demonstrates the ability of the MD technique to accurately describe the transition of HbTb from the T to R-like states, as shown by a number of global and local structural indicators. A comparative analysis of the structural states that HbTb assumes in the simulations with those detected in previous MD analyses conducted on HbA (human Hb) highlights interesting analogies (similarity of the transition pathway) and differences (distinct population of intermediate states). In particular, the ability of HbTb to significantly populate intermediate states along the functional pathway explains the observed propensity of this protein to assume these structures in the crystalline state. It also explains some functional data reported on the protein that indicate the occurrence of other functional states in addition to the canonical R and T ones. These findings are in line with the emerging idea that the classical two-state view underlying tetrameric Hb functionality is probably an oversimplification and that other structural states play important roles in these proteins. The ability of MD simulations to accurately describe the functional pathway in tetrameric Hbs suggests that this approach may be effectively applied to unravel the molecular and structural basis of Hbs exhibiting peculiar functional properties as a consequence of the environmental adaptation of the host organism.</t>
  </si>
  <si>
    <t>[Balasco, Nicole] Univ Rome, Inst Mol Biol &amp; Pathol, CNR, Dept Chem, I-00185 Rome, Italy; [Graziano, Giuseppe] Univ Sannio, Dept Sci &amp; Technol, I-82100 Benevento, Italy; [Paladino, Antonella; Vitagliano, Luigi] CNR, Inst Biostruct &amp; Bioimaging, I-80131 Naples, Italy; [D'Abramo, Marco] Univ Rome Sapienza, Dept Chem, I-00185 Rome, Italy</t>
  </si>
  <si>
    <t>Consiglio Nazionale delle Ricerche (CNR); Istituto di Biologia e Patologia Molecolari (IBPM-CNR); Sapienza University Rome; University of Sannio; Consiglio Nazionale delle Ricerche (CNR); Istituto di Biostrutture e Bioimmagini (IBB-CNR); Sapienza University Rome</t>
  </si>
  <si>
    <t>Paladino, A (corresponding author), CNR, Inst Biostruct &amp; Bioimaging, I-80131 Naples, Italy.;D'Abramo, M (corresponding author), Univ Rome Sapienza, Dept Chem, I-00185 Rome, Italy.</t>
  </si>
  <si>
    <t>antonella.paladino@cnr.it; marco.dabramo@uniroma1.it</t>
  </si>
  <si>
    <t>Balasco, Nicole/JFK-4445-2023; D'Abramo, Marco/A-5845-2012</t>
  </si>
  <si>
    <t>Paladino, Antonella/0000-0002-9397-1572; D'Abramo, Marco/0000-0001-6020-8581</t>
  </si>
  <si>
    <t>1549-9596</t>
  </si>
  <si>
    <t>1549-960X</t>
  </si>
  <si>
    <t>J CHEM INF MODEL</t>
  </si>
  <si>
    <t>J. Chem Inf. Model.</t>
  </si>
  <si>
    <t>10.1021/acs.jcim.2c00727</t>
  </si>
  <si>
    <t>Chemistry, Medicinal; Chemistry, Multidisciplinary; Computer Science, Information Systems; Computer Science, Interdisciplinary Applications</t>
  </si>
  <si>
    <t>Pharmacology &amp; Pharmacy; Chemistry; Computer Science</t>
  </si>
  <si>
    <t>4B8BU</t>
  </si>
  <si>
    <t>WOS:000845996300001</t>
  </si>
  <si>
    <t>Johnstone, JW; Lunden, JJ; Waller, RG; Poulton, NJ; Togami, H</t>
  </si>
  <si>
    <t>Johnstone, Julia W.; Lunden, Jay J.; Waller, Rhian G.; Poulton, Nicole J.; Togami, Hanae</t>
  </si>
  <si>
    <t>Antarctic deep-sea coral larvae may be resistant to end-century ocean warming</t>
  </si>
  <si>
    <t>CORAL REEFS</t>
  </si>
  <si>
    <t>Cold-water coral; Larval development; Ocean warming; Polar physiology; Western Antarctic Peninsula</t>
  </si>
  <si>
    <t>THERMAL TOLERANCE; BRANSFIELD STRAIT; TEMPERATE CORAL; WATERS; GROWTH; ACIDIFICATION; SURVIVORSHIP; CONNECTIVITY; VARIABILITY; METABOLISM</t>
  </si>
  <si>
    <t>The Western Antarctic Peninsula is home to a diverse assemblage of deep-sea species and is warming faster than any other region in the Southern Hemisphere. This study investigated how larval development of the Antarctic cold-water coral Flabellum impensum was affected by temperatures consistent with ocean warming trends predicted for the twenty-first century. F. impensum larvae were cultured under four temperature conditions and scanning electron microscopy, transmission electron microscopy, and flow cytometry were used to compare settlement, mortality, larval size, development, deformity, and cellular health over the course of 44 days. While temperature did not impact settlement, mortality, or larval stress, the warmer treatments did have a significant impact on developmental rate. Samples exposed to warmer conditions developed faster than those in cooler conditions. Increased developmental rates were not accompanied by increased stress indicators such as deformity, mortality, or programmed cell death, suggesting that larval health was not negatively impacted by the rate change and may indicate that F. impensum larvae are tolerant of warming temperatures. Development and deformity assessments considered larval condition during the period between release and settlement, when larvae are thought to be especially sensitive to environmental impacts, and when the effects of those impacts on settlement or mortality may be particularly consequential for biogeography and population survival. These results suggest that larval development of F. impensum may be largely resistant to ocean warming trends predicted for the twenty-first century.</t>
  </si>
  <si>
    <t>[Johnstone, Julia W.; Waller, Rhian G.] Univ Maine, Darling Marine Ctr, Sch Marine Sci, Walpole, ME 04573 USA; [Lunden, Jay J.] Temple Univ, Dept Biol, Philadelphia, PA 19122 USA; [Waller, Rhian G.] Univ Gothenburg, Tjarno Marine Lab, Gothenburg, Sweden; [Poulton, Nicole J.] Bigelow Lab Ocean Sci, East Boothbay, ME USA; [Togami, Hanae] Haverford Coll, Dept Biol, Haverford, PA 19041 USA</t>
  </si>
  <si>
    <t>University of Maine System; University of Maine Orono; Pennsylvania Commonwealth System of Higher Education (PCSHE); Temple University; University of Gothenburg; Bigelow Laboratory for Ocean Sciences; Haverford College</t>
  </si>
  <si>
    <t>Johnstone, JW (corresponding author), Univ Maine, Darling Marine Ctr, Sch Marine Sci, Walpole, ME 04573 USA.</t>
  </si>
  <si>
    <t>julia.johnstone@maine.edu</t>
  </si>
  <si>
    <t>Waller, Rhian G/C-9000-2009</t>
  </si>
  <si>
    <t>Johnstone, Julia/0000-0003-3677-0026</t>
  </si>
  <si>
    <t>National Science Foundation [PLR-1245766]</t>
  </si>
  <si>
    <t>National Science Foundation, PLR-1245766, Rhian Waller</t>
  </si>
  <si>
    <t>0722-4028</t>
  </si>
  <si>
    <t>1432-0975</t>
  </si>
  <si>
    <t>Coral Reefs</t>
  </si>
  <si>
    <t>10.1007/s00338-022-02297-w</t>
  </si>
  <si>
    <t>4Z8TG</t>
  </si>
  <si>
    <t>WOS:000842902300001</t>
  </si>
  <si>
    <t>Viganò, A; Coxall, HK; Holmström, M; Vinco, M; Lear, CH; Agnini, C</t>
  </si>
  <si>
    <t>Vigano, Allyson; Coxall, Helen K.; Holmstrom, Max; Vinco, Martina; Lear, Caroline H.; Agnini, Claudia</t>
  </si>
  <si>
    <t>Calcareous nannofossils across the Eocene-Oligocene transition at Site 756 (Ninetyeast Ridge, Indian Ocean): implications for biostratigraphy and paleoceanographic clues</t>
  </si>
  <si>
    <t>NEWSLETTERS ON STRATIGRAPHY</t>
  </si>
  <si>
    <t>calcareous nannofossils; biostratigraphy; paleoecology; Eocene-Oligocene transition; ODP Hole 756C</t>
  </si>
  <si>
    <t>NORTH-ATLANTIC OCEAN; EQUATORIAL PACIFIC; MIDDLE EOCENE; ANTARCTIC GLACIATION; KERGUELEN PLATEAU; STABLE-ISOTOPE; EOCENE/OLIGOCENE BOUNDARY; PLANKTONIC-FORAMINIFERA; CLIMATIC OPTIMUM; THERMAL MAXIMUM</t>
  </si>
  <si>
    <t>The timing and modalities of calcareous phytoplankton community and evolutionary responses to the Eocene-Oligocene transition (EOT, similar to 34 Ma) are still under-investigated. In order to better constrain the dynamics of these pelagic primary producers during the climate transition, we conducted high resolution assemblage analysis on calcareous nannofossils across a similar to 19 m-thick interval of nannofossil ooze at Ocean Drilling Program (ODP) Site 756 (Ninetyeast Ridge, Indian Ocean; Peirce et al. 1989) (paleolatitude similar to 43 degrees S; Zachos et al. 1992). We explored the diversity patterns against a new integrated planktonic foraminifera and calcareous nannofossil biostratigraphy produced for the site, as well as new benthic foraminifera and bulk sediment stable isotope (C, O) records, which documents ocean-climate changes, and provides independent chemostratigraphy. The study section spans nannofossil Zones NP20-NP23 (equivalent to CNE20-CNO4) and lasts 5.5 Myr. The results show that the hankeninid extinction falls within the similar to 4.5 m-thick EOT isotopic interval (0.67 m below the base of the second positive delta O-18 shift - EOIS), which is consistent with previous studies, making Hole 756C one of a few sites globally boasting both the familiar stepped delta O-18 and delta C-13 structure of the EOT and the primary biostratigraphic marker defining the base of the Oligocene. A series of potentially useful new calcareous nannofossil bioevents were identified that could help improve dating and correlation of this crucial interval. In this context, changes in calcareous nannofossil assemblages observed across EOT are interpreted in terms of modifications of paleoecological parameters that typically control the abundance and distribution of different taxa. Variations in sea surface temperature and nutrient availability are considered to be the most likely triggers for the calcareous phytoplankton changes observed across EOT. Specifically, our data suggest that increased nutrients in the mixed layer played a key role in shaping the late Eocene - early Oligocene calcareous nannofossil assemblages.</t>
  </si>
  <si>
    <t>[Vigano, Allyson; Vinco, Martina; Agnini, Claudia] Univ Padua, Dipartimento Geosci, Via Gradenigo 6, I-35131 Padua, Italy; [Coxall, Helen K.; Holmstrom, Max] Stockholm Univ, Dept Geol Sci, SE-10691 Stockholm, Sweden; [Lear, Caroline H.] Cardiff Univ, Sch Earth &amp; Environm Sci, Main Bldg,Pk Pl, Cardiff CF10 3AT, Wales</t>
  </si>
  <si>
    <t>University of Padua; Stockholm University; Cardiff University</t>
  </si>
  <si>
    <t>Viganò, A (corresponding author), Univ Padua, Dipartimento Geosci, Via Gradenigo 6, I-35131 Padua, Italy.</t>
  </si>
  <si>
    <t>allyson.vigano@phd.unipd.it; helen.coxall@geo.su.se; learc@cardiff.ac.uk; claudia.agnini@unipd.it</t>
  </si>
  <si>
    <t>Agnini, Claudia/AAB-9971-2020; Vigano', Allyson/KAM-5579-2024; Lear, Caroline H/D-2582-2009</t>
  </si>
  <si>
    <t>Agnini, Claudia/0000-0001-9749-6003; Vigano', Allyson/0000-0002-5347-3421;</t>
  </si>
  <si>
    <t>U.S. National Science Foundation (NSF); University of Padova</t>
  </si>
  <si>
    <t>U.S. National Science Foundation (NSF)(National Science Foundation (NSF)); University of Padova</t>
  </si>
  <si>
    <t>The authors are grateful to the Integrated Ocean Drilling Program (IODP) for providing samples and data used in this study. The IODP is sponsored by the U.S. National Science Foundation (NSF) and participating countries under the management of Joint Oceanographic Institutions, Inc. Thanks to Elias Chadli for planktonic foraminifera sample washing and benthic foraminifera stable isotope picking and to Heike Sigmund for stable isotope analysis at Stockholm University. We sincerely thank Paul Pearson for his insightful comments on the manuscript. Isabella Raffi and Davide Persico are deeply thanked for their constructive comments in the capacity of reviewers of A. V.' s PhD thesis during the evaluation process required by Italian law. A. V. and C. A. were supported by University of Padova.</t>
  </si>
  <si>
    <t>GEBRUDER BORNTRAEGER</t>
  </si>
  <si>
    <t>JOHANNESSTR 3A, D-70176 STUTTGART, GERMANY</t>
  </si>
  <si>
    <t>0078-0421</t>
  </si>
  <si>
    <t>NEWSL STRATIGR</t>
  </si>
  <si>
    <t>Newsl. Stratigr.</t>
  </si>
  <si>
    <t>MAR</t>
  </si>
  <si>
    <t>10.1127/nos/2022/0725</t>
  </si>
  <si>
    <t>Z5AF1</t>
  </si>
  <si>
    <t>WOS:000842457600001</t>
  </si>
  <si>
    <t>Sato, K; Inoue, J; Yamazaki, A; Tomikawa, Y; Sato, K</t>
  </si>
  <si>
    <t>Sato, Kazutoshi; Inoue, Jun; Yamazaki, Akira; Tomikawa, Yoshihiro; Sato, Kaoru</t>
  </si>
  <si>
    <t>Reduced error and uncertainty in analysis and forecasting in the Southern Hemisphere through assimilation of PANSY radar observations from Syowa Station: A midlatitude extreme cyclone case</t>
  </si>
  <si>
    <t>QUARTERLY JOURNAL OF THE ROYAL METEOROLOGICAL SOCIETY</t>
  </si>
  <si>
    <t>analysis data; Antarctica; data assimilation; radar; TIGGE; weather forecast</t>
  </si>
  <si>
    <t>RADIOSONDE OBSERVATIONS; PERFORMANCE; IMPACT</t>
  </si>
  <si>
    <t>The sparse distribution of the observing network over the high latitudes of the Southern Hemisphere reduces the accuracy of regional atmospheric circulation (re)analysis and weather forecasting. Using operational medium-range ensemble forecasts, we compared the forecast skill among forecast centres regarding a midlatitude cyclone close to western Australia on 17 December 2017. At forecast day 4.5, a large ensemble spread in an upper-level trough over western Australia, which had travelled from coastal Antarctica, caused large uncertainty and error in the predicted position of the midlatitude cyclone. Using an ensemble data assimilation system and the Atmospheric General Circulation Model for the Earth Simulator and the Local Ensemble Transform Kalman Filter Experimental Ensemble Reanalysis version 2 (ALERA2), we conducted an operational forecast experiment to investigate the impact on ALERA2 and its forecast result of assimilation of 1-hourly horizontal wind speed observational data from the PANSY radar located at the Japanese Syowa Station in Antarctica. An observing system experiment revealed that incorporation of PANSY radar data improved the reproducibility of atmospheric parameters in the troposphere and lower stratosphere as initial conditions for forecasting. To investigate the impact of PANSY radar data on forecast skill regarding the midlatitude cyclone, 63-member ensemble forecast experiments were conducted using analysis data both with and without PANSY data as initial conditions. Comparison of the forecast results from the ensemble forecast experiments confirmed that incorporation of PANSY radar data reduced the ensemble spread and error in the upper troposphere over the Antarctic region as initial conditions, which enhanced the accuracy of the prediction of the positions of the upper-level trough and surface cyclone over western Australia at forecast day 4.5. These experiments suggest that the PANSY radar represents an observing system suitable for continuous improvement in forecast skill of the atmospheric circulation in the Southern Hemisphere.</t>
  </si>
  <si>
    <t>[Sato, Kazutoshi] Kitami Inst Technol, Kitami, Hokkaido 0908507, Japan; [Sato, Kazutoshi; Inoue, Jun; Yamazaki, Akira] Japan Agcy Marine Earth Sci &amp; Technol, Applicat Lab, Yokohama, Kanagawa, Japan; [Inoue, Jun; Tomikawa, Yoshihiro] Natl Inst Polar Res, Tachikawa, Tokyo, Japan; [Inoue, Jun; Tomikawa, Yoshihiro] SOKENDAI Grad Univ Adv Studies, Hayama, Kanagawa, Japan; [Tomikawa, Yoshihiro; Sato, Kaoru] Res Org Informat &amp; Syst, Polar Environm Data Sci Ctr, Tachikawa, Tokyo, Japan; [Sato, Kaoru] Univ Tokyo, Tokyo, Japan</t>
  </si>
  <si>
    <t>Kitami Institute of Technology; Japan Agency for Marine-Earth Science &amp; Technology (JAMSTEC); Research Organization of Information &amp; Systems (ROIS); National Institute of Polar Research (NIPR) - Japan; Graduate University for Advanced Studies - Japan; Research Organization of Information &amp; Systems (ROIS); University of Tokyo</t>
  </si>
  <si>
    <t>Sato, K (corresponding author), Kitami Inst Technol, Kitami, Hokkaido 0908507, Japan.</t>
  </si>
  <si>
    <t>satokazu@mail.kitami-it.ac.jp</t>
  </si>
  <si>
    <t>Tomikawa, Yoshihiro/D-5304-2012; Sato, Kaoru/E-1693-2012</t>
  </si>
  <si>
    <t>Tomikawa, Yoshihiro/0000-0002-5652-3017; Sato, Kazutoshi/0000-0003-0216-8942; Yamazaki, Akira/0000-0003-2562-2693</t>
  </si>
  <si>
    <t>National Institute of Polar Research (NIPR); Japanese Antarctic Research Expedition (JARE); JSPS KAKENHI [18H05053, 19K14802, 20H04963, 22K14103, 22H00169]; Grants-in-Aid for Scientific Research [22K14103] Funding Source: KAKEN</t>
  </si>
  <si>
    <t>National Institute of Polar Research (NIPR)(National Institute of Polar Research (NIPR) - Japan); Japanese Antarctic Research Expedition (JARE); JSPS KAKENHI(Ministry of Education, Culture, Sports, Science and Technology, Japan (MEXT)Japan Society for the Promotion of ScienceGrants-in-Aid for Scientific Research (KAKENHI)); Grants-in-Aid for Scientific Research(Ministry of Education, Culture, Sports, Science and Technology, Japan (MEXT)Japan Society for the Promotion of ScienceGrants-in-Aid for Scientific Research (KAKENHI))</t>
  </si>
  <si>
    <t>National Institute of Polar Research (NIPR); Japanese Antarctic Research Expedition (JARE); JSPS KAKENHI, Grant/Award Numbers: 18H05053, 19K14802, 20H04963, 22K14103, 22H00169</t>
  </si>
  <si>
    <t>0035-9009</t>
  </si>
  <si>
    <t>1477-870X</t>
  </si>
  <si>
    <t>Q J ROY METEOR SOC</t>
  </si>
  <si>
    <t>Q. J. R. Meteorol. Soc.</t>
  </si>
  <si>
    <t>10.1002/qj.4347</t>
  </si>
  <si>
    <t>6C9OL</t>
  </si>
  <si>
    <t>WOS:000842663500001</t>
  </si>
  <si>
    <t>van der Bilt, WGM; D'Andrea, WJ; Oppedal, LT; Bakke, J; Bjune, AE; Zwier, M</t>
  </si>
  <si>
    <t>van der Bilt, Willem G. M.; D'Andrea, William J.; Oppedal, Lea T.; Bakke, Jostein; Bjune, Anne E.; Zwier, Maaike</t>
  </si>
  <si>
    <t>Stable Southern Hemisphere westerly winds throughout the Holocene until intensification in the last two millennia</t>
  </si>
  <si>
    <t>INTERTROPICAL CONVERGENCE ZONE; N-ALKANE DISTRIBUTIONS; ANNULAR MODE SAM; DELTA-D VALUES; EL-NINO; GLACIER CHANGES; ORGANIC-MATTER; CLIMATE-CHANGE; VARIABILITY; ISOTOPES</t>
  </si>
  <si>
    <t>The Southern Hemisphere westerly winds sustain the Southern Ocean's role as one of Earth's main carbon sinks, and have helped sequester nearly half the anthropogenic CO2 stored in the ocean. Observations show shifts in the vigor of this climate regulator, but models disagree how future change impacts carbon storage due to scarce baseline data. Here, we use the hydrogen isotope ratios of sedimentary lipids to resolve Holocene changes in Southern Hemisphere westerly wind strength. Our reconstruction reveals stable values until similar to 2150 years ago when aquatic compounds became more H-2-enriched. We attribute this isotope excursion to wind-driven lake water evaporation, and regional paleoclimate evidence shows it marks a trend towards a negative Southern Annular Mode - the Southern Ocean's main mode of atmospheric variability. Because this shift is unmatched in the past 7000 years, our findings suggest that previously published millennium-long Southern Annular Mode indices used to benchmark future change may not capture the full range of natural variability.</t>
  </si>
  <si>
    <t>[van der Bilt, Willem G. M.; Oppedal, Lea T.; Bakke, Jostein] Univ Bergen, Dept Earth Sci, Bergen, Norway; [van der Bilt, Willem G. M.; Oppedal, Lea T.; Bakke, Jostein; Bjune, Anne E.; Zwier, Maaike] Univ Bergen, Bjerknes Ctr Climate Res, Bergen, Norway; [D'Andrea, William J.] Columbia Univ, Lamont Doherty Earth Observ, New York, NY USA; [Bjune, Anne E.; Zwier, Maaike] Univ Bergen, Dept Biol Sci, Bergen, Norway</t>
  </si>
  <si>
    <t>University of Bergen; Bjerknes Centre for Climate Research; University of Bergen; Columbia University; University of Bergen</t>
  </si>
  <si>
    <t>van der Bilt, WGM (corresponding author), Univ Bergen, Dept Earth Sci, Bergen, Norway.;van der Bilt, WGM (corresponding author), Univ Bergen, Bjerknes Ctr Climate Res, Bergen, Norway.</t>
  </si>
  <si>
    <t>willemvanderbilt@uib.no</t>
  </si>
  <si>
    <t>D'Andrea, William/0000-0003-0182-8857; Zwier, Maaike/0000-0001-7029-7266; Bakke, Jostein/0000-0001-6114-0400; van der Bilt, Willem/0000-0003-3157-451X; Bjune, Anne Elisabeth/0000-0002-4509-0148</t>
  </si>
  <si>
    <t>Norwegian Research Council (RCN) [210004, 267719]; Trond Mohn Stiftelse</t>
  </si>
  <si>
    <t>Norwegian Research Council (RCN)(Research Council of Norway); Trond Mohn Stiftelse</t>
  </si>
  <si>
    <t>This study was funded with the support of the Norwegian Research Council (RCN) grants nr. 210004 (J.B.) and 267719 (J.B. and W.G.M.v.d.B.), a Starting Grant (W.G.M.v.d.B.) from the Trond Mohn Stiftelse, and a personal mobility grant from the RCN (L.T.O.). We would like to thank BjOrn Kvisvik, Asmund Bakke, Oyvind Paasche, Sunniva Solheim Vatle, Thom Whitfield, and the British Antarctic Survey (BAS) for their support during fieldwork and permission to sample. Finally, we want to express our gratitude to the three reviewers who helped improve this work.</t>
  </si>
  <si>
    <t>AUG 20</t>
  </si>
  <si>
    <t>10.1038/s43247-022-00512-8</t>
  </si>
  <si>
    <t>3W2AJ</t>
  </si>
  <si>
    <t>WOS:000842154000001</t>
  </si>
  <si>
    <t>Li, ZL; Buck, M</t>
  </si>
  <si>
    <t>Li, Zhen-Lu; Buck, Matthias</t>
  </si>
  <si>
    <t>A proteome-scale analysis of vertebrate protein amino acid occurrence: Thermoadaptation shows a correlation with protein solvation but less so with dynamics</t>
  </si>
  <si>
    <t>PROTEINS-STRUCTURE FUNCTION AND BIOINFORMATICS</t>
  </si>
  <si>
    <t>amino acid utilization; Antarctic fish; molecular evolution; protein dynamics and solvation; thermoadaptation</t>
  </si>
  <si>
    <t>COLD ADAPTATION; EVOLUTION; ALLOSTERY; DETERMINANTS; MUTATIONS</t>
  </si>
  <si>
    <t>Despite differences in behaviors and living conditions, vertebrate organisms share the great majority of proteins, often with subtle differences in amino acid sequence. Here, we present a simple way to analyze the difference in amino acid occurrence by comparing highly homologous proteins on a subproteome level between several vertebrate model organisms. Specifically, we use this method to identify a pattern of amino acid conservation as well as a shift in amino acid occurrence between homeotherms (warm-blooded species) and poikilotherms (cold-blooded species). Importantly, this general analysis and a specific example further establish a broad correlation, if not likely connection between the thermal adaptation of protein sequences and two of their physical features: on average a change in their protein dynamics and, even more strongly, in their solvation. For poikilotherms, such as frog and fish, the lower body temperature is expected to increase the protein-protein interaction due to a decrease in protein internal dynamics. In order to counteract the tendency for enhanced binding caused by low temperatures, poikilotherms enhance the solvation of their proteins by favoring polar amino acids. This feature appears to dominate over possible changes in dynamics for some proteins. The results suggest that a general trend for amino acid choice is part of the mechanism for thermoadaptation of vertebrate organisms at the molecular level.</t>
  </si>
  <si>
    <t>[Li, Zhen-Lu] Tianjin Univ, Sch Life Sci, Tianjin 300072, Peoples R China; [Li, Zhen-Lu; Buck, Matthias] Case Western Reserve Univ, Sch Med, Dept Physiol &amp; Biophys, 10900 Euclid Ave, Cleveland, OH 44106 USA; [Buck, Matthias] Case Western Reserve Univ, Sch Med, Dept Pharmacol, Cleveland, OH 44106 USA; [Buck, Matthias] Case Western Reserve Univ, Sch Med, Dept Neurosci, Cleveland, OH 44106 USA</t>
  </si>
  <si>
    <t>Tianjin University; University System of Ohio; Case Western Reserve University; University System of Ohio; Case Western Reserve University; University System of Ohio; Case Western Reserve University</t>
  </si>
  <si>
    <t>Li, ZL (corresponding author), Tianjin Univ, Sch Life Sci, Tianjin 300072, Peoples R China.;Li, ZL; Buck, M (corresponding author), Case Western Reserve Univ, Sch Med, Dept Physiol &amp; Biophys, 10900 Euclid Ave, Cleveland, OH 44106 USA.</t>
  </si>
  <si>
    <t>zxl480@tju.edu.cn; matthias.buck@case.edu</t>
  </si>
  <si>
    <t>LI, ZHENLU/ABA-2654-2020</t>
  </si>
  <si>
    <t>LI, ZHENLU/0000-0003-2101-8237</t>
  </si>
  <si>
    <t>Biomedical Applications Group at the Pittsburgh Supercomputing Center; NIH [R01GM116961]; NIGMS [R01GM073071 R01GM092851]; National Eye Institute [R01EY029169]</t>
  </si>
  <si>
    <t>Biomedical Applications Group at the Pittsburgh Supercomputing Center; NIH(United States Department of Health &amp; Human ServicesNational Institutes of Health (NIH) - USA); NIGMS(United States Department of Health &amp; Human ServicesNational Institutes of Health (NIH) - USANIH National Institute of General Medical Sciences (NIGMS)); National Eye Institute(United States Department of Health &amp; Human ServicesNational Institutes of Health (NIH) - USANIH National Eye Institute (NEI))</t>
  </si>
  <si>
    <t>Biomedical Applications Group at the Pittsburgh Supercomputing Center and NIH, Grant/Award Number: R01GM116961; NIGMS, Grant/Award Number: R01GM073071 R01GM092851; National Eye Institute, Grant/Award Number: R01EY029169</t>
  </si>
  <si>
    <t>0887-3585</t>
  </si>
  <si>
    <t>1097-0134</t>
  </si>
  <si>
    <t>PROTEINS</t>
  </si>
  <si>
    <t>Proteins</t>
  </si>
  <si>
    <t>10.1002/prot.26404</t>
  </si>
  <si>
    <t>7A9MG</t>
  </si>
  <si>
    <t>Green Submitted, hybrid, Green Published</t>
  </si>
  <si>
    <t>WOS:000842310800001</t>
  </si>
  <si>
    <t>Lee, SR; Choi, SG; Chung, SD; Kim, DN; Kang, CK; Kim, HW</t>
  </si>
  <si>
    <t>Lee, Soo Rin; Choi, Seok-Gwan; Chung, Sangdeok; Kim, Doo Nam; Kang, Chang-Keun; Kim, Hyun-Woo</t>
  </si>
  <si>
    <t>Geographical differences in the diet of Dissostichus mawsoni revealed by metabarcoding</t>
  </si>
  <si>
    <t>feeding ecology; Antarctic toothfish; metabarcoding; CCAMLR; Antarctica</t>
  </si>
  <si>
    <t>ROSS SEA; LIFE-HISTORY; TELEOSTEI; IDENTIFICATION; GENUS</t>
  </si>
  <si>
    <t>The diet of the Antarctic toothfish (Dissostichus mawsoni) was analyzed using metabarcoding to determine whether spatiotemporal factors are related to its feeding ecology. A diet metabarcoding analysis was conducted for five years from 2016 to 2020 using 1,777 samples collected from two distantly located subareas, 88.3 and 58.4.1. Metabarcoding results revealed 105 prey haplotypes (29 families, 45 genera) in the stomach contents of D. mawsoni, which can serve as valuable genetic information for the accurate identification of piscine species inhabiting the Southern Ocean. Most of the stomach contents of D. mawsoni consisted of fish taxa, comprising 99.61% of read count, which is consistent with other studies indicating that D. mawsoni is piscivorous. The prey compositions were highly different between the two subareas (88.3 and 58.4.1) regardless of the year, indicating that the diet of D. mawsoni strongly reflects the fish assemblages in geographically different habitats. These results strongly suggest that the stomach contents are good ecological indicators for monitoring any changes in the marine ecosystem caused by either the fishery of D. mawsoni, the most voracious piscine predator in its habitat, or environmental changes. In addition, quantitative polymerase chain reaction results of the two most abundant Macrourus prey species of Antarctic toothfish, M. caml and M. whitsoni, showed that the distribution of these two species may be related to the dynamics of gyres, which flow along the Antarctic continent.</t>
  </si>
  <si>
    <t>[Lee, Soo Rin] Pukyong Natl Univ, Interdisciplinary program Biomed Mech &amp; Elect Engn, Busan, South Korea; [Choi, Seok-Gwan] Natl Inst Fisheries Sci, Cetacean Res Inst, Ulsan, South Korea; [Chung, Sangdeok; Kim, Doo Nam] Natl Inst Fisheries Sci, Distant Water Fisheries Resources Res Div, Busan, South Korea; [Kang, Chang-Keun] Gwangju Inst Sci &amp; Technol, Sch Earth Sci &amp; Environm Engn, Gwangju, South Korea; [Kim, Hyun-Woo] Pukyong Natl Univ, Dept Marine Biol, Busan, South Korea; [Kim, Hyun-Woo] Pukyong Natl Univ, Natl Key Res Inst Univ, Marine Integrated Biomed Technol Ctr, Busan, South Korea</t>
  </si>
  <si>
    <t>Pukyong National University; National Institute of Fisheries Science; National Institute of Fisheries Science; Gwangju Institute of Science &amp; Technology (GIST); Pukyong National University; Pukyong National University</t>
  </si>
  <si>
    <t>Kang, CK (corresponding author), Gwangju Inst Sci &amp; Technol, Sch Earth Sci &amp; Environm Engn, Gwangju, South Korea.;Kim, HW (corresponding author), Pukyong Natl Univ, Dept Marine Biol, Busan, South Korea.;Kim, HW (corresponding author), Pukyong Natl Univ, Natl Key Res Inst Univ, Marine Integrated Biomed Technol Ctr, Busan, South Korea.</t>
  </si>
  <si>
    <t>ckkang@gist.ac.kr; kimhw@pknu.ac.kr</t>
  </si>
  <si>
    <t>Kim, Hyun-Woo/AFN-9184-2022</t>
  </si>
  <si>
    <t>Kim, Hyun-Woo/0000-0003-1357-5893</t>
  </si>
  <si>
    <t>distant-water fisheries resources assessment and management of National Institute of Fisheries Science, South Korea [R2021029]</t>
  </si>
  <si>
    <t>distant-water fisheries resources assessment and management of National Institute of Fisheries Science, South Korea</t>
  </si>
  <si>
    <t>This research was supported by the distant-water fisheries resources assessment and management of National Institute of Fisheries Science, South Korea (R2021029).</t>
  </si>
  <si>
    <t>AUG 19</t>
  </si>
  <si>
    <t>10.3389/fmars.2022.888167</t>
  </si>
  <si>
    <t>5O5QX</t>
  </si>
  <si>
    <t>WOS:000872528800001</t>
  </si>
  <si>
    <t>Kelly, R; Elsler, LG; Polejack, A; van der Linden, S; Tönnesson, K; Schoedinger, SE; Santoro, F; Pecl, GT; Palmgren, M; Mariani, P; Glithero, D; Evans, K; Cvitanovic, C; Cook, J; Bartram, J; Wisz, MS</t>
  </si>
  <si>
    <t>Kelly, Rachel; Elsler, Laura G.; Polejack, Andrei; van der Linden, Sander; Toennesson, Kajsa; Schoedinger, Sarah E.; Santoro, Francesca; Pecl, Gretta T.; Palmgren, Michael; Mariani, Patrizio; Glithero, Diz; Evans, Karen; Cvitanovic, Christopher; Cook, John; Bartram, James; Wisz, Mary S.</t>
  </si>
  <si>
    <t>Perspective Empowering young people with climate and ocean science : Five strategies for adults to consider</t>
  </si>
  <si>
    <t>ONE EARTH</t>
  </si>
  <si>
    <t>ENVIRONMENTAL-EDUCATION; CHILDREN; YOUTH; CONNECTEDNESS; LITERACY; FUTURES; CONSERVATION; EXTINCTION; ENGAGEMENT; EXPERIENCE</t>
  </si>
  <si>
    <t>Young people are the leaders of the future. Many young people are concerned and overwhelmed about the impacts of climate and ocean change and are emerging as advocates for action. However, challenges including social injustice, climate anxiety, nature disconnectedness, and fake news limit their ability to pro-tect their future from the impacts of climate and ocean change. The conventional dissemination of new sci-entific knowledge alone is not enough to prepare and empower young people to cope with these challenges. Here, we present five actionable strategies to engage and empower young people with climate and ocean science in support of long-term sustainability: inclusion of diverse voices, active dialogue-based science learning, connection to nature, critical thinking skills, and co-created visions of a sustainable future. These strategies can help to strengthen young people's engagement and agency to meet climate and ocean chal-lenges. Together, the strategies can synergistically empower young people to have a say in shaping their sus-tainable future.</t>
  </si>
  <si>
    <t>[Kelly, Rachel; Elsler, Laura G.; Polejack, Andrei; Wisz, Mary S.] World Maritime Univ, Sasakawa Global Ocean Inst, Malmo, Sweden; [Kelly, Rachel; Pecl, Gretta T.] Univ Tasmania, Ctr Marine Socioecol, Hobart, Tas, Australia; [van der Linden, Sander] Univ Cambridge, Dept Psychol, Social Decis Making Lab, Cambridge, England; [Toennesson, Kajsa] Swedish Inst Marine Environm, Gothenburg, Sweden; [Santoro, Francesca] IOC UNESCO, Paris, France; [Schoedinger, Sarah E.] NOAA, Off Educ, Washington, DC USA; [Polejack, Andrei] Minist Sci Technol &amp; Innovat, Brasilia, DF, Brazil; [Kelly, Rachel; Pecl, Gretta T.] Univ Tasmania, Inst Marine &amp; Antarctic Studies, Hobart, Tas 7000, Australia; [Palmgren, Michael] Marine Educ Ctr, Malmo, Sweden; [Mariani, Patrizio] Tech Univ Denmark, Natl Inst Aquat Resources, Lyngby, Denmark; [Glithero, Diz] Canadian Ocean Literacy Coalit, Ottawa, ON, Canada; [Cvitanovic, Christopher] Australian Natl Univ, Australian Natl Ctr Publ Awareness Sci, Canberra, ACT, Australia; [Evans, Karen] CSIRO Oceans &amp; Atmosphere, Hobart, Tas 7000, Australia; [Cook, John] Monash Univ, Melbourne, Vic, Australia; [Bartram, James] CC IUCN Secretariat, 1740 Pink Rd, Gatineau, PQ J9J 3N7, Canada</t>
  </si>
  <si>
    <t>University of Tasmania; University of Cambridge; National Oceanic Atmospheric Admin (NOAA) - USA; University of Tasmania; Technical University of Denmark; Australian National University; Commonwealth Scientific &amp; Industrial Research Organisation (CSIRO); Monash University</t>
  </si>
  <si>
    <t>Kelly, R (corresponding author), World Maritime Univ, Sasakawa Global Ocean Inst, Malmo, Sweden.;Kelly, R (corresponding author), Univ Tasmania, Ctr Marine Socioecol, Hobart, Tas, Australia.;Kelly, R (corresponding author), Univ Tasmania, Inst Marine &amp; Antarctic Studies, Hobart, Tas 7000, Australia.</t>
  </si>
  <si>
    <t>r.kelly@utas.edu.au</t>
  </si>
  <si>
    <t>Wisz, Mary S/J-7826-2013; Mariani, Patrizio/AAP-2007-2021; Pecl, Gretta/D-7267-2011; Palmgren, Michael/A-9808-2013</t>
  </si>
  <si>
    <t>Mariani, Patrizio/0000-0002-8015-1583; Pecl, Gretta/0000-0003-0192-4339; Cook, John/0000-0001-8488-6766; Kelly, Rachel/0000-0002-8364-1836; Polejack, Andrei/0000-0002-3549-0869</t>
  </si>
  <si>
    <t>European Union's Horizon 2020 Research and Innovation Pro- gram [639 862428]; World Maritime University (WMU) -Sasakawa Global Ocean Institute by the Nippon Foundation; Swedish Agency for Marine and Water Management (SwAM); German Federal Ministry of Transport and Digital Infrastructure; Ministry of Science, Technology and Innovation of Brazil; ARC Future Fellowship</t>
  </si>
  <si>
    <t>European Union's Horizon 2020 Research and Innovation Pro- gram(Horizon 2020); World Maritime University (WMU) -Sasakawa Global Ocean Institute by the Nippon Foundation; Swedish Agency for Marine and Water Management (SwAM); German Federal Ministry of Transport and Digital Infrastructure; Ministry of Science, Technology and Innovation of Brazil; ARC Future Fellowship(Australian Research Council)</t>
  </si>
  <si>
    <t>M.S.W. and P.M. delivered this work under the MISSION ATLANTIC project, funded by the European Union's Horizon 2020 Research and Innovation Pro- gram under grant agreement no. 639 862428. A.P. acknowledges the generous funding of the World Maritime University (WMU) -Sasakawa Global Ocean Institute by the Nippon Foundation, as well as the financial support of the Land -to -Ocean Leadership Program provided by the Swedish Agency for Marine and Water Management (SwAM) , the German Federal Ministry of Transport and Digital Infrastructure, and the Ministry of Science, Technology and Innovation of Brazil. G.P. was supported by an ARC Future Fellowship. We thank Kristal Ambrose, Laura Carballo Pineiro, and three anonymous re- viewers for their valuable comments.</t>
  </si>
  <si>
    <t>2590-3330</t>
  </si>
  <si>
    <t>2590-3322</t>
  </si>
  <si>
    <t>One Earth</t>
  </si>
  <si>
    <t>10.1016/j.oneear.2022.07.007</t>
  </si>
  <si>
    <t>Green &amp; Sustainable Science &amp; Technology; Environmental Sciences; Environmental Studies</t>
  </si>
  <si>
    <t>Science &amp; Technology - Other Topics; Environmental Sciences &amp; Ecology</t>
  </si>
  <si>
    <t>5A9LT</t>
  </si>
  <si>
    <t>WOS:000863201200009</t>
  </si>
  <si>
    <t>Bezus, B; Esquivel, JCC; Cavalitto, S; Cavello, I</t>
  </si>
  <si>
    <t>Bezus, Brenda; Contreras Esquivel, Juan Carlos; Cavalitto, Sebastian; Cavello, Ivana</t>
  </si>
  <si>
    <t>Study of polygalacturonase production by an Antarctic yeast and obtention of dragon fruit juice by maceration at mild temperature</t>
  </si>
  <si>
    <t>Antarctic enzymes; Cold active pectinases; Mrakia sp; Hylocereus monacanthus; Hylocereus undatus</t>
  </si>
  <si>
    <t>PECTINASES; ANTIOXIDANT; PURIFICATION; STABILITY</t>
  </si>
  <si>
    <t>The objectives of the present survey were to study the production and the biochemical characterization of an enzymatic cold-active extract with polygalacturonase activity, to perform a first insight into its possible application in fruit juice obtention process, and to use this juice for food products preparation. The enzymatic extract was produced by the Antarctic yeast Mrakia sp. LP January 7, 2016 in a bioreactor with citric pectin as substrate. The polygalacturonase activity showed optimum conditions for reaction at 45 degrees C and pH 5.0. This activity was stable until 40 degrees C but deactivated at higher temperatures. Inhibition by Hg+2 suggested the presence of a thiol-dependent enzyme. A high-molecular polygalactumnase was detected in an SDS-PAGE and zymography analysis. Reaction-products were observed by thin-layer chromatography and suggested the endo-mode of action. The enzymatic extract had some accessory enzymes, such as pectin methylesterase, beta-glucosidase, cellulase and inulinase. As a first insight into the potential use of this enzymatic extract for fruit maceration at mild temperatures, red and white dragon fruits were selected as models. At 23 degrees C, juice yields of 15%-23% higher than control were obtained after treatments, with a decrease of remanent solid of 25%-35%. The color of red dragon fruit juice increased with enzymatic treatment. Alginate balls that were prepared with the juices demonstrated a hardness of -10 N. The compression force of low-calorie sugar gels was 3.8 N. This work provided a complete study of the production, characterization, application and food product production using a new cold-active polygalactumnase extract of Antarctic origin.</t>
  </si>
  <si>
    <t>[Bezus, Brenda; Cavalitto, Sebastian; Cavello, Ivana] UNLP, Ctr Invest &amp; Desarrollo Fermentac Ind CINDEFI, CCT La Plata, CONICET, Calle 47 &amp; 115,B1900ASH, La Plata, Buenos Aires, Argentina; [Contreras Esquivel, Juan Carlos] Univ Autonoma Coahuila, Acad Grp Food Sci &amp; Technol, Sch Chem, Lab Appl Glycobiotechnol,Unidad Saltillo, Saltillo 2528, Coahuila, Mexico</t>
  </si>
  <si>
    <t>Consejo Nacional de Investigaciones Cientificas y Tecnicas (CONICET); National University of La Plata; Universidad Autonoma de Coahuila</t>
  </si>
  <si>
    <t>Cavello, I (corresponding author), UNLP, Ctr Invest &amp; Desarrollo Fermentac Ind CINDEFI, CCT La Plata, CONICET, Calle 47 &amp; 115,B1900ASH, La Plata, Buenos Aires, Argentina.</t>
  </si>
  <si>
    <t>bbezus@biotec.quimica.unlp.edu.ar; carlos.contreras@uadec.edu.mx; cavalitto@quimica.unlp.edu.ar; icavello@biotec.quimica.unlp.edu.ar</t>
  </si>
  <si>
    <t>National Scientific and Technological Research Council; National Agency for the Pro- motion of Science and Technology (ANPCyT) [PICT 2018-3194, PICT 2019-3123]</t>
  </si>
  <si>
    <t>National Scientific and Technological Research Council; National Agency for the Pro- motion of Science and Technology (ANPCyT)(ANPCyT)</t>
  </si>
  <si>
    <t>This work was supported by grants from the National Scientific and Technological Research Council and the National Agency for the Pro- motion of Science and Technology (ANPCyT, PICT 2018-3194 and PICT 2019-3123) .</t>
  </si>
  <si>
    <t>10.1016/j.fbio.2022.101942</t>
  </si>
  <si>
    <t>4Y2UC</t>
  </si>
  <si>
    <t>WOS:000861384300010</t>
  </si>
  <si>
    <t>Davis, M</t>
  </si>
  <si>
    <t>Davis, Martin</t>
  </si>
  <si>
    <t>Antarctic Atlas: New Maps and Graphics That Tell the Story of a Continent</t>
  </si>
  <si>
    <t>CARTOGRAPHIC JOURNAL</t>
  </si>
  <si>
    <t>[Davis, Martin] Univ Oxford, Oxford, England</t>
  </si>
  <si>
    <t>University of Oxford</t>
  </si>
  <si>
    <t>Davis, M (corresponding author), Univ Oxford, Oxford, England.</t>
  </si>
  <si>
    <t>martin.davis@bodleian.ox.ac.uk</t>
  </si>
  <si>
    <t>Davis, Martin/0000-0001-6621-8115</t>
  </si>
  <si>
    <t>0008-7041</t>
  </si>
  <si>
    <t>1743-2774</t>
  </si>
  <si>
    <t>CARTOGR J</t>
  </si>
  <si>
    <t>Cartogr. J.</t>
  </si>
  <si>
    <t>10.1080/00087041.2022.2071875</t>
  </si>
  <si>
    <t>8V2XI</t>
  </si>
  <si>
    <t>WOS:000854599600001</t>
  </si>
  <si>
    <t>Sotille, ME; Bremer, UF; Vieira, G; Velho, LF; Petsch, C; Auger, JD; Simoes, JC</t>
  </si>
  <si>
    <t>Sotille, Maria E.; Bremer, Ulisses F.; Vieira, Goncalo; Velho, Luiz F.; Petsch, Carina; Auger, Jeffrey D.; Simoes, Jefferson C.</t>
  </si>
  <si>
    <t>UAV-based classification of maritime Antarctic vegetation types using GEOBIA and random forest</t>
  </si>
  <si>
    <t>ECOLOGICAL INFORMATICS</t>
  </si>
  <si>
    <t>Vegetation mapping; Antarctica; UAV; GEOBIA; Image classification; Remote sensing</t>
  </si>
  <si>
    <t>IMAGE SEGMENTATION; CLIMATE-CHANGE; PENINSULA; COVER; PATTERNS; SURFACES; ISLAND; LAND; SNOW; RED</t>
  </si>
  <si>
    <t>Development of vegetation communities in areas of Antarctica without permanent ice cover emphasizes the need for effective remote sensing techniques for proper monitoring of local environmental changes. Detection and mapping of vegetation by image classification remains limited in the Antarctic environment due to the complexity of its surface cover, and the spatial heterogeneity and spectral homogeneity of cryptogamic vege-tation. As ultra-high resolution aerial images allow a comprehensive analysis of vegetation, this study aims to identify different types of vegetation cover (i.e., algae, mosses, and lichens) in an ice-free area of Hope Bay, on the northern tip of the Antarctic Peninsula. Using the geographic object-based image analysis (GEOBIA) approach, remote sensing data sets are tested in the random forest classifier in order to distinguish vegetation classes within vegetated areas. Because species of algae, mosses, and lichens may have similar spectral char-acteristics, subclasses are established. The results show that when only the mean values of green, red, and NIR bands are considered, the subclasses have low separability. Variations in accuracy and visual changes are identified according to the set of features used in the classification. Accuracy improves when multilayer infor-mation is used. A combination of spectral and morphometric products and by-products provides the best result for the detection and delineation of different types of vegetation, with an overall accuracy of 0.966 and a Kappa coefficient of 0.946. The method allowed for the identification of units primarily composed of algae, mosses, and lichens as well as differences in communities. This study demonstrates that ultra-high spatial resolution data can provide the necessary properties for the classification of vegetation in Maritime Antarctica, even in images obtained by sensors with low spectral resolution.</t>
  </si>
  <si>
    <t>[Sotille, Maria E.] Univ Fed Rio Grande do Sul, Programa Posgrad Sensoriamento Remoto, BR-91501970 Porto Alegre, Brazil; [Sotille, Maria E.; Bremer, Ulisses F.; Velho, Luiz F.; Petsch, Carina; Auger, Jeffrey D.; Simoes, Jefferson C.] Univ Fed Rio Grande do Sul, Ctr Polare &amp; Climat, Inst Geociencias, BR-91501970 Porto Alegre, Brazil; [Bremer, Ulisses F.] Univ Fed Rio Grande do Sul, Dept Geog, Inst Geociencias, BR-91501970 Porto Alegre, Brazil; [Vieira, Goncalo] Univ Lisbon, Ctr Estudos Geog, Inst Geog &amp; Ordenamento Terr, P-1600276 Lisbon, Portugal; [Velho, Luiz F.] Inst Fed Educ Ciencia &amp; Tecnol Rio Grande Sul, Campus Porto Alegre, BR-90030040 Porto Alegre, Brazil; [Petsch, Carina] Univ Fed Santa Maria, Dept Geociencias, BR-97105900 Santa Maria, Brazil; [Sotille, Maria E.] Av Bento Goncalves 9500 Agron, BR-90560003 Porto Alegre, RS, Brazil</t>
  </si>
  <si>
    <t>Universidade Federal do Rio Grande do Sul; Universidade Federal do Rio Grande do Sul; Universidade Federal do Rio Grande do Sul; Universidade de Lisboa; Instituto Federal do Rio Grande do Sul (IFRS); Universidade Federal de Santa Maria (UFSM)</t>
  </si>
  <si>
    <t>Sotille, ME (corresponding author), Av Bento Goncalves 9500 Agron, BR-90560003 Porto Alegre, RS, Brazil.</t>
  </si>
  <si>
    <t>sotille@gmail.com</t>
  </si>
  <si>
    <t>Petsch, Carina/HHD-2185-2022; Vieira, Goncalo/G-5958-2010; Velho, Luiz Felipe/KHV-6096-2024; Bremer, Ulisses F/D-3308-2013; Bremer, Ulisses/AAT-8733-2021</t>
  </si>
  <si>
    <t>Petsch, Carina/0000-0002-1079-0080; Vieira, Goncalo/0000-0001-7611-3464; Bremer, Ulisses/0000-0003-0519-5807</t>
  </si>
  <si>
    <t>Brazilian National Council for Scientific and Technological Development-CNPq [421743/2017-4, 465680/2014-3 - INCT Criosfera]; Coordenacao de Aperfeicoamento de Pessoal de Nivel Superior-Brasil (CAPES) [001]</t>
  </si>
  <si>
    <t>Brazilian National Council for Scientific and Technological Development-CNPq(Conselho Nacional de Desenvolvimento Cientifico e Tecnologico (CNPQ)); Coordenacao de Aperfeicoamento de Pessoal de Nivel Superior-Brasil (CAPES)(Coordenacao de Aperfeicoamento de Pessoal de Nivel Superior (CAPES))</t>
  </si>
  <si>
    <t>The research presented in this paper was supported by the Brazilian National Council for Scientific and Technological Development-CNPq [Grant 421743/2017-4] and (Process 465680/2014-3 - INCT Criosfera) , and in part by the Coordenacao de Aperfeicoamento de Pessoal de Nivel Superior-Brasil (CAPES) -Finance Code 001. We warmly thank the INCT da Criosfera (Brazil) , the Brazilian Ant- arctic Program (PROANTAR) and the Brazilian Navy for support and logistics. We are very grateful for the support provided at Esperanza station (Argentina) in Hope Bay. We also thank the IFRS (Brazil) .</t>
  </si>
  <si>
    <t>1574-9541</t>
  </si>
  <si>
    <t>1878-0512</t>
  </si>
  <si>
    <t>ECOL INFORM</t>
  </si>
  <si>
    <t>Ecol. Inform.</t>
  </si>
  <si>
    <t>10.1016/j.ecoinf.2022.101768</t>
  </si>
  <si>
    <t>4E9XG</t>
  </si>
  <si>
    <t>WOS:000848170800008</t>
  </si>
  <si>
    <t>Schroeter, S; Sandery, PA</t>
  </si>
  <si>
    <t>Schroeter, Serena; Sandery, Paul A.</t>
  </si>
  <si>
    <t>Large-ensemble analysis of Antarctic sea ice model sensitivity to parameter uncertainty</t>
  </si>
  <si>
    <t>Sea ice; Antarctic; Modelling; Parameter; Sensitivity; Variability</t>
  </si>
  <si>
    <t>THERMODYNAMIC MODEL; CLIMATE MODELS; SURFACE ALBEDO; VERSION 2; OCEAN; THICKNESS; EXTENT; VARIABILITY; DRIVERS; TRENDS</t>
  </si>
  <si>
    <t>Simulated Antarctic sea ice sensitivity to parameter variation is tested in a global coupled climate model. Parameter changes affect areal coverage, thickness and seasonality of sea ice beyond the bounds of internal variability, with a tendency for several parameters to substantially impact sea ice retreat. The largest sea ice response occurs with changes to the sea ice turning angle parameter: enhanced northward transport of ice leads to a thinner ice cover that more readily melts, while lower turning angles permit greater convergence in the interior, resulting in a thicker, more persistent ice pack. Setting snow and ice albedo above the default value increased mean sea ice year-round, including at the sea ice minimum, while other parameter experiments did not increase minimum sea ice beyond internal variability. Low values of heat exchange between the ocean and base of the sea ice (ocean-ice heat flux parameter) sharply reduce bottom melt and slow sea ice retreat. High-density sampling in both the control scenario (identical parameters but differing initial conditions) and the parameter tests shows large simulated internal variability, suggesting that the signal of the sea ice response could be overwhelmed in a low-density sample test. Large-ensemble testing is a valuable tool for testing sensitivity in coupled systems where variability and feedbacks are more complex than in stand-alone sea ice models.</t>
  </si>
  <si>
    <t>[Schroeter, Serena; Sandery, Paul A.] Commonwealth Sci &amp; Ind Res Org CSIRO Marine &amp; Atmo, Castray Esplanade, Battery Point 7004, Australia</t>
  </si>
  <si>
    <t>Commonwealth Scientific &amp; Industrial Research Organisation (CSIRO)</t>
  </si>
  <si>
    <t>Schroeter, S (corresponding author), Commonwealth Sci &amp; Ind Res Org CSIRO Marine &amp; Atmo, Castray Esplanade, Battery Point 7004, Australia.</t>
  </si>
  <si>
    <t>serena.schroeter@csiro.au</t>
  </si>
  <si>
    <t>Sandery, Paul/0000-0002-1551-5408; Schroeter, Serena/0000-0002-8963-3044</t>
  </si>
  <si>
    <t>CSIRO Early Career Research Fellowship; Australian Government</t>
  </si>
  <si>
    <t>CSIRO Early Career Research Fellowship; Australian Government(Australian Government)</t>
  </si>
  <si>
    <t>Serena Schroeter was supported by a CSIRO Early Career Research Fellowship. Model runs and data analysis were undertaken with the assistance of resources and services from the National Computational Infrastructure (NCI) , which is supported by the Australian Government. Data analysis and visualisation were performed using the NCAR Command Language (https://doi.org/10.5065/D6WD3XH5, The NCAR Command Language, 2019) . All authors approved the version of the manuscript to be published.</t>
  </si>
  <si>
    <t>10.1016/j.ocemod.2022.102090</t>
  </si>
  <si>
    <t>4F4JR</t>
  </si>
  <si>
    <t>WOS:000848479800002</t>
  </si>
  <si>
    <t>Andrzejaczek, S; Lucas, TCD; Goodman, MC; Hussey, NE; Armstrong, AJ; Carlisle, A; Coffey, DM; Gleiss, AC; Huveneers, C; Jacoby, DMP; Meekan, MG; Mourier, J; Peel, LR; Abrantes, K; Afonso, AS; Ajemian, MJ; Anderson, BN; Anderson, SD; Araujo, G; Armstrong, AO; Bach, P; Barnett, A; Bennett, MB; Bezerra, NA; Bonfil, R; Boustany, AM; Bowlby, HD; Branco, I; Braun, CD; Brooks, EJ; Brown, J; Burke, PJ; Butcher, P; Castleton, M; Chapple, TK; Chateau, O; Clarke, M; Coelho, R; Cortes, E; Couturier, LIE; Cowley, PD; Croll, DA; Cuevas, JM; Curtis, TH; Dagorn, L; Dale, JJ; Daly, R; Dewar, H; Doherty, PD; Domingo, A; Dove, ADM; Drew, M; Dudgeon, CL; Duffy, CAJ; Elliott, RG; Ellis, JR; Erdmann, MV; Farrugia, TJ; Ferreira, LC; Ferretti, F; Filmalter, JD; Finucci, B; Fischer, C; Fitzpatrick, R; Forget, F; Forsberg, K; Francis, MP; Franks, BR; Gallagher, AJ; Galvan-Magana, F; García, ML; Gaston, TF; Gillanders, BM; Gollock, MJ; Green, JR; Green, S; Griffiths, CA; Hammerschlag, N; Hasan, A; Hawkes, LA; Hazin, F; Heard, M; Hearn, A; Hedges, KJ; Henderson, SM; Holdsworth, J; Holland, KN; Howey, LA; Hueter, RE; Humphries, NE; Hutchinson, M; Jaine, FRA; Jorgensen, SJ; Kanive, PE; Labaja, J; Lana, FO; Lassauce, H; Lipscombe, RS; Llewellyn, F; Macena, BCL; Mambrasar, R; McAllister, JD; Phillips, SRM; McGregor, F; McMillan, MN; McNaughton, LM; Mendonça, SA; Meyer, CG; Meyers, M; Mohan, JA; Montgomery, JC; Mucientes, G; Musyl, MK; Nasby-Lucas, N; Natanson, LJ; O'Sullivan, JB; Oliveira, P; Papastamtiou, YP; Patterson, TA; Pierce, SJ; Queiroz, N; Radford, CA; Richardson, AJ; Richardson, AJ; Righton, D; Rohner, CA; Royer, MA; Saunders, RA; Schaber, M; Schallert, RJ; Scholl, MC; Seitz, AC; Semmens, JM; Setyawan, E; Shea, BD; Shidqi, RA; Shillinger, GL; Shipley, ON; Shivji, MS; Sianipar, AB; Silva, JF; Sims, DW; Skomal, GB; Sousa, LL; Southall, EJ; Spaet, JLY; Stehfest, KM; Stevens, G; Stewart, JD; Sulikowski, JA; Syakurachman, I; Thorrold, SR; Thums, M; Tickler, D; Tolloti, MT; Townsend, KA; Travassos, P; Tyminski, JP; Vaudo, JJ; Veras, D; Wantiez, L; Weber, SB; Wells, RJD; Weng, KC; Wetherbee, BM; Williamson, JE; Witt, MJ; Wright, S; Zilliacus, K; Block, BA; Curnick, DJ</t>
  </si>
  <si>
    <t>Andrzejaczek, Samantha; Lucas, Tim C. D.; Goodman, Maurice C.; Hussey, Nigel E.; Armstrong, Amelia J.; Carlisle, Aaron; Coffey, Daniel M.; Gleiss, Adrian C.; Huveneers, Charlie; Jacoby, David M. P.; Meekan, Mark G.; Mourier, Johann; Peel, Lauren R.; Abrantes, Katya; Afonso, Andre S.; Ajemian, Matthew J.; Anderson, Brooke N.; Anderson, Scot D.; Araujo, Gonzalo; Armstrong, Asia O.; Bach, Pascal; Barnett, Adam; Bennett, Mike B.; Bezerra, Natalia A.; Bonfil, Ramon; Boustany, Andre M.; Bowlby, Heather D.; Branco, Ilka; Braun, Camrin D.; Brooks, Edward J.; Brown, Judith; Burke, Patrick J.; Butcher, Paul; Castleton, Michael; Chapple, Taylor K.; Chateau, Olivier; Clarke, Maurice; Coelho, Rui; Cortes, Enric; Couturier, Lydie I. E.; Cowley, Paul D.; Croll, Donald A.; Cuevas, Juan M.; Curtis, Tobey H.; Dagorn, Laurent; Dale, Jonathan J.; Daly, Ryan; Dewar, Heidi; Doherty, Philip D.; Domingo, Andres; Dove, Alistair D. M.; Drew, Michael; Dudgeon, Christine L.; Duffy, Clinton A. J.; Elliott, Riley G.; Ellis, Jim R.; Erdmann, Mark, V; Farrugia, Thomas J.; Ferreira, Luciana C.; Ferretti, Francesco; Filmalter, John D.; Finucci, Brittany; Fischer, Chris; Fitzpatrick, Richard; Forget, Fabien; Forsberg, Kerstin; Francis, Malcolm P.; Franks, Bryan R.; Gallagher, Austin J.; Galvan-Magana, Felipe; Garcia, Mirta L.; Gaston, Troy F.; Gillanders, Bronwyn M.; Gollock, Matthew J.; Green, Jonathan R.; Green, Sofia; Griffiths, Christopher A.; Hammerschlag, Neil; Hasan, Abdi; Hawkes, Lucy A.; Hazin, Fabio; Heard, Matthew; Hearn, Alex; Hedges, Kevin J.; Henderson, Suzanne M.; Holdsworth, John; Holland, Kim N.; Howey, Lucy A.; Hueter, Robert E.; Humphries, Nicholas E.; Hutchinson, Melanie; Jaine, Fabrice R. A.; Jorgensen, Salvador J.; Kanive, Paul E.; Labaja, Jessica; Lana, Fernanda O.; Lassauce, Hugo; Lipscombe, Rebecca S.; Llewellyn, Fiona; Macena, Bruno C. L.; Mambrasar, Ronald; McAllister, Jaime D.; Phillips, Sophy R. McCully; McGregor, Frazer; McMillan, Matthew N.; McNaughton, Lianne M.; Mendonca, Sibele A.; Meyer, Carl G.; Meyers, Megan; Mohan, John A.; Montgomery, John C.; Mucientes, Gonzalo; Musyl, Michael K.; Nasby-Lucas, Nicole; Natanson, Lisa J.; O'Sullivan, John B.; Oliveira, Paulo; Papastamtiou, Yannis P.; Patterson, Toby A.; Pierce, Simon J.; Queiroz, Nuno; Radford, Craig A.; Richardson, Andy J.; Richardson, Anthony J.; Righton, David; Rohner, Christoph A.; Royer, Mark A.; Saunders, Ryan A.; Schaber, Matthias; Schallert, Robert J.; Scholl, Michael C.; Seitz, Andrew C.; Semmens, Jayson M.; Setyawan, Edy; Shea, Brendan D.; Shidqi, Rafid A.; Shillinger, George L.; Shipley, Oliver N.; Shivji, Mahmood S.; Sianipar, Abraham B.; Silva, Joana F.; Sims, David W.; Skomal, Gregory B.; Sousa, Lara L.; Southall, Emily J.; Spaet, Julia L. Y.; Stehfest, Kilian M.; Stevens, Guy; Stewart, Joshua D.; Sulikowski, James A.; Syakurachman, Ismail; Thorrold, Simon R.; Thums, Michele; Tickler, David; Tolloti, Mariana T.; Townsend, Kathy A.; Travassos, Paulo; Tyminski, John P.; Vaudo, Jeremy J.; Veras, Drausio; Wantiez, Laurent; Weber, Sam B.; Wells, R. J. David; Weng, Kevin C.; Wetherbee, Bradley M.; Williamson, Jane E.; Witt, Matthew J.; Wright, Serena; Zilliacus, Kelly; Block, Barbara A.; Curnick, David J.</t>
  </si>
  <si>
    <t>Diving into the vertical dimension of elasmobranch movement ecology</t>
  </si>
  <si>
    <t>SCALLOPED HAMMERHEAD SHARK; WESTERN NORTH PACIFIC; REPRODUCTIVE-BIOLOGY; SPHYRNA-LEWINI; HABITAT USE; CARCHARHINUS-FALCIFORMIS; SEXUAL SEGREGATION; VIOLACEA BONAPARTE; GALEOCERDO-CUVIER; PELAGIC STINGRAY</t>
  </si>
  <si>
    <t>Knowledge of the three-dimensional movement patterns of elasmobranchs is vital to understand their ecological roles and exposure to anthropogenic pressures. To date, comparative studies among species at global scales have mostly focused on horizontal movements. Our study addresses the knowledge gap of vertical movements by compiling the first global synthesis of vertical habitat use by elasmobranchs from data obtained by deployment of 989 biotelemetry tags on 38 elasmobranch species. Elasmobranchs displayed high intra- and interspecific variability in vertical movement patterns. Substantial vertical overlap was observed for many epipelagic elasmobranchs, indicating an increased likelihood to display spatial overlap, biologically interact, and share similar risk to anthropogenic threats that vary on a vertical gradient. We highlight the critical next steps toward incorporating vertical movement into global management and monitoring strategies for elasmobranchs, emphasizing the need to address geographic and taxonomic biases in deployments and to concurrently consider both horizontal and vertical movements.</t>
  </si>
  <si>
    <t>[Andrzejaczek, Samantha; Goodman, Maurice C.; Castleton, Michael; Dale, Jonathan J.; Schallert, Robert J.; Shillinger, George L.; Block, Barbara A.] Stanford Univ, Hopkins Marine Stn, Pacific Grove, CA 93950 USA; [Lucas, Tim C. D.] Univ Leicester, Dept Hlth Sci, Leicester, Leics, England; [Hussey, Nigel E.] Univ Windsor, Dept Integrat Biol, Windsor, ON, Canada; [Armstrong, Amelia J.; Armstrong, Asia O.; Bennett, Mike B.; Dudgeon, Christine L.] Univ Queensland, Sch Biomed Sci, St Lucia, Qld, Australia; [Carlisle, Aaron] Univ Delaware, Sch Marine Sci &amp; Policy, Lewes, DE 19958 USA; [Coffey, Daniel M.] Texas A&amp;M Univ, Harte Res Inst Gulf Mexico Studies, Corpus Christi, TX USA; [Gleiss, Adrian C.; Sianipar, Abraham B.] Murdoch Univ, Ctr Sustainable Aquat Ecosyst, Harry Butler Inst, Murdoch, WA, Australia; [Gleiss, Adrian C.] Murdoch Univ, Environm &amp; Conservat Sci, Murdoch, WA, Australia; [Huveneers, Charlie; Drew, Michael; Heard, Matthew] Flinders Univ S Australia, Coll Sci &amp; Engn, Southern Shark Ecol Grp, Adelaide, SA, Australia; [Jacoby, David M. P.] Univ Lancaster, Lancaster Environm Ctr, Lancaster, England; [Jacoby, David M. P.; Gollock, Matthew J.; Llewellyn, Fiona; Curnick, David J.] Zool Soc London, London, England; [Meekan, Mark G.; Ferreira, Luciana C.; Meyers, Megan; Thums, Michele] Indian Ocean Marine Res Ctr, Australian Inst Marine Sci, Crawley, WA, Australia; [Mourier, Johann; Burke, Patrick J.; Jaine, Fabrice R. A.; Williamson, Jane E.] Macquarie Univ, Sch Nat Sci, Sydney, NSW, Australia; [Mourier, Johann] Univ Corse Pasquale Paoli, UMS 3514 Plateforme Marine Stella Mare, Biguglia, France; [Peel, Lauren R.; Lassauce, Hugo; Setyawan, Edy; Stevens, Guy; Stewart, Joshua D.] Manta Trust, Catemwood House, Corscombe, Dorset, England; [Peel, Lauren R.] Save Our Seas Fdn DArros Res Ctr, Geneva, Switzerland; [Abrantes, Katya; Barnett, Adam] James Cook Univ, Coll Sci &amp; Engn, Townsville, Qld, Australia; [Abrantes, Katya; Barnett, Adam; Fitzpatrick, Richard] Biopixel Oceans Fdn, Cairns, Qld, Australia; [Afonso, Andre S.] Univ Coimbra, Marine &amp; Environm Sci Ctr, Dept Life Sci, Coimbra, Portugal; [Afonso, Andre S.; Bezerra, Natalia A.; Branco, Ilka; Hazin, Fabio; Lana, Fernanda O.; Macena, Bruno C. L.; Mendonca, Sibele A.; Oliveira, Paulo; Travassos, Paulo] Univ Fed Rural Pernambuco, Dept Pesca &amp; Aquicultura, Recife, PE, Brazil; [Ajemian, Matthew J.] Florida Atlantic Univ, Harbor Branch Oceanog Inst, Ft Pierce, FL USA; [Anderson, Brooke N.; Sulikowski, James A.] Arizona State Univ, New Coll Interdisciplinary Arts &amp; Sci, Phoenix, AZ USA; [Anderson, Scot D.; Boustany, Andre M.; O'Sullivan, John B.] Monterey Bay Aquarium, Monterey, CA USA; [Araujo, Gonzalo] Qatar Univ, Coll Arts &amp; Sci, Dept Biol &amp; Environm Sci, Environm Sci Program, Doha, Qatar; [Araujo, Gonzalo] Marine Res &amp; Conservat Fdn, Lydeard St Lawrence, Somerset, England; [Bach, Pascal; Dagorn, Laurent; Forget, Fabien; Tolloti, Mariana T.] Univ Montpellier, IFREMER, CNRS, MARBEC,IRD, Sete, France; [Bezerra, Natalia A.] Univ Fed Espirito Santo, Dept Oceanog &amp; Ecol, Vitoria, ES, Brazil; [Bonfil, Ramon] Colegio La Frontera Sur ECOSUR, Unidad Chetumal, Chetmal, Quintana Roo, Mexico; [Bonfil, Ramon] Oceanos Vivientes AC, Mexico City, DF, Mexico; [Boustany, Andre M.] Duke Univ, Nicholas Sch Environm, Durham, NC 27708 USA; [Bowlby, Heather D.] Fisheries &amp; Oceans Canada, Bedford Inst Oceanog, Dartmouth, NS, Canada; [Braun, Camrin D.; Thorrold, Simon R.] Woods Hole Oceanog Inst, Biol Dept, Woods Hole, MA 02543 USA; [Brooks, Edward J.] Cape Eleuthera Inst, Eleuthera, Bahamas; [Brown, Judith; Richardson, Andy J.; Weber, Sam B.] Ascension Isl Govt Conservat &amp; Fisheries Dept, Georgetown, Guyana; [Butcher, Paul] Natl Marine Sci Ctr, NSW Dept Primary Ind Fisheries Res, Coffs Harbour, NSW, Australia; [Chapple, Taylor K.] Oregon State Univ, Coastal Oregon Marine Expt Stn, Newport, OR USA; [Chateau, Olivier] Aquarium Lagons, Lab Marine Biol &amp; Ecol, Noumea, New Caledonia; [Clarke, Maurice] Marine Inst, Galway, Ireland; [Coelho, Rui] IP IPMA, Portuguese Inst Ocean &amp; Atmosphere, Olhao, Algarve, Portugal; [Coelho, Rui] Univ Algarve, Ctr Marine Sci Algarve, Faro, Portugal; [Cortes, Enric] NOAA Fisheries, Southeast Fisheries Sci Ctr, Panama City, FL USA; [Couturier, Lydie I. E.] France Energies Marines, Environm Integrat Programme, Plouzane, France; [Cowley, Paul D.; Daly, Ryan; Filmalter, John D.] South African Inst Aquat Biodivers, Makhanda, South Africa; [Croll, Donald A.; Zilliacus, Kelly] Univ Calif Santa Cruz, Dept Ecol &amp; Evolutionary Biol, Santa Cruz, CA 95064 USA; [Cuevas, Juan M.] Wildlife Conservat Soc Argentina, Buenos Aires, DF, Argentina; [Cuevas, Juan M.] Univ Nacl La Plata, Museo La Plata, Div Zool Vertebrados, La Plata, Buenos Aires, Argentina; [Curtis, Tobey H.] NOAA Fisheries, Atlantic Highly Migratory Species Management Div, Gloucester, MA USA; [Daly, Ryan] Oceanog Res Inst, Durban, South Africa; [Dewar, Heidi; Nasby-Lucas, Nicole] NOAA Fisheries, Southwest Fisheries Sci Ctr, La Jolla, CA USA; [Doherty, Philip D.; Witt, Matthew J.] Univ Exeter, Environm &amp; Sustainabil Inst, Penryn, Cornwall, England; [Doherty, Philip D.; Weber, Sam B.] Univ Exeter, Coll Life &amp; Environm Sci, Ctr Ecol &amp; Conservat, Penryn, Cornwall, England; [Domingo, Andres] Direcc Nacl Recursos Acuat DINARA, Lab Recursos Pelag, Montevideo, Uruguay; [Dove, Alistair D. M.] Georgia Aquarium, Res &amp; Conservat Dept, Atlanta, GA USA; [Drew, Michael; Heard, Matthew] SARDI Aquat Sci, Adelaide, SA, Australia; [Dudgeon, Christine L.] Univ Sunshine Coast, Sch Sci Technol &amp; Engn, Maroochydore, Qld, Australia; [Duffy, Clinton A. J.] Dept Conservat, Marine Species Team, Auckland, New Zealand; [Elliott, Riley G.; Montgomery, John C.; Radford, Craig A.; Setyawan, Edy] Univ Auckland, Inst Marine Sci, Auckland, New Zealand; [Ellis, Jim R.; Griffiths, Christopher A.; Phillips, Sophy R. McCully; Righton, David; Silva, Joana F.; Wright, Serena] Ctr Environm Fisheries &amp; Aquaculture Sci, Lowestoft, Suffolk, England; [Erdmann, Mark, V] Conservat Int Aotearoa, Auckland, New Zealand; [Farrugia, Thomas J.; Seitz, Andrew C.] Univ Alaska Fairbanks, Coll Fisheries &amp; Ocean Sci, Fairbanks, AK USA; [Farrugia, Thomas J.] Alaska Ocean Observing Syst, Anchorage, AK USA; [Ferretti, Francesco; Shea, Brendan D.] Virginia Tech, Dept Fish &amp; Wildlife Conservat, Blacksburg, VA USA; [Finucci, Brittany; Francis, Malcolm P.] Natl Inst Water &amp; Atmospher Res NIWA, Wellington, New Zealand; [Fischer, Chris; Hueter, Robert E.; Tyminski, John P.] OCEARCH, Park City, UT USA; [Fitzpatrick, Richard] James Cook Univ, Coll Sci &amp; Engn, Cairns, Qld, Australia; [Forsberg, Kerstin] Planeta Oceano, Lima, Peru; [Forsberg, Kerstin; Hearn, Alex; Shillinger, George L.] Migramar, Forest Knolls, CA USA; [Franks, Bryan R.] Jacksonville Univ, Marine Sci Res Inst, Jacksonville, FL USA; [Gallagher, Austin J.; Shea, Brendan D.; Shipley, Oliver N.] Beneath Waves, Herndon, VA USA; [Galvan-Magana, Felipe] Inst Politecn Nacl, Ctr Interdisciplinario Ciencias Marinas, La Paz, Baja California, Mexico; [Garcia, Mirta L.] Univ Nacl La Plata, Museo La Plata, La Plata, Buenos Aires, Argentina; [Garcia, Mirta L.] Consejo Nacl Invest Cient &amp; Tecn, Buenos Aires, DF, Argentina; [Gaston, Troy F.] Univ Newcastle, Coll Engn Sci &amp; Environm, Ourimbah, NSW, Australia; [Gillanders, Bronwyn M.; McMillan, Matthew N.] Univ Adelaide, Sch Biol Sci, Southern Seas Ecol Labs, Adelaide, SA, Australia; [Green, Jonathan R.; Green, Sofia; Hearn, Alex] Galapagos Whale Shark Project, Galapagos, Ecuador; [Griffiths, Christopher A.] Univ Sheffield, Sch Biosci Ecol &amp; Evolutionary Biol, Sheffield, S Yorkshire, England; [Griffiths, Christopher A.] Swedish Univ Agr Sci, Inst Marine Res, Dept Aquat Resources, Lysekil, Sweden; [Hammerschlag, Neil] Univ Miami, Rosenstiel Sch Marine &amp; Atmospher Sci, 4600 Rickenbacker Causeway, Miami, FL 33149 USA; [Hasan, Abdi; Mambrasar, Ronald; Syakurachman, Ismail] Yayasan Konservasi Indonesia, Sorong, West Papua, Indonesia; [Hawkes, Lucy A.; Witt, Matthew J.] Univ Exeter, Coll Life &amp; Environm Sci, Hatherly Labs, Exeter, Devon, England; [Heard, Matthew] Dept Environm &amp; Water, Conservat &amp; Wildlife Branch, Adelaide, SA, Australia; [Hearn, Alex] Univ San Francisco Quito, Galapagos Sci Ctr, Dept Biol Sci, Quito, Ecuador; [Hedges, Kevin J.] Fisheries &amp; Oceans Canada, Winnipeg, MB, Canada; [Henderson, Suzanne M.] NatureScot, Inverness, Scotland; [Holdsworth, John] Blue Water Marine Res, Tutukaka, New Zealand; [Holland, Kim N.; Hutchinson, Melanie; Meyer, Carl G.; Royer, Mark A.] Univ Hawaii Manoa, Hawaii Inst Marine Biol, Kaneohe, HI USA; [Howey, Lucy A.] Johns Hopkins Univ, Baltimore, MD USA; [Howey, Lucy A.] Haiti Ocean Project, Petite Riviere De Nippes, Haiti; [Hueter, Robert E.; Tyminski, John P.] Mote Marine Lab, Sarasota, FL 34236 USA; [Humphries, Nicholas E.; Sims, David W.; Southall, Emily J.] Marine Biol Assoc UK, Plymouth, Devon, England; [Hutchinson, Melanie] Joint Inst Marine &amp; Atmospher Res, Honolulu, HI USA; [Jaine, Fabrice R. A.] Sydney Inst Marine Sci, Mosman, NSW, Australia; [Jorgensen, Salvador J.; Nasby-Lucas, Nicole] Univ Calif Santa Cruz, Inst Marine Sci, Santa Cruz, CA 95064 USA; [Kanive, Paul E.] Montana State Univ, Dept Ecol, Bozeman, MT 59717 USA; [Labaja, Jessica] Large Marine Vertebrates Res Inst Philippines, Jagna, Bohol, Philippines; [Lassauce, Hugo; Wantiez, Laurent] Univ New Caledonia, ISEA, Noumea, New Caledonia; [Lassauce, Hugo] Conservat Int New Caledonia, Noumea, New Caledonia; [Lipscombe, Rebecca S.] Southern Cross Univ, Natl Marine Sci Ctr, Coffs Harbour, NSW, Australia; [Macena, Bruno C. L.] Univ Azores, Okeanos Ctr, Horta, Faial, Portugal; [McAllister, Jaime D.; Semmens, Jayson M.] Univ Tasmania, Inst Marine &amp; Antarctic Studies, Hobart, Tas, Australia; [McGregor, Frazer] Murdoch Univ Field Stn, Coral Bay, WA, Australia; [McMillan, Matthew N.] Queensland Dept Agr &amp; Fisheries, Brisbane, Qld, Australia; [McNaughton, Lianne M.] TissueGrab Biopsy Syst LLC, Honolulu, HI USA; [Mohan, John A.] Univ New England, Sch Marine &amp; Environm Programs, Biddeford, ME USA; [Mucientes, Gonzalo] CSIC, Inst Invest Marinas, Vigo, Galicia, Spain; [Mucientes, Gonzalo; Queiroz, Nuno] Univ Porto, Ctr Invest Biodiversidade &amp; Recursos Genet, InBIO Lab Associado, CIBIO, Vairao, Portugal; [Musyl, Michael K.] Pelag Res Grp LLC, Honolulu, HI USA; [Natanson, Lisa J.] NOAA NMFS Apex Predators Program, Narragansett, RI USA; [Papastamtiou, Yannis P.] Florida Int Univ, Inst Environm, Dept Biol Sci, North Miami, FL USA; [Patterson, Toby A.] CSIRO Oceans &amp; Atmosphere, Hobart, Tas, Australia; [Pierce, Simon J.; Rohner, Christoph A.] Marine Megafauna Fdn, Truckee, CA USA; [Queiroz, Nuno] BIOPOLIS Program Genom Biodivers &amp; Land Planning, Vairao, Portugal; [Richardson, Anthony J.] Univ Queensland, Sch Math &amp; Phys, St Lucia, Qld, Australia; [Richardson, Anthony J.] CSIRO Oceans &amp; Atmosphere, St Lucia, Qld, Australia; [Righton, David] Univ East Anglia, Sch Environm Sci, Norwich, Norfolk, England; [Saunders, Ryan A.] British Antarctic Survey, Cambridge, Cambs, England; [Schaber, Matthias] Thunen Inst Sea Fisheries, Bremerhaven, Germany; [Scholl, Michael C.] Bimini Biol Field Stn Fdn, Bimini, Bahamas; [Scholl, Michael C.] IUCN SSC Shark Specialist Grp, Gland, Vaud, Switzerland; [Scholl, Michael C.] Univ Liege, Aquarium Museum Univ Liege, Liege, Wallonia, Belgium; [Shidqi, Rafid A.] Univ Calif Santa Cruz, Coastal Sci &amp; Policy Program, Santa Cruz, CA 95064 USA; [Shidqi, Rafid A.] Thresher Shark Project Indonesia, Alor Island, East Nusa Tengg, Indonesia; [Shillinger, George L.] Upwell, Monterey, CA USA; [Shivji, Mahmood S.; Vaudo, Jeremy J.; Wetherbee, Bradley M.] Nova Southeastern Univ, Guy Harvey Res Inst, Ft Lauderdale, FL 33314 USA; [Sims, David W.] Univ Southampton, Natl Oceanog Ctr Southampton, Ocean &amp; Earth Sci, Southampton, Hants, England; [Skomal, Gregory B.] Massachusetts Div Marine Fisheries, New Bedford, MA USA; [Sousa, Lara L.] Univ Oxford, Recanati Kaplan Ctr, Dept Zool, Wildlife Conservat Res Unit, Oxford, England; [Spaet, Julia L. Y.] Univ Cambridge, Dept Zool, Evolutionary Ecol Grp, Cambridge, Cambs, England; [Stehfest, Kilian M.] David Suzuki Fdn, Vancouver, BC, Canada; [Stewart, Joshua D.] Oregon State Univ, Hatfield Marine Sci Ctr, Dept Fisheries Wildlife &amp; Conservat Sci, Marine Mammal Inst, Newport, OR USA; [Tickler, David] Univ Western Australia, Sch Biol Sci, Marine Futures Lab, Crawley, WA, Australia; [Townsend, Kathy A.] Univ Sunshine Coast, Sch Sci Technol &amp; Engn, Hervey Bay, Qld, Australia; [Veras, Drausio] Univ Fed Rural Pernambuco, Unidade Acad Serra Talhada, Serra Talhada, PE, Brazil; [Wells, R. J. David] Texas A&amp;M Univ, Dept Marine Biol, Galveston, TX 77553 USA; [Weng, Kevin C.] Coll William &amp; Mary, Virginia Inst Marine Sci, Fisheries Sci, Gloucester Point, VA USA; [Wetherbee, Bradley M.] Univ Rhode Isl, Kingston, RI 02881 USA</t>
  </si>
  <si>
    <t>Stanford University; University of Leicester; University of Windsor; University of Queensland; University of Delaware; Texas A&amp;M University System; Murdoch University; Murdoch University; Flinders University South Australia; Lancaster University; Zoological Society of London; University of Western Australia; Australian Institute of Marine Science; Macquarie University; James Cook University; Universidade de Coimbra; Universidade Federal Rural de Pernambuco (UFRPE); State University System of Florida; Florida Atlantic University; Harbor Branch Oceanographic Institute Foundation; Arizona State University; Arizona State University-Downtown Phoenix; Monterey Bay Aquarium Research Institute; Qatar University; Ifremer; Universite de Montpellier; Centre National de la Recherche Scientifique (CNRS); Institut de Recherche pour le Developpement (IRD); Universidade Federal do Espirito Santo; Duke University; Bedford Institute of Oceanography; Fisheries &amp; Oceans Canada; Woods Hole Oceanographic Institution; Southern Cross University; Oregon State University; Marine Institute Ireland; Instituto Portugues do Mar e da Atmosfera; Universidade do Algarve; National Oceanic Atmospheric Admin (NOAA) - USA; National Research Foundation - South Africa; South African Institute for Aquatic Biodiversity; University of California System; University of California Santa Cruz; National University of La Plata; Museo La Plata; National Oceanic Atmospheric Admin (NOAA) - USA; National Oceanic Atmospheric Admin (NOAA) - USA; University of Exeter; University of Exeter; University of the Sunshine Coast; University of Auckland; Centre for Environment Fisheries &amp; Aquaculture Science; University of Alaska System; University of Alaska Fairbanks; Virginia Polytechnic Institute &amp; State University; National Institute of Water &amp; Atmospheric Research (NIWA) - New Zealand; James Cook University; Jacksonville University; Instituto Politecnico Nacional - Mexico; National University of La Plata; Museo La Plata; Consejo Nacional de Investigaciones Cientificas y Tecnicas (CONICET); University of Newcastle; University of Adelaide; University of Sheffield; Swedish University of Agricultural Sciences; University of Miami; University of Exeter; Universidad San Francisco de Quito; Fisheries &amp; Oceans Canada; University of Hawaii System; University of Hawaii Manoa; Johns Hopkins University; Mote Marine Laboratory &amp; Aquarium; Marine Biological Association United Kingdom; Sydney Institute of Marine Science; University of California System; University of California Santa Cruz; Montana State University System; Montana State University Bozeman; Universite Nouvelle Caledonie; Southern Cross University; Universidade dos Acores; University of Tasmania; University of New England - Maine; Consejo Superior de Investigaciones Cientificas (CSIC); CSIC - Instituto de Investigaciones Marinas (IIM); Universidade do Porto; State University System of Florida; Florida International University; Commonwealth Scientific &amp; Industrial Research Organisation (CSIRO); Universidade do Porto; University of Queensland; Commonwealth Scientific &amp; Industrial Research Organisation (CSIRO); University of East Anglia; UK Research &amp; Innovation (UKRI); Natural Environment Research Council (NERC); NERC British Antarctic Survey; Johann Heinrich von Thunen Institute; University of Liege; University of California System; University of California Santa Cruz; Nova Southeastern University; University of Southampton; NERC National Oceanography Centre; Massachusetts Division of Marine Fisheries; University of Oxford; University of Cambridge; Oregon State University; University of Western Australia; University of the Sunshine Coast; Universidade Federal Rural de Pernambuco (UFRPE); Texas A&amp;M University System; William &amp; Mary; Virginia Institute of Marine Science; University of Rhode Island</t>
  </si>
  <si>
    <t>Curnick, DJ (corresponding author), Zool Soc London, London, England.</t>
  </si>
  <si>
    <t>david.curnick@zsl.org</t>
  </si>
  <si>
    <t>Montgomery, John C/D-4310-2009; Mohan, John A/D-7530-2011; Sousa, Lara/L-7774-2013; Coffey, Daniel M/K-7599-2019; Wantiez, Laurent/L-3343-2013; Setyawan, Edy/HZL-5003-2023; Patterson, Toby A/B-3836-2011; Thums, Michele/A-3850-2013; Righton, David/D-6140-2013; Dagorn, Laurent/K-1002-2016; Sandoval, Gonzalo Mucientes/A-1057-2009; Ferretti, Francesco/AAR-2545-2020; Hedges, Kevin J/A-6378-2014; Couturier, Lydie/J-9695-2014; Dudgeon, Christine L/A-1633-2017; Pierce, Simon J./A-7621-2010; Jaine, Fabrice/D-1622-2016; Braun, Camrin D/G-8718-2012; Hussey, Nigel E/F-9699-2015; Johann, Mourier/B-4881-2012; Thorrold, Simon R/B-7565-2012; Afonso, André Sucena/AFL-1497-2022; Griffiths, Christopher Alan/AAG-9251-2019; Cowley, Paul D/M-4264-2017; Coelho, Rui/C-1163-2008; Setyawan, Edy/HKV-8474-2023; Rohner, Chris/AAJ-1661-2020; Holland, Kim/ABH-1490-2021; Witt, Matthew/V-3318-2018; Queiroz, Nuno/G-3850-2010; Weng, Kevin Chi-Ming/C-4709-2013; Andrzejaczek, Samantha/Q-7613-2018; Townsend, Kathy/K-9486-2016; Bach, Pascal/E-9370-2013</t>
  </si>
  <si>
    <t>Sousa, Lara/0000-0002-4392-3572; Coffey, Daniel M/0000-0001-5983-0146; Wantiez, Laurent/0000-0001-5024-2057; Sandoval, Gonzalo Mucientes/0000-0001-6650-3020; Ferretti, Francesco/0000-0001-9510-3552; Couturier, Lydie/0000-0002-3885-3397; Pierce, Simon J./0000-0002-9375-5175; Jaine, Fabrice/0000-0002-9304-5034; Johann, Mourier/0000-0001-9019-1717; Afonso, André Sucena/0000-0001-9129-278X; Griffiths, Christopher Alan/0000-0001-7203-0426; Coelho, Rui/0000-0003-3813-5157; Setyawan, Edy/0000-0001-6629-5997; Rohner, Chris/0000-0001-8760-8972; Carlisle, Aaron/0000-0003-0796-6564; Shidqi, Rafid/0000-0003-1368-8871; Goodman, Maurice/0000-0002-6874-2313; Green, Sofia M./0000-0002-2878-5984; Armstrong, Amelia/0000-0001-8103-4314; Cerqueira Ferreira, Luciana/0000-0001-6755-2799; Macena, Bruno C.L./0000-0001-5010-8560; Huveneers, Charlie/0000-0001-8937-1358; de Oliveira Lana, Fernanda/0000-0001-7235-069X; Curnick, David/0000-0002-3093-1282; Wright, Serena/0000-0003-4912-1455; Doherty, Philip/0000-0001-7561-3731; Jacoby, David/0000-0003-2729-3811; Righton, David/0000-0001-8643-3672; Gleiss, Adrian/0000-0002-9960-2858; Burke, Patrick/0000-0002-7217-0215; Finucci, Brittany/0000-0003-1315-2946; Queiroz, Nuno/0000-0002-3860-7356; Semmens, Jayson/0000-0003-1742-6692; Weng, Kevin Chi-Ming/0000-0002-7069-7152; Andrzejaczek, Samantha/0000-0002-9929-7312; Hearn, Alex/0000-0002-4986-098X; Lucas, Tim/0000-0003-4694-8107; Meekan, Mark/0000-0002-3067-9427; Townsend, Kathy/0000-0002-2581-2158; Bach, Pascal/0000-0003-0804-8466; Williamson, Jane/0000-0003-3627-4508</t>
  </si>
  <si>
    <t>Bertarelli Foundation through the Marine Science program; Research England, UK; Moore Foundation; Packard Foundation; Instituto Politecnico Nacional for fellowships (COFAA); Darwin Initiative [DPLUS046]; Research and Conservation Budget at Georgia Aquarium; Rolex Awards for Enterprise; Whitley Fund for Nature</t>
  </si>
  <si>
    <t>Bertarelli Foundation through the Marine Science program; Research England, UK(UK Research &amp; Innovation (UKRI)); Moore Foundation(Gordon and Betty Moore Foundation); Packard Foundation(The David &amp; Lucile Packard Foundation); Instituto Politecnico Nacional for fellowships (COFAA); Darwin Initiative; Research and Conservation Budget at Georgia Aquarium; Rolex Awards for Enterprise; Whitley Fund for Nature</t>
  </si>
  <si>
    <t>We would like to thank all the organizations that funded the studies contributing to this work and those who supported the collection of the data used within this manuscript. Data analysis was funded by the Bertarelli Foundation through the Marine Science program through grants to D.J.C., B.A.B., and S.A. D.J.C. is also funded through Research England, UK. S.A. and B.A.B. thank the Moore Foundation and the Packard Foundation. F.G.-M. thanks the Instituto Politecnico Nacional for fellowships (COFAA, EDI). S.B.W. thanks funding from the Darwin Initiative (DPLUS046). A.D.M.D. acknowledges funding from the Research and Conservation Budget at Georgia Aquarium, including philanthropic gifts from several anonymous donors. K.F. acknowledges funding from the Rolex Awards for Enterprise and the Whitley Fund for Nature.</t>
  </si>
  <si>
    <t>eaho1754</t>
  </si>
  <si>
    <t>10.1126/sciadv.abo1754</t>
  </si>
  <si>
    <t>3W0SA</t>
  </si>
  <si>
    <t>Green Submitted, Green Published, Green Accepted, gold</t>
  </si>
  <si>
    <t>WOS:000842064500017</t>
  </si>
  <si>
    <t>Shabangu, FW; Hofmeyr, GJG; Probert, R; Connan, M; Buhrmann, CA; Gridley, T</t>
  </si>
  <si>
    <t>Shabangu, Fannie W.; Hofmeyr, G. J. Greg; Probert, Rachel; Connan, Maelle; Buhrmann, Corrine A.; Gridley, Tess</t>
  </si>
  <si>
    <t>In-air acoustic repertoire and associated behaviour of wild juvenile crabeater seals during rehabilitation</t>
  </si>
  <si>
    <t>BIOACOUSTICS-THE INTERNATIONAL JOURNAL OF ANIMAL SOUND AND ITS RECORDING</t>
  </si>
  <si>
    <t>Acoustic behaviour; Lobodon carcinophaga; Antarctic pinnipeds; acoustic repertoire; in-air sounds; South Africa</t>
  </si>
  <si>
    <t>LOBODON-CARCINOPHAGUS; UNDERWATER VOCALIZATIONS; LEPTONYCHOTES-WEDDELLII; HEAT-STRESS; HYDRURGA-LEPTONYX; RESPIRATION RATE; LEOPARD SEALS; MOTHER; PUP; RECOGNITION</t>
  </si>
  <si>
    <t>In-air sounds of pinnipeds are important for interactions with conspecifics and threat displays. However, little is known about the in-air acoustic repertoire and associated behaviour of crabeater seals Lobodon carcinophaga. We investigated the in-air acoustic repertoire and associated behaviour of two male and one female wild juvenile crabeater seals that beached separately, and were rehabilitated in Durban and Gqeberha, South Africa. In-air sounds were visually identified and categorised into five classes validated via random forest model classification: brief, intermediate, and long moan calls, croaks, and hisses. Hisses were common (n = 25,105 sounds from 136 hrs of acoustic recordings) and detected during heightened arousal states and interactions with animal care staff and a conspecific. Furthermore, hisses were also recorded in low arousal states during exhalation. Moan calls (n = 241) were only detected from two of the three seals. During rehabilitation, the female seal ceased producing moan calls and later produced a series of croaks (n = 204). Acoustic characteristics of in-air moan calls differed from published underwater moan calls according to duration, minimum, and maximum frequencies, and pulse repetition rate. Our study shows that the in-air acoustic repertoire and associated behaviour of these Antarctic seals are dynamic, vary inter-individually and are context dependent.</t>
  </si>
  <si>
    <t>[Shabangu, Fannie W.] Dept Forestry Fisheries &amp; Environm, Fisheries Management Branch, Cape Town, South Africa; [Shabangu, Fannie W.] Univ Pretoria, Mammal Res Inst, Dept Zool &amp; Entomol, Whale Unit, Pretoria, South Africa; [Hofmeyr, G. J. Greg] Port Elizabeth Museum Bayworld, Gqeberha, South Africa; [Hofmeyr, G. J. Greg; Connan, Maelle] Nelson Mandela Univ, Inst Coastal &amp; Marine Res, Dept Zool, Marine Apex Predator Res Unit, Gqeberha, South Africa; [Probert, Rachel; Gridley, Tess] Sea Search Res &amp; Conservat NPC, Cape Town, South Africa; [Probert, Rachel; Buhrmann, Corrine A.] Univ KwaZulu Natal, Sch Life Sci, Westville, South Africa; [Buhrmann, Corrine A.] Oceanog Res Inst, Durban, South Africa; [Gridley, Tess] Stellenbosch Univ, Fac Sci, Dept Bot &amp; Zool, Stellenbosch, South Africa</t>
  </si>
  <si>
    <t>University of Pretoria; Nelson Mandela University; University of Kwazulu Natal; Stellenbosch University</t>
  </si>
  <si>
    <t>Shabangu, FW (corresponding author), Dept Forestry Fisheries &amp; Environm, Fisheries Management Branch, Cape Town, South Africa.;Shabangu, FW (corresponding author), Univ Pretoria, Mammal Res Inst, Dept Zool &amp; Entomol, Whale Unit, Pretoria, South Africa.</t>
  </si>
  <si>
    <t>Hofmeyr, G. J. Greg/AAV-3286-2020; Connan, Maelle/A-8468-2008</t>
  </si>
  <si>
    <t>Hofmeyr, G. J. Greg/0000-0003-0283-6058; Shabangu, Fannie W./0000-0002-3668-3566; Gridley, Tess/0000-0003-0925-5782; Probert, Rachel/0000-0002-8909-7544; Buhrmann, Corrine/0000-0002-9522-4650; Connan, Maelle/0000-0002-1308-9118</t>
  </si>
  <si>
    <t>0952-4622</t>
  </si>
  <si>
    <t>2165-0586</t>
  </si>
  <si>
    <t>BIOACOUSTICS</t>
  </si>
  <si>
    <t>Bioacoustics</t>
  </si>
  <si>
    <t>MAY 4</t>
  </si>
  <si>
    <t>10.1080/09524622.2022.2108145</t>
  </si>
  <si>
    <t>F8JJ6</t>
  </si>
  <si>
    <t>WOS:000841859500001</t>
  </si>
  <si>
    <t>Hartmann, DL</t>
  </si>
  <si>
    <t>Hartmann, Dennis L.</t>
  </si>
  <si>
    <t>The Antarctic ozone hole and the pattern effect on climate sensitivity</t>
  </si>
  <si>
    <t>PROCEEDINGS OF THE NATIONAL ACADEMY OF SCIENCES OF THE UNITED STATES OF AMERICA</t>
  </si>
  <si>
    <t>climate change; ozone hole; climate sensitivity</t>
  </si>
  <si>
    <t>SOUTHERN ANNULAR MODE; SEA-ICE TRENDS; TROPICAL PACIFIC; OCEAN; CIRCULATION; VARIABILITY; ATMOSPHERE; DEPLETION; IMPACT; ENSO</t>
  </si>
  <si>
    <t>Since about 1980, the tropical Pacific has been anomalously cold, while the broader tropics have warmed. This has caused anomalous weather in midlatitudes as well as a reduction in the apparent sensitivity of the climate associated with enhanced low-cloud abundance over the cooler waters of the eastern tropical Pacific. Recent modeling work has shown that cooler temperatures over the Southern Ocean around Antarctica can lead to cooler temperatures over the eastern tropical Pacific. Here we suggest that surface wind anomalies associated with the Antarctic ozone hole can cause cooler temperatures over the Southern Ocean that extend into the tropics. We use the short-term variability of the Southern Annular Mode of zonal wind variability to show an association between surface zonal wind variations over the Southern Ocean, cooling over the Southern Ocean, and cooling in the eastern tropical Pacific. This suggests that the cooling of the eastern tropical Pacific may be associated with the onset of the Antarctic ozone hole.</t>
  </si>
  <si>
    <t>[Hartmann, Dennis L.] Univ Washington, Dept Atmospher Sci, Seattle, WA 98195 USA</t>
  </si>
  <si>
    <t>University of Washington; University of Washington Seattle</t>
  </si>
  <si>
    <t>Hartmann, DL (corresponding author), Univ Washington, Dept Atmospher Sci, Seattle, WA 98195 USA.</t>
  </si>
  <si>
    <t>dhartm@uw.edu</t>
  </si>
  <si>
    <t>NSF Grant [ATG-2124496]</t>
  </si>
  <si>
    <t>NSF Grant(National Science Foundation (NSF))</t>
  </si>
  <si>
    <t>This paperwas stimulated by discussions with Isaac Held about the potential role of the Antarctic ozone hole on tropical SST. We thank Sara Kang, Lorenzo Polvani, and Shang-Ping Xie for insightful comments and suggestions, and Kyle Armour, Yue Dong, J. M. Wallace, and D. W. J. Thompson for helpful discussions. This work was supported by NSF Grant ATG-2124496.</t>
  </si>
  <si>
    <t>NATL ACAD SCIENCES</t>
  </si>
  <si>
    <t>2101 CONSTITUTION AVE NW, WASHINGTON, DC 20418 USA</t>
  </si>
  <si>
    <t>0027-8424</t>
  </si>
  <si>
    <t>1091-6490</t>
  </si>
  <si>
    <t>P NATL ACAD SCI USA</t>
  </si>
  <si>
    <t>Proc. Natl. Acad. Sci. U. S. A.</t>
  </si>
  <si>
    <t>AUG 18</t>
  </si>
  <si>
    <t>e2207889119</t>
  </si>
  <si>
    <t>10.1073/pnas.2207889119</t>
  </si>
  <si>
    <t>7T6WW</t>
  </si>
  <si>
    <t>WOS:000911585800029</t>
  </si>
  <si>
    <t>Pérez, LF; McKay, RM; De Santis, L; Larter, RD; Levy, RH; Naish, TR; Anderson, JB; Bart, PJ; Busetti, M; Dunbar, G; Sauli, C; Sorlien, CC; Speece, M</t>
  </si>
  <si>
    <t>Perez, Lara F.; McKay, Robert M.; De Santis, Laura; Larter, Robert D.; Levy, Richard H.; Naish, Timothy R.; Anderson, John B.; Bart, Philip J.; Busetti, Martina; Dunbar, Gavin; Sauli, Chiara; Sorlien, Christopher C.; Speece, Marvin</t>
  </si>
  <si>
    <t>Early to middle Miocene ice sheet dynamics in the westernmost Ross Sea (Antarctica): Regional correlations</t>
  </si>
  <si>
    <t>GLOBAL AND PLANETARY CHANGE</t>
  </si>
  <si>
    <t>Miocene climatic optimum; Middle miocene climatic transition; Seismic correlation; West Antarctic ice sheet; East Antarctic ice sheet; Ice sheet evolution</t>
  </si>
  <si>
    <t>EAST; INTENSIFICATION; EVOLUTION; DEPOSITS; NEOGENE</t>
  </si>
  <si>
    <t>The present-day morpho-stratigraphy of the Ross Sea is the result of Cenozoic tectonic and cryospheric events, and constitutes a key record of Antarctica's cryospheric evolution. An enduring problem in interpreting this record in a broader regional context is that the correlation between eastern and western Ross Sea stratigraphy has remained uncertain due to the limited number of drill sites. We correlate the glacial-related features observed on a dense network of seismic reflection profiles in McMurdo Sound with those identified in the Nordenskjo??ld and Drygalski Basins, as well as the basins farther east in the central Ross Sea. We present an improved corre-lation of the regional patterns of early to middle Miocene ice-sheet variance across the Ross Sea constrained by new evaluation of seismic facies and age models from one site recovered by the Antarctic Drilling Project (ANDRILL) in the southwestern most part of McMurdo Sound. We also integrate this correlation with the recently published seismic framework in the central Ross Sea. The formation of U-shaped valleys during the early Miocene in McMurdo Sound, together with prograding sedimentary wedges in the western-most basins, and the central Ross Sea, suggest two major phases of overall advance of a marine-terminating ice sheet between-18 Ma and-17.4 Ma. Widespread formation of turbiditic channel-levee systems in McMurdo Sound and rapid sediment deposition in Nordernskjo??ld Basin point to subsequent ice-sheet retreat between-17.4 Ma and-15.8 Ma, coinciding with the onset of the Miocene Climate Optimum (MCO;-17???14.5 Ma). However, the carving of troughs and formation of irregular morphologic features suggest that an extensive ice sheet still remained along the western Ross margin at-17.4 Ma and a brief episode of ice-sheet advance occurred at-16.8 Ma in the earliest interval of the MCO. Subsequent marine-based ice sheet advance during the Middle Miocene Climate Transition (MMCT,-14.0???13.8 Ma) is indicated by widespread erosional features. Our results reconcile the semi-continouous seismic and drill core stratigraphy of the offshore Ross Sea continental shelf with inferences of ice sheet dynamics from continuous far-field deep sea and sea level records, as well as the highly discontinous (and heavily debated) onshore records of pre-MMCT glaciation and aridification of the Transantarctic Mountains at 14 Ma.</t>
  </si>
  <si>
    <t>[Perez, Lara F.; Larter, Robert D.] British Antarctic Survey, High Cross,Madingley Rd, Cambridge CB3 0ET, England; [Perez, Lara F.] Aarhus Univ, Dept Marine Geol, Geol Survey Denmark &amp; Greenland, Univ City 81,Bldg 1872,6 Floor, DK-8000 Aarhus C, Denmark; [McKay, Robert M.; Levy, Richard H.; Naish, Timothy R.; Dunbar, Gavin] Victoria Univ Wellington, Antarctic Res Ctr, Cotton Bldg Gate 7, Wellington, New Zealand; [De Santis, Laura; Busetti, Martina; Sauli, Chiara] Natl Inst Oceanog &amp; Appl Geophys, Borgo Grotta Gigante 42-C, I-34010 Trieste, Italy; [Levy, Richard H.] GNS Sci, 1 Fairway Dr,Avalon 5010 POB 30-368, Lower Hutt 5040, New Zealand; [Anderson, John B.] Rice Univ, 6100 Main St, Houston, TX 77005 USA; [Bart, Philip J.] Louisiana State Univ, Baton Rouge, LA 70803 USA; [Sorlien, Christopher C.] UC Santa Barbara, Santa Barbara, CA 93106 USA; [Speece, Marvin] Montana Technol Univ, 1300 W Pk St, Butte, MT 59701 USA</t>
  </si>
  <si>
    <t>UK Research &amp; Innovation (UKRI); Natural Environment Research Council (NERC); NERC British Antarctic Survey; Aarhus University; Geological Survey Of Denmark &amp; Greenland; Victoria University Wellington; Istituto Nazionale di Oceanografia e di Geofisica Sperimentale; GNS Science - New Zealand; Rice University; Louisiana State University System; Louisiana State University; University of California System; University of California Santa Barbara; University of Montana System; University of Montana</t>
  </si>
  <si>
    <t>Larter, RD (corresponding author), British Antarctic Survey, High Cross,Madingley Rd, Cambridge CB3 0ET, England.;Pérez, LF; Larter, RD (corresponding author), Aarhus Univ, Dept Marine Geol, Geol Survey Denmark &amp; Greenland, Univ City 81,Bldg 1872,6 Floor, DK-8000 Aarhus C, Denmark.</t>
  </si>
  <si>
    <t>lfp@geus.dk; robert.mckay@vuw.ac.nz; ldesantis@ogs.it; rdla@bas.ac.uk; R.Levy@gns.cri.nz; timothy.naish@vuw.ac.nz; johna@rice.edu; pbart@lsu.edu; mbusetti@ogs.it; gavin.dunbar@vuw.ac.nz; csauli@ogs.it; christopher.sorlien@ucsb.edu; mspeece@mtech.edu</t>
  </si>
  <si>
    <t>Busetti, Martina/L-5185-2014</t>
  </si>
  <si>
    <t>Busetti, Martina/0000-0001-7039-3282</t>
  </si>
  <si>
    <t>0921-8181</t>
  </si>
  <si>
    <t>1872-6364</t>
  </si>
  <si>
    <t>GLOBAL PLANET CHANGE</t>
  </si>
  <si>
    <t>Glob. Planet. Change</t>
  </si>
  <si>
    <t>10.1016/j.gloplacha.2022.103891</t>
  </si>
  <si>
    <t>5R9UQ</t>
  </si>
  <si>
    <t>WOS:000874848700002</t>
  </si>
  <si>
    <t>Eissler, Y; Castillo-Reyes, A; Dorador, C; Cornejo-D'Ottone, M; Celis-Plá, PSM; Aguilar, P; Molina, V</t>
  </si>
  <si>
    <t>Eissler, Yoanna; Castillo-Reyes, Alonso; Dorador, Cristina; Cornejo-D'Ottone, Marcela; Celis-Pla, Paula S. M.; Aguilar, Polette; Molina, Veronica</t>
  </si>
  <si>
    <t>Virus-to-prokaryote ratio in the Salar de Huasco and different ecosystems of the Southern hemisphere and its relationship with physicochemical and biological parameters</t>
  </si>
  <si>
    <t>virus; bacteria; prokaryote; relationships; aquatic ecosystems; VBR; high-altitude wetland; VPR</t>
  </si>
  <si>
    <t>MARINE VIRUSES; MICROBIAL COMMUNITY; HOST INTERACTIONS; ABUNDANCE; PHYTOPLANKTON; DIVERSITY; DYNAMICS; VIRIOPLANKTON; BACTERIA; LAKES</t>
  </si>
  <si>
    <t>The virus-to-prokaryote ratio (VPR) has been used in many ecosystems to study the relationship between viruses and their hosts. While high VPR values indicate a high rate of prokaryotes' cell lysis, low values are interpreted as a decrease in or absence of viral activity. Salar de Huasco is a high-altitude wetland characterized by a rich microbial diversity associated with aquatic sites like springs, ponds, streams and a lagoon with variable physicochemical conditions. Samples from two ponds, Poza Rosada (PR) and Poza Verde (PV), were analyzed by epifluorescence microscopy to determine variability of viral and prokaryotic abundance and to calculate the VPR in a dry season. In addition, to put Salar de Huasco results into perspective, a compilation of research articles on viral and prokaryotic abundance, VPR, and metadata from various Southern hemisphere ecosystems was revised. The ecosystems were grouped into six categories: high-altitude wetlands, Pacific, Atlantic, Indian, and Southern Oceans and Antarctic lakes. Salar de Huasco ponds recorded similar VPR values (an average of 7.4 and 1.7 at PR and PV, respectively), ranging from 3.22 to 15.99 in PR. The VPR variability was associated with VA and chlorophyll a, when considering all data available for this ecosystem. In general, high-altitude wetlands recorded the highest VPR average (53.22 +/- 95.09), followed by the Oceans, Southern (21.91 +/- 25.72), Atlantic (19.57 +/- 15.77) and Indian (13.43 +/- 16.12), then Antarctic lakes (11.37 +/- 15.82) and the Pacific Ocean (6.34 +/- 3.79). Physicochemical variables, i.e., temperature, conductivity, nutrients (nitrate, ammonium, and phosphate) and chlorophyll a as a biological variable, were found to drive the VPR in the ecosystems analyzed. Thus, the viral activity in the Wetland followed similar trends of previous reports based on larger sets of metadata analyses. In total, this study highlights the importance of including viruses as a biological variable to study microbial temporal dynamics in wetlands considering their crucial role in the carbon budgets of these understudied ecosystems in the southern hemisphere.</t>
  </si>
  <si>
    <t>[Eissler, Yoanna] Univ Valparaiso, Fac Ciencias, Inst Quim &amp; Bioquim, Valparaiso, Chile; [Castillo-Reyes, Alonso] Univ Valparaiso, Fac Ciencias Mar &amp; Recursos Nat, Escuela Biol Marina, Vina Del Mar, Chile; [Dorador, Cristina] Univ Antofagasta, Fac Ciencias Mar &amp; Recursos Biol, Inst Antofagasta, Dept Biotecnol,Lab Complejidad Microbiana &amp; Ecol, Antofagasta, Chile; [Dorador, Cristina] Univ Chile, Ctr Biotechnol &amp; Bioengn, Santiago, Chile; [Cornejo-D'Ottone, Marcela] Pontificia Univ Catolica Valparaiso, Escuela Ciencias Mar, Valparaiso, Chile; [Cornejo-D'Ottone, Marcela] Pontificia Univ Catolica Valparaiso, Inst Milenio Oceanog, Valparaiso, Chile; [Celis-Pla, Paula S. M.] Univ Playa Ancha, Ctr Estudios Avanzados, Lab Aquat Environm Res, Vina Del Mar, Chile; [Celis-Pla, Paula S. M.; Aguilar, Polette; Molina, Veronica] Univ Playa Ancha, HUB Ambiental UPLA, Valparaiso, Chile; [Molina, Veronica] Univ Playa Ancha, Fac Ciencias Nat &amp; Exactas, Dept Ciencias &amp; Geog, Valparaiso, Chile; [Molina, Veronica] Univ Concepcion, Ctr Invest Oceanograf COPAS Coastal, Concepcion, Chile</t>
  </si>
  <si>
    <t>Universidad de Valparaiso; Universidad de Valparaiso; Universidad de Antofagasta; Universidad de Chile; Pontificia Universidad Catolica de Valparaiso; Pontificia Universidad Catolica de Valparaiso; Universidad de Playa Ancha; Universidad de Playa Ancha; Universidad de Playa Ancha; Universidad de Concepcion</t>
  </si>
  <si>
    <t>Eissler, Y (corresponding author), Univ Valparaiso, Fac Ciencias, Inst Quim &amp; Bioquim, Valparaiso, Chile.;Molina, V (corresponding author), Univ Playa Ancha, HUB Ambiental UPLA, Valparaiso, Chile.;Molina, V (corresponding author), Univ Playa Ancha, Fac Ciencias Nat &amp; Exactas, Dept Ciencias &amp; Geog, Valparaiso, Chile.;Molina, V (corresponding author), Univ Concepcion, Ctr Invest Oceanograf COPAS Coastal, Concepcion, Chile.</t>
  </si>
  <si>
    <t>yoanna.eissler@uv.cl; veronica.molina@upla.cl</t>
  </si>
  <si>
    <t>Aguilar-Munoz, Polette/0000-0002-2590-2778; Eissler, Yoanna/0000-0001-5028-2542; Castillo-Reyes, Alonso/0009-0004-0379-6654; Dorador, Cristina/0000-0002-7641-2154; Cornejo-D'Ottone, Marcela/0000-0003-1016-4423</t>
  </si>
  <si>
    <t>10.3389/fmicb.2022.938066</t>
  </si>
  <si>
    <t>5N0HZ</t>
  </si>
  <si>
    <t>WOS:000871473700001</t>
  </si>
  <si>
    <t>Hao, YF; Xiong, SY; Wang, P; Yang, RQ; Pei, ZG; Li, YM; Zhang, QH; Jiang, GB</t>
  </si>
  <si>
    <t>Hao, Yanfen; Xiong, Siyuan; Wang, Pu; Yang, Ruiqiang; Pei, Zhiguo; Li, Yingming; Zhang, Qinghua; Jiang, Guibin</t>
  </si>
  <si>
    <t>Novel brominated and organophosphate flame retardants in the atmosphere of Fildes Peninsula, West Antarctica: Continuous observations from 2011 to 2020</t>
  </si>
  <si>
    <t>NBFRs; OPEs; Antarctic air; Temporal trend</t>
  </si>
  <si>
    <t>KING GEORGE ISLAND; TEMPORAL TRENDS; AIR; PLASTICIZERS; ESTERS; PBDES; TRANSPORT; SEDIMENT; OPFRS; WATER</t>
  </si>
  <si>
    <t>Novel brominated flame retardants (NBFRs) and organophosphate esters (OPEs) have been widely detected in various environmental matrices worldwide and raised public concerns in recent years. However, few studies reported their occurrence and temporal trend in Antarctic air. In this study, concentrations, distribution, and temporal trends of NBFRs and OPEs in the air of Fildes Peninsula, West Antarctica, were investigated using XAD resin-based passive air sampling from January 2011 to January 2020. Air concentrations of the total OPEs (sigma 7OPEs) were one to two orders of magnitude higher than those of the total NBFRs (sigma(6)NBFRs). Decabromodiphenyl ethane and tris(2-chloroethyl) phosphate were the most abundant NBFR and OPE congeners, respectively. Significant positive correlations were observed among hexabromobenzene, pentabromoethylbenzene, and pentabromotoluene, indicating that their occurrence in Antarctic air may be affected by similar sources. No spatial differences in any of the NBFR and OPE congeners were observed, implying minor impact from local scientific research stations. Linear regression analysis was used to evaluate the temporal trends of NBFRs and OPEs in Antarctic air, with decreasing trends observed for sigma(6)NBFRs and sigma 7OPEs. This is one of the rare studies providing a comprehensive investigation of the temporal trends in NBFRs and OPEs in Antarctic air and highlights concern regarding the contamination of these chemicals in remote polar regions.</t>
  </si>
  <si>
    <t>[Hao, Yanfen; Wang, Pu] Jianghan Univ, Sch Environm &amp; Hlth, State Key Lab Precis Blasting, Wuhan 430056, Peoples R China; [Xiong, Siyuan; Yang, Ruiqiang; Pei, Zhiguo; Li, Yingming; Zhang, Qinghua; Jiang, Guibin] Chinese Acad Sci, Res Ctr Ecoenvironm Sci, State Key Lab Environm Chem &amp; Ecotoxicol, Beijing 100085, Peoples R China; [Xiong, Siyuan; Yang, Ruiqiang; Pei, Zhiguo; Li, Yingming; Zhang, Qinghua; Jiang, Guibin] Univ Chinese Acad Sci, Beijing 100049, Peoples R China</t>
  </si>
  <si>
    <t>Jianghan University; Chinese Academy of Sciences; Research Center for Eco-Environmental Sciences (RCEES); Chinese Academy of Sciences; University of Chinese Academy of Sciences, CAS</t>
  </si>
  <si>
    <t>Li, YM (corresponding author), Chinese Acad Sci, Res Ctr Ecoenvironm Sci, State Key Lab Environm Chem &amp; Ecotoxicol, Beijing 100085, Peoples R China.</t>
  </si>
  <si>
    <t>Zhang, Qinghua/L-7652-2019; Yao, Chen/JVD-6226-2023; ren, jing/JXN-8411-2024</t>
  </si>
  <si>
    <t>Zhang, Qinghua/0000-0001-9086-7000;</t>
  </si>
  <si>
    <t>National Natural Science Foundation of China [22076215, 41977327]; Eco Environmental Excellent Innovation Projects of the Research Center for Eco- Environmental Sciences [RCEES-EEI-2019-01]; Polar Research Institute of China; Chinese Scientific Research Expeditions; Chinese Arctic and Antarctic Administration</t>
  </si>
  <si>
    <t>National Natural Science Foundation of China(National Natural Science Foundation of China (NSFC)); Eco Environmental Excellent Innovation Projects of the Research Center for Eco- Environmental Sciences; Polar Research Institute of China; Chinese Scientific Research Expeditions; Chinese Arctic and Antarctic Administration</t>
  </si>
  <si>
    <t>This study was supported by the National Natural Science Foundation of China (22076215 and 41977327) and the Eco Environmental Excellent Innovation Projects of the Research Center for Eco Environmental Sciences (RCEES-EEI-2019-01) . We also thank the Chinese Arctic and Antarctic Administration and Polar Research Institute of China for their support in arranging the Chinese Scientific Research Expeditions to Antarctica.</t>
  </si>
  <si>
    <t>10.1016/j.jhazmat.2022.129776</t>
  </si>
  <si>
    <t>4P0TP</t>
  </si>
  <si>
    <t>WOS:000855108100003</t>
  </si>
  <si>
    <t>Jenouvrier, S; Aubry, L; van Daalen, S; Barbraud, C; Weimerskirch, H; Caswell, H</t>
  </si>
  <si>
    <t>Jenouvrier, Stephanie; Aubry, Lise; van Daalen, Silke; Barbraud, Christophe; Weimerskirch, Henri; Caswell, Hal</t>
  </si>
  <si>
    <t>When the going gets tough, the tough get going: Effect of extreme climate on an Antarctic seabird's life history</t>
  </si>
  <si>
    <t>ECOLOGY LETTERS</t>
  </si>
  <si>
    <t>fixed heterogeneity; frailty; individual quality; individual stochasticity; unobserved individual heterogeneity; SICs</t>
  </si>
  <si>
    <t>FAST-SLOW CONTINUUM; INDIVIDUAL QUALITY; DYNAMIC HETEROGENEITY; REPRODUCTIVE SUCCESS; POPULATION-DYNAMICS; NEUTRAL THEORY; VARIABILITY; FITNESS; SELECTION; TRAITS</t>
  </si>
  <si>
    <t>Individuals differ in many ways. Most produce few offspring; a handful produce many. Some die early; others live to old age. It is tempting to attribute these differences in outcomes to differences in individual traits, and thus in the demographic rates experienced. However, there is more to individual variation than meets the eye of the biologist. Even among individuals sharing identical traits, life history outcomes (life expectancy and lifetime reproduction) will vary due to individual stochasticity, that is to chance. Quantifying the contributions of heterogeneity and chance is essential to understand natural variability. Interindividual differences vary across environmental conditions, hence heterogeneity and stochasticity depend on environmental conditions. We show that favourable conditions increase the contributions of individual stochasticity, and reduce the contributions of heterogeneity, to variance in demographic outcomes in a seabird population. The opposite is true under poor conditions. This result has important consequence for understanding the ecology and evolution of life history strategies.</t>
  </si>
  <si>
    <t>[Jenouvrier, Stephanie; van Daalen, Silke; Caswell, Hal] Woods Hole Oceanog Inst, Dept Biol, MS-50, Woods Hole, MA 02543 USA; [Aubry, Lise] Colorado State Univ, Fish Wildlife &amp; Conservat Biol Dept, Ft Collins, CO 80523 USA; [Barbraud, Christophe; Weimerskirch, Henri] Univ La Rochelle, Ctr Etud Biol Chize, UMR 7372, CNRS, Villiers En Bois, France; [Caswell, Hal] Univ Amsterdam, Inst Biodivers &amp; Ecosyst Dynam, Amsterdam, Netherlands</t>
  </si>
  <si>
    <t>Woods Hole Oceanographic Institution; Colorado State University; Centre National de la Recherche Scientifique (CNRS); CNRS - Institute of Ecology &amp; Environment (INEE); La Rochelle Universite; University of Amsterdam</t>
  </si>
  <si>
    <t>Jenouvrier, S (corresponding author), Woods Hole Oceanog Inst, Dept Biol, MS-50, Woods Hole, MA 02543 USA.</t>
  </si>
  <si>
    <t>sjenouvrier@whoi.edu</t>
  </si>
  <si>
    <t>Aubry, Lise M/A-9078-2012; Weimerskirch, Henri/F-5562-2013</t>
  </si>
  <si>
    <t>jenouvrier, stephanie/0000-0003-3324-2383</t>
  </si>
  <si>
    <t>European Research Council Advanced Grant; Fondation BNP Paribas; National Science Foundation (USA) [OPP-1840058, OPP-1246407, DEB-1257545]</t>
  </si>
  <si>
    <t>European Research Council Advanced Grant(European Research Council (ERC)); Fondation BNP Paribas; National Science Foundation (USA)(National Science Foundation (NSF))</t>
  </si>
  <si>
    <t>European Research Council Advanced Grant; Fondation BNP Paribas; National Science Foundation (USA), Grant/Award Number: OPP-1840058, OPP-1246407 and DEB-1257545</t>
  </si>
  <si>
    <t>1461-023X</t>
  </si>
  <si>
    <t>1461-0248</t>
  </si>
  <si>
    <t>ECOL LETT</t>
  </si>
  <si>
    <t>Ecol. Lett.</t>
  </si>
  <si>
    <t>10.1111/ele.14076</t>
  </si>
  <si>
    <t>4Y3PJ</t>
  </si>
  <si>
    <t>Green Published, Green Submitted, hybrid</t>
  </si>
  <si>
    <t>WOS:000841533200001</t>
  </si>
  <si>
    <t>Kienle, SS; Goebel, ME; LaBrecque, E; Borras-Chavez, R; Trumble, SJ; Kanatous, SB; Crocker, DE; Costa, DP</t>
  </si>
  <si>
    <t>Kienle, Sarah S.; Goebel, Michael E.; LaBrecque, Erin; Borras-Chavez, Renato; Trumble, Stephen J.; Kanatous, Shane B.; Crocker, Daniel E.; Costa, Daniel P.</t>
  </si>
  <si>
    <t>Plasticity in the morphometrics and movements of an Antarctic apex predator, the leopard seal</t>
  </si>
  <si>
    <t>apex predator; dive behavior; flexibility; intraspecific variation; leopard seal; morphometrics; movement patterns; sexual dimorphism</t>
  </si>
  <si>
    <t>SEXUAL SIZE DIMORPHISM; PACK-ICE SEALS; HYDRURGA-LEPTONYX; WEDDELL SEAL; TOP-DOWN; DIVE BEHAVIOR; PRYDZ BAY; FUR SEALS; BODY-MASS; SELECTION</t>
  </si>
  <si>
    <t>Animals that display plasticity in behavioral, ecological, and morphological traits are better poised to cope with environmental disturbances. Here, we examined individual plasticity and intraspecific variation in the morphometrics, movement patterns, and dive behavior of an enigmatic apex predator, the leopard seal (Hydrurga leptonyx). Satellite/GPS tags and time-depth recorders were deployed on 22 leopard seals off the Western Antarctic Peninsula. Adult female leopard seals were significantly larger (454 +/- 59 kg) and longer (302 +/- 11 cm) than adult males (302 +/- 22 kg, 276 +/- 11 cm). As females were 50% larger than their male counterparts, leopard seals are therefore one of the most extreme examples of female-biased sexual size dimorphism in marine mammals. Female leopard seals also spent more time hauled-out on land and ice than males. In the austral spring/summer, three adult female leopard seals hauled-out on ice for 10+ days, which likely represent the first satellite tracks of parturition and lactation for the species. While we found sex-based differences in morphometrics and haul-out durations, other variables, including maximum distance traveled and dive parameters, did not vary by sex. Regardless of sex, some leopard seals remained in near-shore habitats, traveling less than 50 kilometers, while other leopard seals traveled up to 1,700 kilometers away from the tagging location. Overall, leopard seals were short (3.0 +/- 0.7 min) and shallow (29 +/- 8 m) divers. However, within this general pattern, some individual leopard seals primarily used short, shallow dives, while others switched between short, shallow dives and long, deep dives. We also recorded the single deepest and longest dive made by any leopard seal-1, 256 meters for 25 minutes. Together, our results showcased high plasticity among leopard seals tagged in a single location. These flexible behaviors and traits may offer leopard seals, an ice-associated apex predator, resilience to the rapidly changing Southern Ocean.</t>
  </si>
  <si>
    <t>[Kienle, Sarah S.; Trumble, Stephen J.] Baylor Univ, Dept Biol, Waco, TX 76706 USA; [Goebel, Michael E.] Natl Ocean &amp; Atmospher Adm NOAA Fisheries, Southwest Fisheries Sci Ctr, Antarctic Ecosyst Res Div, La Jolla, CA USA; [Goebel, Michael E.; Costa, Daniel P.] Univ Calif Santa Cruz, Dept Ecol &amp; Evolutionary Biol, Santa Cruz, CA USA; [LaBrecque, Erin] Marine Mammal Commiss, Bethesda, MD USA; [Borras-Chavez, Renato] Pontificia Univ Catolica Chile, Ctr Appl Ecol &amp; Sustainabil CAPES, Dept Ecol, Santiago, Chile; [Borras-Chavez, Renato] Inst Antartico Chileno INACH, Punta Arenas, Chile; [Kanatous, Shane B.] Colorado State Univ, Dept Biol, Ft Collins, CO USA; [Crocker, Daniel E.] Sonoma State Univ, Dept Biol, Rohnert Pk, CA USA</t>
  </si>
  <si>
    <t>Baylor University; National Oceanic Atmospheric Admin (NOAA) - USA; University of California System; University of California Santa Cruz; Pontificia Universidad Catolica de Chile; Colorado State University; California State University System; Sonoma State University</t>
  </si>
  <si>
    <t>Kienle, SS (corresponding author), Baylor Univ, Dept Biol, Waco, TX 76706 USA.</t>
  </si>
  <si>
    <t>Sarah_Kienle@baylor.edu</t>
  </si>
  <si>
    <t>Borras-Chavez, Renato/0000-0002-6415-2121</t>
  </si>
  <si>
    <t>Chilean Antarctic Institute (INACH); ANID [PIA/BASAL FB0002]; NSF [1644256]; Directorate For Geosciences [1644256] Funding Source: National Science Foundation; Office of Polar Programs (OPP) [1644256] Funding Source: National Science Foundation</t>
  </si>
  <si>
    <t>Chilean Antarctic Institute (INACH); ANID; NSF(National Science Foundation (NSF)); Directorate For Geosciences(National Science Foundation (NSF)NSF - Directorate for Geosciences (GEO)); Office of Polar Programs (OPP)(National Science Foundation (NSF)NSF - Directorate for Geosciences (GEO))</t>
  </si>
  <si>
    <t>We gratefully acknowledge the following individuals and organizations for their invaluable help in completing this project, including the entire crew of the Lawrence M. Gould, NOAA Antarctic Marine Living Resources Program, M. L. Benton, P. Cunningham, A.Kirkpatrick, A.Leahy, E.Sperou,andtheU.S.Antarctic Program, with special thanks to C. Ferrier, D. Krause, andG. Watters. The authors also appreciate the helpful reviews and comments by D.Jacoby, M.Bester, and D.Ainley that improved the manuscript. We also thank The Chilean Antarctic Institute (INACH) for their support at Cape Shirreff and the ANID PIA/BASAL FB0002. This work was funded by NSF #1644256.</t>
  </si>
  <si>
    <t>AUG 17</t>
  </si>
  <si>
    <t>10.3389/fmars.2022.976019</t>
  </si>
  <si>
    <t>5O5SM</t>
  </si>
  <si>
    <t>WOS:000872532900001</t>
  </si>
  <si>
    <t>Ruiz, MB; Servetto, N; Alurralde, G; Abele, D; Harms, L; Sahade, R; Held, C</t>
  </si>
  <si>
    <t>Ruiz, Micaela B.; Servetto, Natalia; Alurralde, Gaston; Abele, Doris; Harms, Lars; Sahade, Ricardo; Held, Christoph</t>
  </si>
  <si>
    <t>Molecular responses of a key Antarctic species to sedimentation due to rapid climate change</t>
  </si>
  <si>
    <t>MARINE ENVIRONMENTAL RESEARCH</t>
  </si>
  <si>
    <t>RNA-seq; Climate change; Filter -feeder; Sedimentation; Stress -response; Antarctica</t>
  </si>
  <si>
    <t>BIVALVE LATERNULA-ELLIPTICA; KING GEORGE ISLAND; RNA-SEQ REVEALS; DIFFERENTIAL EXPRESSION; SEASONAL ENERGETICS; GENE-EXPRESSION; MIDGUT GLAND; HEAT-STRESS; TEMPERATURE; TOLERANCE</t>
  </si>
  <si>
    <t>Rapid regional warming causing glacial retreat and melting of ice caps in Antarctica leads benthic filter-feeders to be exposed to periods of food shortage and high respiratory impairment as a consequence of seasonal sediment discharge in the West Antarctic Peninsula coastal areas. The molecular physiological response and its fine-tuning allow species to survive acute environmental stress and are thus a prerequisite to longer-term adaptation to changing environments. Under experimental conditions, we analyzed here the metabolic response to changes in suspended sediment concentrations, through transcriptome sequencing and enzymatic measurements in a highly abundant Antarctic ascidian. We found that the mechanisms underlying short-term response to sedimentation in Cnemidocarpa verrucosa sp. A involved apoptosis, immune defense, and general metabolic depression. These mechanisms may be understood as an adaptive protection against sedimentation caused by glacial retreat. This process can strongly contribute to the structuring of future benthic filter-feeder communities in the face of climate change.</t>
  </si>
  <si>
    <t>[Ruiz, Micaela B.; Servetto, Natalia; Sahade, Ricardo] Consejo Nacl Invest Cient &amp; Tecn, Inst Divers &amp; Ecol Anim IDEA, Cordoba, Argentina; [Ruiz, Micaela B.; Servetto, Natalia; Sahade, Ricardo] Univ Nacl Cordoba, Fac Ciencias Exactas Fis &amp; Nat, Dept Divers Biol &amp; Ecol, Ecol Marina, Cordoba, Argentina; [Alurralde, Gaston] Stockholm Univ, Dept Environm Sci, Stockholm, Sweden; [Abele, Doris; Held, Christoph] Alfred Wegener Inst Helmholtz, Zenturm Polar &amp; Meeresforschung, Sect Funct Ecol, Evolutionary Macroecol, Bremerhaven, Germany; [Harms, Lars] Alfred Wegener Inst Helmholtz, Comp &amp; data Ctr, Zenturm Polar &amp; Meeresforschung, Data Sci Support, Bremerhaven, Germany; [Sahade, Ricardo] Univ Nacl Cordoba, Fac Ciencias Exactas Fis &amp; Nat, Inst Divers &amp; Ecol Anim IDEA, CONICET UNC, Ave Velez Sarsfield 299, RA-5000 Cordoba, Argentina; [Ruiz, Micaela B.] Univ Nacl Cordoba, Fac Ciencias Exactas Fis &amp; Nat, Inst Divers &amp; Ecol Anim IDEA, CONICET UNC, Ave Velez Sarsfield 299, RA-5000 Cordoba, Argentina</t>
  </si>
  <si>
    <t>Consejo Nacional de Investigaciones Cientificas y Tecnicas (CONICET); National University of Cordoba; Stockholm University; Helmholtz Association; Alfred Wegener Institute, Helmholtz Centre for Polar &amp; Marine Research; Helmholtz Association; Alfred Wegener Institute, Helmholtz Centre for Polar &amp; Marine Research; National University of Cordoba; Consejo Nacional de Investigaciones Cientificas y Tecnicas (CONICET); Consejo Nacional de Investigaciones Cientificas y Tecnicas (CONICET); National University of Cordoba</t>
  </si>
  <si>
    <t>Sahade, R (corresponding author), Univ Nacl Cordoba, Fac Ciencias Exactas Fis &amp; Nat, Inst Divers &amp; Ecol Anim IDEA, CONICET UNC, Ave Velez Sarsfield 299, RA-5000 Cordoba, Argentina.;Ruiz, MB (corresponding author), Univ Nacl Cordoba, Fac Ciencias Exactas Fis &amp; Nat, Inst Divers &amp; Ecol Anim IDEA, CONICET UNC, Ave Velez Sarsfield 299, RA-5000 Cordoba, Argentina.</t>
  </si>
  <si>
    <t>micaruiz90@gmail.com; biol.nataliaservetto@gmail.com; gaston.alurralde@aces.su.se; mitocondriarevelde@gmail.com; Lars.Harms@awi.de; rsahade@unc.edu.ar; Christoph.Held@awi.de</t>
  </si>
  <si>
    <t>Alurralde, Gastón/IVV-4732-2023</t>
  </si>
  <si>
    <t>Alurralde, Gastón/0000-0002-0332-3978; Ruiz, Micaela Belen/0000-0003-1278-8248; Servetto, Natalia/0000-0002-3713-9116</t>
  </si>
  <si>
    <t>Consejo Nacional de Investigaciones Cientificas y Tecnicas (CONICET); Direccion Nacional del Antartico (DNA)/Instituto Antartico Argentino (IAA); Universidad Nacional de Cordoba; Alfred Wegener Institute (AWI); ANPCyT-DNA [PICTO 2010 - 0019]; European Commission under the 7th Framework Programme through the Action - IMCONet [318718]; Company of Biologists [JEBTF1903133]; Short Term Grant 2019 Scholarship of the Deutscher Akademischer Austauschdienst German Academic Exchange Service [91701637]</t>
  </si>
  <si>
    <t>Consejo Nacional de Investigaciones Cientificas y Tecnicas (CONICET)(Consejo Nacional de Investigaciones Cientificas y Tecnicas (CONICET)); Direccion Nacional del Antartico (DNA)/Instituto Antartico Argentino (IAA); Universidad Nacional de Cordoba; Alfred Wegener Institute (AWI); ANPCyT-DNA; European Commission under the 7th Framework Programme through the Action - IMCONet(European Union (EU)); Company of Biologists; Short Term Grant 2019 Scholarship of the Deutscher Akademischer Austauschdienst German Academic Exchange Service</t>
  </si>
  <si>
    <t>This study was supported by the Consejo Nacional de Investigaciones Cientificas y Tecnicas (CONICET), Direccion Nacional del Antartico (DNA)/Instituto Antartico Argentino (IAA), the Universidad Nacional de Cordoba and the Alfred Wegener Institute (AWI). The work was partially funded by the PICTO 2010 - 0019 (ANPCyT-DNA), and the European Commission under the 7th Framework Programme through the Action - IMCONet (FP7 404 IRSES, action No. 318718). This study was also supported with a Travelling Fellowship granted by The Company of Biologists (Grant number: JEBTF1903133), and a Short Term Grant 2019 Scholarship of the Deutscher Akademischer Austauschdienst German Academic Exchange Service (Reference number: 91701637).</t>
  </si>
  <si>
    <t>0141-1136</t>
  </si>
  <si>
    <t>1879-0291</t>
  </si>
  <si>
    <t>MAR ENVIRON RES</t>
  </si>
  <si>
    <t>Mar. Environ. Res.</t>
  </si>
  <si>
    <t>10.1016/j.marenvres.2022.105720</t>
  </si>
  <si>
    <t>Environmental Sciences; Marine &amp; Freshwater Biology; Toxicology</t>
  </si>
  <si>
    <t>Environmental Sciences &amp; Ecology; Marine &amp; Freshwater Biology; Toxicology</t>
  </si>
  <si>
    <t>4F6JU</t>
  </si>
  <si>
    <t>WOS:000848617000004</t>
  </si>
  <si>
    <t>Stal, T; Reading, AM; Fuchs, S; Halpin, JA; Loesing, M; Turner, RJ</t>
  </si>
  <si>
    <t>Stal, Tobias; Reading, Anya M.; Fuchs, Sven; Halpin, Jacqueline A.; Loesing, Mareen; Turner, Ross J.</t>
  </si>
  <si>
    <t>Properties and biases of the global heat flow compilation</t>
  </si>
  <si>
    <t>heat flow; geothermal; compilation; thermal; regionalisation; geomorphometrics</t>
  </si>
  <si>
    <t>GEOTHERMAL-ENERGY RESOURCES; MODEL; LITHOSPHERE; TEMPERATURE; FLUX; MAP; BENEATH; BOTTOM; DEPTH</t>
  </si>
  <si>
    <t>Geothermal heat flow is inferred from the gradient of temperature values in boreholes or short-penetration probe measurements. Such measurements are expensive and logistically challenging in remote locations and, therefore, often targeted to regions of economic interest. As a result, measurements are not distributed evenly. Some tectonic, geologic and even topographic settings are overrepresented in global heat flow compilations; other settings are underrepresented or completely missing. These limitations in representation have implications for empirical heat flow models that use catalogue data to assign heat flow by the similarity of observables. In this contribution, we analyse the sampling bias in the Global Heat Flow database of the International Heat Flow Commission; the most recent and extensive heat flow catalogue, and discuss the implications for accurate prediction and global appraisals. We also suggest correction weights to reduce the bias when the catalogue is used for empirical modelling. From comparison with auxiliary variables, we find that each of the following settings is highly overrepresented for heat flow measurements; continental crust, sedimentary rocks, volcanic rocks, and Phanerozoic regions with hydrocarbon exploration. Oceanic crust, cratons, and metamorphic rocks are underrepresented. The findings also suggest a general tendency to measure heat flow in areas where the values are elevated; however, this conclusion depends on which auxiliary variable is under consideration to determine the settings. We anticipate that using our correction weights to balance disproportional representation will improve empirical heat flow models for remote regions and assist in the ongoing assessment of the Global Heat Flow database.</t>
  </si>
  <si>
    <t>[Stal, Tobias; Reading, Anya M.; Turner, Ross J.] Univ Tasmania, Sch Nat Sci Phys, Hobart, Tas, Australia; [Stal, Tobias; Reading, Anya M.; Halpin, Jacqueline A.] Univ Tasmania, Inst Marine, Antarctic Studies, Hobart, Tas, Australia; [Stal, Tobias; Reading, Anya M.; Halpin, Jacqueline A.] Univ Tasmania, Australian Ctr Excellence Antarctic Sci ACEAS, Hobart, Tas, Australia; [Fuchs, Sven] GFZ German Res Ctr Geosci, Helmholtz Ctr Potsdam, Sect Geoenergy, Potsdam, Germany; [Loesing, Mareen] Univ Kiel, Inst Geosci, Kiel, Germany</t>
  </si>
  <si>
    <t>University of Tasmania; University of Tasmania; University of Tasmania; Helmholtz Association; Helmholtz-Center Potsdam GFZ German Research Center for Geosciences; University of Kiel</t>
  </si>
  <si>
    <t>Stal, T (corresponding author), Univ Tasmania, Sch Nat Sci Phys, Hobart, Tas, Australia.;Stal, T (corresponding author), Univ Tasmania, Inst Marine, Antarctic Studies, Hobart, Tas, Australia.;Stal, T (corresponding author), Univ Tasmania, Australian Ctr Excellence Antarctic Sci ACEAS, Hobart, Tas, Australia.</t>
  </si>
  <si>
    <t>tobias.staal@utas.edu.au</t>
  </si>
  <si>
    <t>Fuchs, Sven/A-4822-2013; Turner, Ross/JPL-4110-2023; Reading, Anya M/E-6728-2012; Halpin, Jacqueline/A-3776-2014</t>
  </si>
  <si>
    <t>Fuchs, Sven/0000-0002-2896-6662; Turner, Ross/0000-0002-4376-5455; Reading, Anya M/0000-0002-9316-7605; Losing, Mareen/0000-0002-9222-2107; Halpin, Jacqueline/0000-0002-4992-8681</t>
  </si>
  <si>
    <t>Australian Research Council; ARC Special Research Initiative [ARC DP190100418]; Australian Centre for Excellence in Antarctic Science; ARC [SR200100008]; Deutsche Forschungsgemeinschaft (DFG) [DP180104074]; [EB 255/8-1]; Australian Research Council [SR200100008] Funding Source: Australian Research Council</t>
  </si>
  <si>
    <t>Australian Research Council(Australian Research Council); ARC Special Research Initiative(Australian Research Council); Australian Centre for Excellence in Antarctic Science; ARC(Australian Research Council); Deutsche Forschungsgemeinschaft (DFG)(German Research Foundation (DFG)); ; Australian Research Council(Australian Research Council)</t>
  </si>
  <si>
    <t>This research was supported by the Australian Research Council through ARC DP190100418, ARC Special Research Initiative, Australian Centre for Excellence in Antarctic Science (Project Number SR200100008), and ARC DP180104074. Additional support was provided through the Deutsche Forschungsgemeinschaft (DFG) in the framework of the priority programme Antarctic Research with comparative investigations in Arctic ice areas (Grant No. EB 255/8-1).</t>
  </si>
  <si>
    <t>10.3389/feart.2022.963525</t>
  </si>
  <si>
    <t>4F4RD</t>
  </si>
  <si>
    <t>WOS:000848499300001</t>
  </si>
  <si>
    <t>Schall, E; Djokic, D; Ross-Marsh, EC; Oña, J; Denkinger, J; Baumgarten, JE; Padovese, LR; Rossi-Santos, MR; Gonçalves, MIC; Sousa-Lima, R; Hucke-Gaete, R; Elwen, S; Buchan, S; Gridley, T; Van Opzeeland, I</t>
  </si>
  <si>
    <t>Schall, Elena; Djokic, Divna; Ross-Marsh, Erin C.; Ona, Javier; Denkinger, Judith; Baumgarten, Julio Ernesto; Padovese, Linilson Rodrigues; Rossi-Santos, Marcos R.; Carvalho Goncalves, Maria Isabel; Sousa-Lima, Renata; Hucke-Gaete, Rodrigo; Elwen, Simon; Buchan, Susannah; Gridley, Tess; Van Opzeeland, Ilse</t>
  </si>
  <si>
    <t>Song recordings suggest feeding ground sharing in Southern Hemisphere humpback whales</t>
  </si>
  <si>
    <t>MEGAPTERA-NOVAEANGLIAE; POPULATION-STRUCTURE; EUPHAUSIA-SUPERBA; OCEAN; KRILL; WEST; MOVEMENTS; PATTERNS</t>
  </si>
  <si>
    <t>The Atlantic sector of the Southern Ocean (ASSO) has one of the highest densities of Antarctic krill (Euphausia superba) compared to other polar and subpolar regions, which attracts migratory baleen whale species to aggregate in this area for feeding. Humpback whales (Megaptera novaeangliae) also sing extensively while on the Southern Ocean feeding grounds which allows for the exploration of song similarity between feeding grounds and breeding populations which helps to understand population mixing. The results of comparative song analyses between the ASSO and the Ecuadorian and Brazilian breeding populations and recordings from the Chilean, South African and Namibian migration routes/mid-latitude feeding grounds revealed that individuals from at least three humpback whale breeding populations most likely migrate to shared feeding grounds in the ASSO. Humpback whales from different populations potentially mix at different times (i.e., years) at feeding hotspots in variable locations. The ASSO seems to provide sufficient prey resources and seems to present an important area for both cultural and maybe even genetic exchange between populations supporting the maintenance of large gene pools. Assuming that multi-population feeding hotspots are also suitable habitat for krill and other krill-dependent predators, these areas in the ASSO should be carefully managed integrating population, ecosystem and fisheries management.</t>
  </si>
  <si>
    <t>[Schall, Elena; Van Opzeeland, Ilse] Helmholtz Ctr Polar &amp; Marine Res, Alfred Wegener Inst, Ocean Acoust Grp, Klussmannstr 3d, D-27570 Bremerhaven, Germany; [Djokic, Divna; Sousa-Lima, Renata] Univ Fed Rio Grande do Norte, Lab Bioacoust, Natal, RN, Brazil; [Djokic, Divna; Sousa-Lima, Renata] Univ Fed Rio Grande do Norte, Biosci Ctr, Behav &amp; Psychobiol Grad Program, Natal, RN, Brazil; [Ross-Marsh, Erin C.; Elwen, Simon; Gridley, Tess] Stellenbosch Univ, Dept Bot &amp; Zool, Sea Search Reserch &amp; Conserv, Stellenbosch, South Africa; [Ona, Javier; Denkinger, Judith] Univ San Francisco Quito, Colegio Ciencias Biol &amp; Ambientales &amp; Galapagos S, Quito, Ecuador; [Ona, Javier; Denkinger, Judith] CETACEA, Acoust Ecol Program, Proyecto, Ecuador; [Baumgarten, Julio Ernesto; Carvalho Goncalves, Maria Isabel] Univ Estadual Santa Cruz, Appl Ecol &amp; Conservat Lab, Ilheus, BA, Brazil; [Baumgarten, Julio Ernesto] Univ Estadual Santa Cruz, Dept Biol Sci, Ilheus, BA, Brazil; [Padovese, Linilson Rodrigues] Univ Sao Paulo, Lab Acoust &amp; Environm, Sao Paulo, Brazil; [Rossi-Santos, Marcos R.] Univ Fed Reconcavo Bahia, Acoust Ecol &amp; Anim Behav Lab, Cruz Das Almas, Brazil; [Rossi-Santos, Marcos R.] Curtin Univ, Ctr Marine Sci &amp; Technol, Bentley, WA, Australia; [Carvalho Goncalves, Maria Isabel] Univ Estadual Santa Cruz, Grad Program Ecol &amp; Biodivers Conservat, Ilheus, BA, Brazil; [Carvalho Goncalves, Maria Isabel] Parque Cientif &amp; Tecnol Sul Bahia, Ilheus, BA, Brazil; [Hucke-Gaete, Rodrigo] Univ Austral Chile, NGO Ctr Ballena Azul, Valdivia, Chile; [Hucke-Gaete, Rodrigo] Univ Austral Chile, Inst Ciencias Marinas &amp; Limnol, Valdivia, Chile; [Buchan, Susannah] Univ Concepcion, Ctr Oceanog Res COPAS Sur Austral &amp; COPAS Coastal, Concepcion, Chile; [Buchan, Susannah] Univ Concepcion, Fac Ciencias Nat &amp; Oceanograf, Dept Oceanog, Concepcion, Chile; [Buchan, Susannah] Ctr Estudios Avanzados Zonas Aridas CEAZA, La Serena, Chile; [Van Opzeeland, Ilse] Carl Von Ossietzky Univ Oldenburg, Helmholtz Inst Funct Marine Biodivers, Oldenburg, Germany</t>
  </si>
  <si>
    <t>Helmholtz Association; Alfred Wegener Institute, Helmholtz Centre for Polar &amp; Marine Research; Universidade Federal do Rio Grande do Norte; Universidade Federal do Rio Grande do Norte; Stellenbosch University; Universidad San Francisco de Quito; Universidade Estadual de Santa Cruz; Universidade Estadual de Santa Cruz; Universidade de Sao Paulo; Universidade Federal do Reconcavo da Bahia; Curtin University; Universidade Estadual de Santa Cruz; Universidad Austral de Chile; Universidad Austral de Chile; Universidad de Concepcion; Universidad de Concepcion; Carl von Ossietzky Universitat Oldenburg</t>
  </si>
  <si>
    <t>Schall, E (corresponding author), Helmholtz Ctr Polar &amp; Marine Res, Alfred Wegener Inst, Ocean Acoust Grp, Klussmannstr 3d, D-27570 Bremerhaven, Germany.</t>
  </si>
  <si>
    <t>elena.schall@awi.de</t>
  </si>
  <si>
    <t>Buchan, Susannah J/E-7368-2015; Gonçalves, Maria Isabel Carvalho/JXL-1318-2024; Padovese, Linilson R/J-9642-2012; Rossi-Santos, Marcos R/J-9545-2015; baumgarten, julio e/A-5630-2012</t>
  </si>
  <si>
    <t>Gonçalves, Maria Isabel Carvalho/0000-0002-8270-7928; Rossi-Santos, Marcos R/0000-0002-7171-3011; Ross-Marsh, Erin/0000-0001-9224-7059; Elwen, Simon/0000-0002-7467-6121; Buchan, Susannah/0000-0003-2180-1432; Djokic, Divna/0000-0002-6454-255X; Gridley, Tess/0000-0003-0925-5782</t>
  </si>
  <si>
    <t>Projekt DEAL; Coordenacao de Aperfeicoamento de Pessoal de Nivel Superior-Brasil (CAPES) [001]; Cetacean Society International; Rufford Foundation; Instituto Baleia Jubarte; Arim Components; Brazilian Council for Scientific and Technological Development (CNPq-Brazil) [312763/2019-0]; CAPES Ph.D. scholarship [88882.344054/2019-01]; CAPES; State University of Santa Cruz; SA National Research Foundation; Claude Leon Post-Doctoral Fellowship; Universidad San Francisco de Quito (USFQ); CETACEA Ecuador Project; COPAS Sur-Austral [ANID AFB170006]; COPAS Coastal [ANID FB210021]</t>
  </si>
  <si>
    <t>Projekt DEAL; Coordenacao de Aperfeicoamento de Pessoal de Nivel Superior-Brasil (CAPES)(Coordenacao de Aperfeicoamento de Pessoal de Nivel Superior (CAPES)); Cetacean Society International; Rufford Foundation; Instituto Baleia Jubarte; Arim Components; Brazilian Council for Scientific and Technological Development (CNPq-Brazil)(Conselho Nacional de Desenvolvimento Cientifico e Tecnologico (CNPQ)); CAPES Ph.D. scholarship(Coordenacao de Aperfeicoamento de Pessoal de Nivel Superior (CAPES)); CAPES(Coordenacao de Aperfeicoamento de Pessoal de Nivel Superior (CAPES)); State University of Santa Cruz; SA National Research Foundation; Claude Leon Post-Doctoral Fellowship; Universidad San Francisco de Quito (USFQ); CETACEA Ecuador Project; COPAS Sur-Austral(Comision Nacional de Investigacion Cientifica y Tecnologica (CONICYT)CONICYT PIA/BASAL); COPAS Coastal</t>
  </si>
  <si>
    <t>Open Access funding enabled and organized by Projekt DEAL. Brazilian data collection was financed in part by the Coordenacao de Aperfeicoamento de Pessoal de Nivel Superior-Brasil (CAPES)-Finance Code 001, the Cetacean Society International, the Rufford Foundation, the Instituto Baleia Jubarte, Arim Components and an anonymous donor. RSL thanks the Brazilian Council for Scientific and Technological Development (CNPq-Brazil) for her research fellowship (process number 312763/2019-0). DD received a CAPES Ph.D. scholarship (file no. 88882.344054/2019-01). MICG received a scholarship from CAPES and other from State University of Santa Cruz. South Africa data collection was largely funded by the SA National Research Foundation for equipment and salary for SE and ERM, TG was funded by a Claude Leon Post-Doctoral Fellowship. The data collection in Ecuador was financed by the Rufford Foundation and the COCIBA Grants from Universidad San Francisco de Quito (USFQ) and through the contributions of volunteers and scientists from the CETACEA Ecuador Project. The data collection was carried out with research permits (008-2012-IC-FLO-FAU-DPE-MA; MAE-DPAE-2013-0677; MAE-DPAE-2014-0723; MAE-DPAE-2016-0850; MAE-DPAE-017-2017; MAE-DPAE2019-0687-O) by the Environmental, Water and Ecological Transition Ministry, Ecuador (MAATE). SJB thanks the support of COPAS Sur-Austral (ANID AFB170006) and COPAS Coastal (ANID FB210021).</t>
  </si>
  <si>
    <t>10.1038/s41598-022-17999-y</t>
  </si>
  <si>
    <t>3W1XA</t>
  </si>
  <si>
    <t>WOS:000842145300001</t>
  </si>
  <si>
    <t>Xu, Y; Guo, J; Guan, FC; Yang, Q; Yin, JH; Ji, XB</t>
  </si>
  <si>
    <t>Xu, Yi; Guo, Jing; Guan, Fucheng; Yang, Qiang; Yin, Juhui; Ji, Xinbin</t>
  </si>
  <si>
    <t>An acid-catalyzed polyol in situ crosslinked alginate ester/Antarctic krill protein composite fiber with improved strength and water resistance</t>
  </si>
  <si>
    <t>NEW JOURNAL OF CHEMISTRY</t>
  </si>
  <si>
    <t>TISSUE ENGINEERING APPLICATIONS; SILK FIBROIN; BIOMATERIAL</t>
  </si>
  <si>
    <t>Alginate-based fibers with good biocompatibility and non-immunogenicity have wide applications in biomedical materials. However, low strength and poor water resistance still limit their application in tissue engineering materials. In this study, a novel alginate ester/Antarctic krill protein (AE/AKP) composite fiber with a covalent crosslinking and hydrogen bonding structure was synthesized based on acid-catalyzed phase separation reaction spinning by using sodium alginate as the matrix, AKP as a hydrogen bond acceptor, and polyol as the crosslinking agent. The mechanism of hydrogen bond interaction and its relationship with the fiber structure and properties were investigated by Fourier transform infrared spectroscopy and X-ray diffraction. The tensile strength of the fiber is 4.29 cN/dtex, which is 10.28% higher than that of the AE fiber and 96.79% higher than that of the cross-linked ion fiber, and the crystallinity reaches 30.57%. Moreover, the cytotoxicity test results showed that the fiber was non-toxic. These results indicate that AE/AKP composite fibers have great potential as tissue engineering materials.</t>
  </si>
  <si>
    <t>[Xu, Yi; Guo, Jing; Guan, Fucheng; Yang, Qiang; Yin, Juhui; Ji, Xinbin] Dalian Polytech Univ, Sch Text &amp; Mat Engn, Dalian 116034, Peoples R China; [Guo, Jing; Guan, Fucheng] Dalian Polytech Univ, Liaoning Engn Technol Res Ctr Funct Fiber &amp; Its C, Dalian 116034, Peoples R China</t>
  </si>
  <si>
    <t>Guo, J; Guan, FC (corresponding author), Dalian Polytech Univ, Sch Text &amp; Mat Engn, Dalian 116034, Peoples R China.;Guo, J; Guan, FC (corresponding author), Dalian Polytech Univ, Liaoning Engn Technol Res Ctr Funct Fiber &amp; Its C, Dalian 116034, Peoples R China.</t>
  </si>
  <si>
    <t>guojing@dlpu.edu.cn; gfc6322577@163.com</t>
  </si>
  <si>
    <t>Xu, Yi/GRJ-9024-2022; guan, fucheng/IXN-7582-2023; yang, qiang/GYJ-0971-2022</t>
  </si>
  <si>
    <t>guan, fucheng/0009-0003-0528-6829; Xu, Yi/0000-0003-0751-4111</t>
  </si>
  <si>
    <t>National Natural Science Foundation of China [51773024, 51373027]; Science Foundation of Education Department of Liaoning [J2020046]; Liaoning Province Education Department on Scientific Research Project [J2020047]; National Advanced Functional Fiber Innovation Center [CCFA-LVYU-9-02, 2021-fx0100207]</t>
  </si>
  <si>
    <t>National Natural Science Foundation of China(National Natural Science Foundation of China (NSFC)); Science Foundation of Education Department of Liaoning; Liaoning Province Education Department on Scientific Research Project; National Advanced Functional Fiber Innovation Center</t>
  </si>
  <si>
    <t>This article was funded by the National Natural Science Foundation of China (grant numbers: 51773024 &amp; 51373027); The Science Foundation of Education Department of Liaoning (grant number: J2020046); Liaoning Province Education Department on Scientific Research Project (grant number: J2020047); and The National Advanced Functional Fiber Innovation Center CCFA-LVYU-9-02 (grant number: 2021-fx0100207).</t>
  </si>
  <si>
    <t>1144-0546</t>
  </si>
  <si>
    <t>1369-9261</t>
  </si>
  <si>
    <t>NEW J CHEM</t>
  </si>
  <si>
    <t>New J. Chem.</t>
  </si>
  <si>
    <t>10.1039/d2nj03189b</t>
  </si>
  <si>
    <t>Chemistry, Multidisciplinary</t>
  </si>
  <si>
    <t>Chemistry</t>
  </si>
  <si>
    <t>4P4NG</t>
  </si>
  <si>
    <t>WOS:000843684100001</t>
  </si>
  <si>
    <t>Hulaji, S; Hegde, VS; Li, XH; Su, L; Pratihari, AR; Paltekar, M</t>
  </si>
  <si>
    <t>Hulaji, Shivani; Hegde, V. S.; Li, Xian-Hua; Su, Li; Pratihari, Asim R.; Paltekar, Manjunath</t>
  </si>
  <si>
    <t>Geochemical constraints of bulk rocks and in- situ zircon from the granitoids of the Hungund Schist Belt: An insight for hydrothermal activity</t>
  </si>
  <si>
    <t>JOURNAL OF EARTH SYSTEM SCIENCE</t>
  </si>
  <si>
    <t>Hydrothermal alteration; granites; zircon; trace and REE chemistry; Eastern Dharwar Craton</t>
  </si>
  <si>
    <t>EASTERN DHARWAR CRATON; RARE-EARTH-ELEMENT; A-TYPE GRANITES; FLUID INCLUSION CHARACTERISTICS; ARCHEAN CRUSTAL EVOLUTION; HOSTED GOLD DEPOSIT; ORE-FORMING FLUIDS; U-PB GEOCHRONOLOGY; HF-RICH ZIRCONS; TRACE-ELEMENTS</t>
  </si>
  <si>
    <t>Orogenic, gold hosting greenstone belts in Eastern Dharwar Craton (EDC), India, are surrounded by granitic bodies and affected by hydrothermal activities. In this paper, field, petrographic and geochemical study of granites coupled with LA-ICP-MS analyses of the trace element abundances of zircons from the granites of the Hungund Schist Belt, the northwest continuation of Kolar and Ramgiri schist belts in EDC is discussed to report the effects of hydrothermal alteration. The geochemical characteristics such as Nb/Ta ratio (similar to 5), low Zr/Hf ratio, depleted Sigma REE from the granites close to the shear zone provide clue towards magmatic-hydrothermal interactions in the source rock, while granites away from the shear zone show feeble alteration signature. Zircons from the altered granite contain higher concentration of trace elements, LREE enrichment and high Sigma REE with weak positive Ce anomalies and strong negative Eu anomalies indicating hydrothermal alteration. While the zircons from unaltered granites have low to moderate trace element concentration and REE patterns similar to unaltered magmatic zircons. Contrarily, in the ternary plot, the zircons from unaltered granites show minor affinity towards metasomatised hydrothermal field instead of clustering under purely magmatic field. Hence it is considered that these zircons from unaltered granite underwent some minor alteration effect, while the zircons from altered granite are affected completely due to hydrothermal activity. Therefore, it is concluded that movement of hydrothermal solution has taken place along the shear zone in the study area, which has affected more on granites close to the shear zone and minor effects are seen in granites away from the shear zone. Hydrothermal alterations often result in concentration of specific economic minerals and hence, can be used as an indicator for mineral exploration.</t>
  </si>
  <si>
    <t>[Hulaji, Shivani; Hegde, V. S.; Pratihari, Asim R.; Paltekar, Manjunath] Visvesvaraya Technol Univ, Sri Dharmasthala Manjunatheshwara Coll Engn &amp; Tec, Dharwad, Karnataka, India; [Li, Xian-Hua] Chinese Acad Sci, Inst Geol &amp; Geophys, Beijing 100029, Peoples R China; [Li, Xian-Hua] Univ Chinese Acad Sci, Coll Earth &amp; Planetary Sci, Beijing 100049, Peoples R China; [Su, Li] China Univ Geosci, Geol Lab Ctr, Beijing 100083, Peoples R China</t>
  </si>
  <si>
    <t>Visvesvaraya Technological University; Chinese Academy of Sciences; Institute of Geology &amp; Geophysics, CAS; Chinese Academy of Sciences; University of Chinese Academy of Sciences, CAS; China University of Geosciences</t>
  </si>
  <si>
    <t>Hulaji, S (corresponding author), Visvesvaraya Technol Univ, Sri Dharmasthala Manjunatheshwara Coll Engn &amp; Tec, Dharwad, Karnataka, India.</t>
  </si>
  <si>
    <t>shivanihulaji212@gmail.com</t>
  </si>
  <si>
    <t>Zhao, Hang/KCL-7278-2024; zhao, hang/JVM-8270-2024; Wang, Jinyang/JXN-8650-2024; Ying, Zhang/JWA-0560-2024; zhou, chen/KBC-4023-2024</t>
  </si>
  <si>
    <t>HULAJI, SHIVANI/0000-0002-0853-1178</t>
  </si>
  <si>
    <t>Department of Science and Technology, Govt. of India; Ministry of Mines, Government of India [14/75/2015-Met.VI]; National Natural Science Foundation, China [41890831]; State Key Laboratory, Lithospheric Institute, Chinese Academy of Science, Beijing, China</t>
  </si>
  <si>
    <t>Department of Science and Technology, Govt. of India(Department of Science &amp; Technology (India)); Ministry of Mines, Government of India(Ministry of Mines, Government of India); National Natural Science Foundation, China(National Natural Science Foundation of China (NSFC)); State Key Laboratory, Lithospheric Institute, Chinese Academy of Science, Beijing, China</t>
  </si>
  <si>
    <t>Authors are grateful to the Department of Science and Technology, Govt. of India, for granting INSPIRE Fellowship to Shivani for pursuing her PhD program at SDM College of Engineering and Technology (affiliated to Visvesvaraya Technological University, Belagavi, Karnataka), and the Ministry of Mines, Government of India (Ref: No.14/75/2015-Met.VI) for the facility extended under the Project granted to VSH of SDM College of Engg and Tech., Dharwad. National Centre for Antarctic and Ocean Research, Vasco, Goa extended analytical support for the whole-rock analysis. Trace and REE analysis of zircon was carried out during a visiting fellowship extended to VSH by National Natural Science Foundation, China (Grant no. 41890831) to State Key Laboratory of Lithospheric Evolution, Institute of Geology and Geophysics, Chinese Academy of Sciences, Beijing, China. We acknowledge the financial support and the laboratory facility extended by the State Key Laboratory, Lithospheric Institute, Chinese Academy of Science, Beijing, China. We acknowledge SDM College of Engineering and Technology, Dharwad, for providing the facility extended to carry out the work.</t>
  </si>
  <si>
    <t>INDIAN ACAD SCIENCES</t>
  </si>
  <si>
    <t>BANGALORE</t>
  </si>
  <si>
    <t>C V RAMAN AVENUE, SADASHIVANAGAR, P B #8005, BANGALORE 560 080, INDIA</t>
  </si>
  <si>
    <t>2347-4327</t>
  </si>
  <si>
    <t>0973-774X</t>
  </si>
  <si>
    <t>J EARTH SYST SCI</t>
  </si>
  <si>
    <t>J. Earth Syst. Sci.</t>
  </si>
  <si>
    <t>10.1007/s12040-022-01930-0</t>
  </si>
  <si>
    <t>Geosciences, Multidisciplinary; Multidisciplinary Sciences</t>
  </si>
  <si>
    <t>Geology; Science &amp; Technology - Other Topics</t>
  </si>
  <si>
    <t>3W2VS</t>
  </si>
  <si>
    <t>WOS:000842209500001</t>
  </si>
  <si>
    <t>Hudson, AR; Peters, DPC; Blair, JM; Childers, DL; Doran, PT; Geil, K; Gooseff, M; Gross, KL; Haddad, NM; Pastore, MA; Rudgers, JA; Sala, O; Seabloom, EW; Shaver, G</t>
  </si>
  <si>
    <t>Hudson, Amy R.; Peters, Debra P. C.; Blair, John M.; Childers, Daniel L.; Doran, Peter T.; Geil, Kerrie; Gooseff, Michael; Gross, Katherine L.; Haddad, Nick M.; Pastore, Melissa A.; Rudgers, Jennifer A.; Sala, Osvaldo; Seabloom, Eric W.; Shaver, Gaius</t>
  </si>
  <si>
    <t>Cross-Site Comparisons of Dryland Ecosystem Response to Climate Change in the US Long-Term Ecological Research Network</t>
  </si>
  <si>
    <t>ANPP; disturbance; climate change; drought; LTER; wildfire</t>
  </si>
  <si>
    <t>MCMURDO DRY VALLEYS; GREAT-PLAINS GRASSLANDS; NET PRIMARY PRODUCTION; PRECIPITATION VARIABILITY; ARCTIC TUNDRA; RAINFALL VARIABILITY; COMMUNITY STRUCTURE; FUNCTIONAL TYPES; PRODUCTIVITY; DIVERSITY</t>
  </si>
  <si>
    <t>Long-term observations and experiments in diverse drylands reveal how ecosystems and services are responding to climate change. To develop generalities about climate change impacts at dryland sites, we compared broadscale patterns in climate and synthesized primary production responses among the eight terrestrial, nonforested sites of the United States Long-Term Ecological Research (US LTER) Network located in temperate (Southwest and Midwest) and polar (Arctic and Antarctic) regions. All sites experienced warming in recent decades, whereas drought varied regionally with multidecadal phases. Multiple years of wet or dry conditions had larger effects than single years on primary production. Droughts, floods, and wildfires altered resource availability and restructured plant communities, with greater impacts on primary production than warming alone. During severe regional droughts, air pollution from wildfire and dust events peaked. Studies at US LTER drylands over more than 40 years demonstrate reciprocal links and feedbacks among dryland ecosystems, climate-driven disturbance events, and climate change.</t>
  </si>
  <si>
    <t>[Hudson, Amy R.; Peters, Debra P. C.; Geil, Kerrie] ARS, USDA, Big Data Initiat, Berwyn Hts, MD 20740 USA; [Hudson, Amy R.; Peters, Debra P. C.; Geil, Kerrie] SCINet Program Sci Comp, Berwyn Hts, MD 20740 USA; [Peters, Debra P. C.] ARS, USDA, Jornada Expt Range, Las Cruces, NM USA; [Peters, Debra P. C.; Sala, Osvaldo] New Mexico State Univ, Jornada Basin LTER Program, Las Cruces, NM 88003 USA; [Blair, John M.] Kansas State Univ, Div Biol, Manhattan, KS 66506 USA; [Childers, Daniel L.; Sala, Osvaldo] Arizona State Univ, Sch Sustainabil, Tempe, AZ USA; [Doran, Peter T.] Louisiana State Univ, Dept Geol &amp; Geophys, Baton Rouge, LA 70803 USA; [Gooseff, Michael] Univ Colorado, Inst Arctic &amp; Alpine Res, Boulder, CO 80309 USA; [Gross, Katherine L.; Haddad, Nick M.] Michigan State Univ, Kellogg Biol Stn, Hickory Corners, MI 49060 USA; [Gross, Katherine L.] Michigan State Univ, Dept Plant Biol, Hickory Corners, MI USA; [Haddad, Nick M.] Michigan State Univ, Dept Integrat Biol, Hickory Corners, MI USA; [Pastore, Melissa A.] Univ Vermont, Rubenstein Sch Environm &amp; Nat Resources, Burlington, VT USA; [Rudgers, Jennifer A.] Univ New Mexico, Biol Dept, Albuquerque, NM 87131 USA; [Sala, Osvaldo] Arizona State Univ, Global Drylands Ctr, Tempe, AZ USA; [Sala, Osvaldo] Arizona State Univ, Sch Life Sci, Tempe, AZ USA; [Seabloom, Eric W.] Univ Minnesota, Dept Ecol Evolut &amp; Behav, St Paul, MN 55108 USA; [Shaver, Gaius] Marine Biol Lab, Ecosyst Ctr, Woods Hole, MA 02543 USA</t>
  </si>
  <si>
    <t>United States Department of Agriculture (USDA); United States Department of Agriculture (USDA); New Mexico State University; Kansas State University; Arizona State University; Arizona State University-Tempe; Louisiana State University System; Louisiana State University; University of Colorado System; University of Colorado Boulder; Michigan State University; Michigan State University; Michigan State University; University of Vermont; University of New Mexico; Arizona State University; Arizona State University-Tempe; Arizona State University; Arizona State University-Tempe; University of Minnesota System; University of Minnesota Twin Cities; Marine Biological Laboratory - Woods Hole</t>
  </si>
  <si>
    <t>Hudson, AR (corresponding author), ARS, USDA, Big Data Initiat, Berwyn Hts, MD 20740 USA.;Hudson, AR (corresponding author), SCINet Program Sci Comp, Berwyn Hts, MD 20740 USA.</t>
  </si>
  <si>
    <t>amy.hudson@usda.gov</t>
  </si>
  <si>
    <t>Pastore, Melissa/AAO-6820-2020; Blair, John Michael/I-4082-2014</t>
  </si>
  <si>
    <t>Pastore, Melissa/0000-0002-7465-1418; Hudson, Amy/0000-0001-5814-7492</t>
  </si>
  <si>
    <t>USDA-ARS SCINet Big Data Project [0500-00093-001-00-D]; National Science Foundation [DEB 20-25166, DEB 2025849, DEB 1832042, DEB-1234162, DEB-1831944]; ARC [DEB-1637459]; MCM [OPP-1637708]; CAP [DEB-1832016]; SEV [DEB-1655499]; Minnesota Supercomputer Institute; University of Minnesota, Michigan State University AgBioResearch</t>
  </si>
  <si>
    <t>USDA-ARS SCINet Big Data Project; National Science Foundation(National Science Foundation (NSF)); ARC(Australian Research Council); MCM; CAP; SEV; Minnesota Supercomputer Institute; University of Minnesota, Michigan State University AgBioResearch</t>
  </si>
  <si>
    <t>Funding was provided by the USDA-ARS SCINet Big Data Project (grant no. 0500-00093-001-00-D), and the National Science Foundation US LTER Program to New Mexico State University for the Jornada Basin (grant no. DEB 20-25166), Kansas State University for the Konza Prairie (grant no. DEB 2025849), the Kellogg Biological Station (grant no. DEB 1832042), Cedar Creek Ecosystem Science Reserve (grants no. DEB-1234162 and no. DEB-1831944), ARC (grant no. DEB-1637459), MCM (grant no. OPP-1637708), CAP (grant no. DEB-1832016), and SEV (grant no. DEB-1655499). Support was also provided by the Minnesota Supercomputer Institute and the University of Minnesota, Michigan State University AgBioResearch.</t>
  </si>
  <si>
    <t>10.1093/biosci/biab134</t>
  </si>
  <si>
    <t>3Z2TO</t>
  </si>
  <si>
    <t>WOS:000840812700001</t>
  </si>
  <si>
    <t>McCormack, FS; Roberts, JL; Dow, CF; Stål, T; Halpin, JA; Reading, AM; Siegert, MJ</t>
  </si>
  <si>
    <t>McCormack, Felicity S.; Roberts, Jason L.; Dow, Christine F.; Stal, Tobias; Halpin, Jacqueline A.; Reading, Anya M.; Siegert, Martin J.</t>
  </si>
  <si>
    <t>Fine-Scale Geothermal Heat Flow in Antarctica Can Increase Simulated Subglacial Melt Estimates</t>
  </si>
  <si>
    <t>geothermal heat flow; ice sheet model; Aurora Subglacial Basin; Antarctica; basal melt</t>
  </si>
  <si>
    <t>ICE-SHEET; TOTTEN GLACIER; TEMPERATURE; BENEATH; OCEAN</t>
  </si>
  <si>
    <t>Antarctic geothermal heat flow (GHF) affects the thermal regime of ice sheets and simulations of ice and subglacial meltwater discharge to the ocean, but remains poorly constrained. We use an ice sheet model to investigate the impact of GHF anomalies on subglacial meltwater production in the Aurora Subglacial Basin, East Antarctica. We find that spatially-variable GHF fields produce more meltwater than a constant GHF with the same background mean, and meltwater production increases as the resolution of GHF anomalies increases. Our results suggest that model simulations of this region systematically underestimate meltwater production using current GHF models. We determine the minimum basal heating required to bring the basal ice temperature to the pressure melting point, which should be taken together with the scale-length of likely local variability in targeting in-situ GHF field campaigns.</t>
  </si>
  <si>
    <t>[McCormack, Felicity S.] Monash Univ, Sch Earth Atmosphere &amp; Environm, Securing Antarct Environm Future, Clayton, Vic, Australia; [Roberts, Jason L.] Australian Antarct Div, Kingston, Tas, Australia; [Dow, Christine F.] Univ Waterloo, Dept Geog &amp; Environm Management, Waterloo, ON, Canada; [Stal, Tobias; Reading, Anya M.] Univ Tasmania, Sch Nat Sci Phys, Hobart, Tas, Australia; [Stal, Tobias; Halpin, Jacqueline A.; Reading, Anya M.] Univ Tasmania, Inst Marine &amp; Antarct Studies, Hobart, Tas, Australia; [Stal, Tobias; Halpin, Jacqueline A.; Reading, Anya M.] Univ Tasmania, Australian Ctr Excellence Antarct Sci, Hobart, Tas, Australia; [Siegert, Martin J.] Imperial Coll London, Grantham Inst, London, England; [Siegert, Martin J.] Imperial Coll London, Dept Earth Sci &amp; Engn, London, England</t>
  </si>
  <si>
    <t>Monash University; Australian Antarctic Division; University of Waterloo; University of Tasmania; University of Tasmania; University of Tasmania; Imperial College London; Imperial College London</t>
  </si>
  <si>
    <t>McCormack, FS (corresponding author), Monash Univ, Sch Earth Atmosphere &amp; Environm, Securing Antarct Environm Future, Clayton, Vic, Australia.</t>
  </si>
  <si>
    <t>felicity.mccormack@monash.edu</t>
  </si>
  <si>
    <t>Siegert, Martin/M-9939-2019; Reading, Anya M/E-6728-2012; Halpin, Jacqueline/A-3776-2014; McCormack, Felicity/B-9218-2015</t>
  </si>
  <si>
    <t>Siegert, Martin/0000-0002-0090-4806; Reading, Anya M/0000-0002-9316-7605; Stal, Tobias/0000-0002-4323-6748; Halpin, Jacqueline/0000-0002-4992-8681; Dow, Christine/0000-0003-1346-2258; McCormack, Felicity/0000-0002-2324-2120; Roberts, Jason/0000-0002-3477-4069</t>
  </si>
  <si>
    <t>Australian Research Council (ARC) Discovery Early Career Research Award [DE210101433]; ARC Special Research Initiative Securing Antarctica's Environmental Future [SR200100005]; Australian Government; ARC Discovery Project [DP190100418, DP180104074]; ARC Special Research Initiative, Australian Centre for Excellence in Antarctic Science (ACEAS) [SR200100008]; ACEAS [SR200100008]; Canada Research Chairs Program [950-231237]; Australian Research Council [DE210101433] Funding Source: Australian Research Council</t>
  </si>
  <si>
    <t>Australian Research Council (ARC) Discovery Early Career Research Award(Australian Research Council); ARC Special Research Initiative Securing Antarctica's Environmental Future; Australian Government(Australian Government); ARC Discovery Project(Australian Research Council); ARC Special Research Initiative, Australian Centre for Excellence in Antarctic Science (ACEAS); ACEAS; Canada Research Chairs Program(Canada Research Chairs); Australian Research Council(Australian Research Council)</t>
  </si>
  <si>
    <t>The authors thank two anonymous reviewers for their constructive feedback. FSM was supported under an Australian Research Council (ARC) Discovery Early Career Research Award (DE210101433) and the ARC Special Research Initiative Securing Antarctica's Environmental Future (SR200100005). This research was undertaken with the assistance of resources from the National Computational Infrastructure, which is supported by the Australian Government. TS and AMR were supported by ARC Discovery Project (DP190100418) and the ARC Special Research Initiative, Australian Centre for Excellence in Antarctic Science (ACEAS, SR200100008). JH was supported by ACEAS (SR200100008) and ARC Discovery Project (DP180104074). CD was supported by the Canada Research Chairs Program (950-231237).</t>
  </si>
  <si>
    <t>AUG 16</t>
  </si>
  <si>
    <t>e2022GL098539</t>
  </si>
  <si>
    <t>10.1029/2022GL098539</t>
  </si>
  <si>
    <t>3U5WB</t>
  </si>
  <si>
    <t>WOS:000841040300001</t>
  </si>
  <si>
    <t>Ducklow, H; Cimino, M; Dunton, KH; Fraser, WR; Hopcroft, RR; Ji, RB; Miller, AJ; Ohman, MD; Sosik, HM</t>
  </si>
  <si>
    <t>Ducklow, Hugh; Cimino, Megan; Dunton, Kenneth H.; Fraser, William R.; Hopcroft, Russell R.; Ji, Rubao; Miller, Arthur J.; Ohman, Mark D.; Sosik, Heidi M.</t>
  </si>
  <si>
    <t>Marine Pelagic Ecosystem Responses to Climate Variability and Change</t>
  </si>
  <si>
    <t>oceanography; coastal ecosystems; climate change; ecology; marine biology</t>
  </si>
  <si>
    <t>NORTHWEST ATLANTIC SHELF; PRINCE-WILLIAM-SOUND; NORTHEAST CONTINENTAL-SHELF; SEA-SURFACE TEMPERATURE; WATER MASS PROPERTIES; INTERANNUAL VARIABILITY; GEORGES-BANK; ZOOPLANKTON ABUNDANCE; COASTAL GULF; ALASKA SHELF</t>
  </si>
  <si>
    <t>The marine coastal region makes up just 10% of the total area of the global ocean but contributes nearly 20% of its total primary production and over 80% of fisheries landings. Unicellular phytoplankton dominate primary production. Climate variability has had impacts on various marine ecosystems, but most sites are just approaching the age at which ecological responses to longer term, unidirectional climate trends might be distinguished. All five marine pelagic sites in the US Long Term Ecological Research (LTER) network are experiencing warming trends in surface air temperature. The marine physical system is responding at all sites with increasing mixed layer temperatures and decreasing depth and with declining sea ice cover at the two polar sites. Their ecological responses are more varied. Some sites show multiple population or ecosystem changes, whereas, at others, changes have not been detected, either because more time is needed or because they are not being measured.</t>
  </si>
  <si>
    <t>[Ducklow, Hugh] Columbia Univ, Biogeosci, New York, NY 10027 USA; [Ducklow, Hugh; Cimino, Megan; Fraser, William R.] Palmer Antarctic LTER, Santa Barbara, CA USA; [Cimino, Megan] Univ Calif Santa Cruz, Santa Cruz, CA 95064 USA; [Dunton, Kenneth H.] Univ Texas Port Aransas, Marine Sci, Port Aransas, TX USA; [Dunton, Kenneth H.] Beaufort Lagoons Ecosyst LTER, Santa Barbara, CA USA; [Fraser, William R.] Polar Oceans Res Grp, Farmington Mills, MI USA; [Hopcroft, Russell R.] Univ Alaska, Coll Fisheries &amp; Ocean Sci, Fairbanks, AK 99701 USA; [Hopcroft, Russell R.] Northern Gulf Alaska LTER, Fairbanks, AK USA; [Ji, Rubao; Sosik, Heidi M.] Northeast US Shelf LTER, Woods Hole, MA USA; [Hopcroft, Russell R.] Woods Hole Oceanog Inst, Woods Hole, MA 02543 USA; [Miller, Arthur J.; Ohman, Mark D.] Scripps Inst Oceanog, La Jolla, CA USA; [Ohman, Mark D.] Calif Current Ecosyst LTER, La Jolla, CA USA</t>
  </si>
  <si>
    <t>Columbia University; University of California System; University of California Santa Cruz; University of Alaska System; University of Alaska Fairbanks; Woods Hole Oceanographic Institution; University of California System; University of California San Diego; Scripps Institution of Oceanography</t>
  </si>
  <si>
    <t>Ducklow, H (corresponding author), Columbia Univ, Biogeosci, New York, NY 10027 USA.</t>
  </si>
  <si>
    <t>hducklow@ldeo.columbia.edu</t>
  </si>
  <si>
    <t>; Ji, Rubao/I-1970-2015</t>
  </si>
  <si>
    <t>Hopcroft, Russell R./0000-0001-5021-6000; Cimino, Megan/0000-0002-1715-2903; Ji, Rubao/0000-0002-8839-5427</t>
  </si>
  <si>
    <t>National Science Foundation Long Term Ecological Research program [OPP 1656026]; California Current Ecosystem [OCE 1637632]; Northeastern US Shelf [OCE 1655686]; Northern Gulf of Alaska [OCE 1656070]; Palmer Antarctica [OPP 1440435]</t>
  </si>
  <si>
    <t>National Science Foundation Long Term Ecological Research program(National Science Foundation (NSF)); California Current Ecosystem; Northeastern US Shelf; Northern Gulf of Alaska; Palmer Antarctica</t>
  </si>
  <si>
    <t>We gratefully acknowledge funding from the National Science Foundation Long Term Ecological Research program that supports research at the Beaufort Lagoons Ecosystem (grant no. OPP 1656026), California Current Ecosystem (grant no. OCE 1637632), Northeastern US Shelf (grant no. OCE 1655686), Northern Gulf of Alaska (grant no. OCE 1656070), and Palmer Antarctica (grant no. OPP 1440435) LTER sites. We thank the coeditors of this special issue, Charley Driscoll and Juliet Jones, for guidance and encouragement and the authors of the other articles for suggestions and ideas. Finally, we thank the many members of our LTER projects for their inspired science past and present that formed the basis and content of this article.</t>
  </si>
  <si>
    <t>10.1093/biosci/biac050</t>
  </si>
  <si>
    <t>WOS:000840811800001</t>
  </si>
  <si>
    <t>Dice, MJ; Cassano, JJ</t>
  </si>
  <si>
    <t>Dice, Mckenzie J.; Cassano, John J.</t>
  </si>
  <si>
    <t>Assessing Physical Relationships Between Atmospheric State, Fluxes, and Boundary Layer Stability at McMurdo Station, Antarctica</t>
  </si>
  <si>
    <t>boundary layer; Antarctica; static stability; self-organizing maps; McMurdo Station</t>
  </si>
  <si>
    <t>ROSS ICE SHELF; TEMPERATURE INVERSION; LEVEL; CLIMATOLOGY; HUMIDITY; JETS</t>
  </si>
  <si>
    <t>Observations at McMurdo Station, Antarctica from 24 November 2015 through 3 January 2017 were used to characterize the physical relationships between boundary layer stability and atmospheric state and fluxes. The basis of this analysis was self-organizing maps (SOMs), a neural network algorithm, used to identify the range of potential temperature profiles present in the twice-daily radiosonde data during the ARM (Atmospheric Radiation Measurement) West Antarctic Radiation Experiment (AWARE) campaign. The SOM identified profiles ranging from strongly stable to weakly stable regimes over the lowest 500 m of the atmosphere. It was found that in the winter (MJJA), moderate and strongly stable regimes occur most frequently (61%), while weakly stable regimes dominate in the summer (DJ, 83.4%). The mechanisms responsible for the dominance of different stability regimes in each season were analyzed to determine why these regimes occur with varying frequency throughout the year. This analysis found that wind speed variations and radiative cooling are responsible for the stability observed in the winter, radiative warming, as well as weaker wind speeds, are responsible for summer weak stability, and stability variations in the transition seasons (FMA, SON) are characterized by a change in sign of net radiation with increasing stability, as wind speed changes little across stability regimes. Low-level jets were observed to occur about 50% of the time below areas of enhanced stability aloft and were observed most frequently in the transition seasons. The boundary layer depth, as determined by the Bulk Richardson number, was found to decrease with increasing stability.</t>
  </si>
  <si>
    <t>[Dice, Mckenzie J.; Cassano, John J.] Univ Colorado, Dept Atmospher &amp; Ocean Sci, Boulder, CO 80309 USA; [Dice, Mckenzie J.; Cassano, John J.] Univ Colorado, Cooperat Inst Res Environm Sci, Boulder, CO 80309 USA; [Dice, Mckenzie J.; Cassano, John J.] Univ Colorado, Natl Snow &amp; Ice Data Ctr, Boulder, CO 80309 USA</t>
  </si>
  <si>
    <t>University of Colorado System; University of Colorado Boulder; University of Colorado System; University of Colorado Boulder; University of Colorado System; University of Colorado Boulder</t>
  </si>
  <si>
    <t>Dice, MJ (corresponding author), Univ Colorado, Dept Atmospher &amp; Ocean Sci, Boulder, CO 80309 USA.;Dice, MJ (corresponding author), Univ Colorado, Cooperat Inst Res Environm Sci, Boulder, CO 80309 USA.;Dice, MJ (corresponding author), Univ Colorado, Natl Snow &amp; Ice Data Ctr, Boulder, CO 80309 USA.</t>
  </si>
  <si>
    <t>mckenzie.dice@colorado.edu</t>
  </si>
  <si>
    <t>Cassano, John/HKW-8817-2023</t>
  </si>
  <si>
    <t>CASSANO, JOHN/0000-0003-3176-3978; Dice, Mckenzie/0000-0001-7048-3229</t>
  </si>
  <si>
    <t>United States National Science Foundation (NSF) [OPP 1745097]</t>
  </si>
  <si>
    <t>United States National Science Foundation (NSF)(National Science Foundation (NSF))</t>
  </si>
  <si>
    <t>This work was funded by the United States National Science Foundation (NSF) grant OPP 1745097. The author thanks the United States Antarctic Program and the Department of Energy for support and logistics for the data used in this paper. The authors thank two anonymous reviewers for their insightful comments and suggestions which have improved this manuscript. The author also thanks Dr. Matthew Lazzara, Dr. Jan Lenaerts, Dr. Julie Lundquist, and Dr. Mark Serreze for their valued feedback and support.</t>
  </si>
  <si>
    <t>e2021JD036075</t>
  </si>
  <si>
    <t>10.1029/2021JD036075</t>
  </si>
  <si>
    <t>3Q3EG</t>
  </si>
  <si>
    <t>Green Submitted, Green Published</t>
  </si>
  <si>
    <t>WOS:000838115400001</t>
  </si>
  <si>
    <t>Harvey, VL; Pedatella, N; Becker, E; Randall, C</t>
  </si>
  <si>
    <t>Harvey, V. Lynn; Pedatella, Nick; Becker, Erich; Randall, Cora</t>
  </si>
  <si>
    <t>Evaluation of Polar Winter Mesopause Wind in WACCMX plus DART</t>
  </si>
  <si>
    <t>WACCM; model evaluation; gravity wave parameterization; higher order gravity waves; gravity wave filtering; stratosphere and mesosphere dynamics</t>
  </si>
  <si>
    <t>MESOSPHERE-LOWER THERMOSPHERE; SUDDEN WARMING EVENT; GRAVITY-WAVES; GENERAL-CIRCULATION; PLANETARY-WAVES; RADAR OBSERVATIONS; MIDDLE; STRATOSPHERE; TRANSPORT; DYNAMICS</t>
  </si>
  <si>
    <t>This work evaluates zonal winds in both hemispheres near the polar winter mesopause in the Whole Atmosphere Community Climate Model (WACCM) with thermosphere-ionosphere eXtension combined with data assimilation using the Data Assimilation Research Testbed (DART) (WACCMX+DART). We compare 14 years (2006-2019) of WACCMX+DART zonal mean zonal winds near 90 km to zonal mean zonal winds derived from Sounding of the Atmosphere using Broadband Emission Radiometry (SABER) geopotential height measurements during Arctic mid-winter. 10 years (2008-2017) of WACCMX+DART zonal mean zonal winds are compared to SABER in the Antarctic mid-winter. It is well known that WACCM, and WACCM-X, zonal winds at the polar winter mesopause exhibit a strong easterly (westward) bias. One explanation for this is that the models omit higher order gravity waves (GWs), and thus the eastward drag caused by these GWs. We show for the first time that the model winds near the polar winter mesopause are in closer agreement with SABER observations when the winds near the stratopause are weak or reversed. The model and observed mesosphere and lower thermosphere winds agree most during dynamically disturbed times often associated with minor or major sudden stratospheric warming events. Results show that the deceleration of the stratospheric and mesospheric polar night jet allows enough eastward GWs to propagate into the mesosphere, driving eastward zonal winds that are in agreement with the observations. Thus, in both hemispheres, the winter polar night jet speed and direction near the stratopause may be a useful proxy for model fidelity in the polar winter upper mesosphere.</t>
  </si>
  <si>
    <t>[Harvey, V. Lynn; Randall, Cora] Univ Colorado, Lab Atmospher &amp; Space Phys, Boulder, CO 80309 USA; [Harvey, V. Lynn; Randall, Cora] Univ Colorado, Atmospher &amp; Ocean Sci Dept, Boulder, CO 80309 USA; [Pedatella, Nick] Natl Ctr Atmospher Res, High Altitude Observ, Boulder, CO USA; [Becker, Erich] NorthWest Res Associates, Boulder, CO USA</t>
  </si>
  <si>
    <t>University of Colorado System; University of Colorado Boulder; University of Colorado System; University of Colorado Boulder; National Center Atmospheric Research (NCAR) - USA; NorthWest Research Associates</t>
  </si>
  <si>
    <t>Harvey, VL (corresponding author), Univ Colorado, Lab Atmospher &amp; Space Phys, Boulder, CO 80309 USA.;Harvey, VL (corresponding author), Univ Colorado, Atmospher &amp; Ocean Sci Dept, Boulder, CO 80309 USA.</t>
  </si>
  <si>
    <t>lynn.Harvey@lasp.colorado.edu</t>
  </si>
  <si>
    <t>; RANDALL, CORA/L-8760-2014; Pedatella, Nicholas/Q-2242-2015; HARVEY, V LYNN/M-3995-2017</t>
  </si>
  <si>
    <t>Becker, Erich/0000-0001-7883-3254; RANDALL, CORA/0000-0002-4313-4397; Pedatella, Nicholas/0000-0002-8878-5126; HARVEY, V LYNN/0000-0002-7928-0804</t>
  </si>
  <si>
    <t>National Aeronautics and Space Administration [80NSSC18K1046, 80NSSC190262, 80NSSC19K0834, 80NSSC20K0628, 80NSSC21K0002, 80NSSC22K0017]; National Science Foundation [AGS 1651428]; National Center for Atmospheric Research - U.S. National Science Foundation [1852977]</t>
  </si>
  <si>
    <t>National Aeronautics and Space Administration(National Aeronautics &amp; Space Administration (NASA)); National Science Foundation(National Science Foundation (NSF)); National Center for Atmospheric Research - U.S. National Science Foundation(National Science Foundation (NSF))</t>
  </si>
  <si>
    <t>This research has been supported by the National Aeronautics and Space Administration (Grant Nos. 80NSSC18K1046, 80NSSC190262, 80NSSC19K0834, 80NSSC20K0628, 80NSSC21K0002, and 80NSSC22K0017) and the National Science Foundation (grant AGS 1651428). This material is based upon work supported by the National Center for Atmospheric Research, which is a major facility sponsored by the U.S. National Science Foundation under Cooperative Agreement 1852977. High-end computing resources were provided by NASA to run WACCMX+DART on the Pleiades supercomputer at the NASA Ames research center.</t>
  </si>
  <si>
    <t>e2022JD037063</t>
  </si>
  <si>
    <t>10.1029/2022JD037063</t>
  </si>
  <si>
    <t>3Q6TT</t>
  </si>
  <si>
    <t>WOS:000838361800001</t>
  </si>
  <si>
    <t>Vincent, RA; Kovalam, S; Reid, IM; Murphy, DJ; Klekociuk, A</t>
  </si>
  <si>
    <t>Vincent, R. A.; Kovalam, S.; Reid, I. M.; Murphy, D. J.; Klekociuk, A.</t>
  </si>
  <si>
    <t>Southern Hemisphere Stratospheric Warmings and Coupling to the Mesosphere-Lower Thermosphere</t>
  </si>
  <si>
    <t>stratospheric warmings; mesospheric coupling; planetary waves</t>
  </si>
  <si>
    <t>INTERANNUAL VARIABILITY; PLANETARY-WAVES; MIDDLE ATMOSPHERE; MOMENTUM FLUX; POLAR VORTEX; WINTER; CLIMATOLOGY; PROPAGATION; CIRCULATION</t>
  </si>
  <si>
    <t>Twenty six years of medium frequency (MF) radar wind measurements made from 1994 to 2019 at Davis Station (68.6 degrees S, 77.9 degrees E) are used to study the mean response of the mesosphere-lower thermosphere to stratospheric warmings in the Southern Hemisphere. Warming events were detected using Modern-Era Retrospective Analysis for Research and Applications (MERRA2) data with a systematic search for reductions in the zonal-mean circulation at 60 degrees S and corresponding increases in polar temperatures. Some 37 events were identified, including the 2002 major warming and the large event of 2019, with an average of 1-2 warmings per year. At the 10 hPa level, the polar cap temperature increases ranged from 3 to 28 K, with a mean value of 12 K, while the zonal wind speed reductions varied between -6 and -43 ms(-1), with a mean value of -15 ms(-1). Peak values occurred near 40 km. Warmings occurred mainly between August and October, with a small peak in occurrence in April/May. The MF radar data showed an average reduction in the mesospheric eastward winds of about 5-7 ms(-1) at heights near 75 km that occurred 3-4 days prior to the changes in the stratosphere. Warming events were driven by episodic intensifications in planetary wave amplitudes, with quasi-stationary planetary scale waves (PW) 1 being especially important. PW Eliassen-Palm flux divergences show a systematic behavior with time and height that is consistent with a poleward residual circulation and downwelling over the pole prior to the warming events and an equatorward flow and upwelling after the peak of the events.</t>
  </si>
  <si>
    <t>[Vincent, R. A.; Kovalam, S.; Reid, I. M.; Klekociuk, A.] Univ Adelaide, Phys, Adelaide, SA, Australia; [Reid, I. M.] ATRAD, Adelaide, SA, Australia; [Murphy, D. J.; Klekociuk, A.] Australian Antarctic Div, Kingston, Tas, Australia</t>
  </si>
  <si>
    <t>University of Adelaide; ATRAD Pty Ltd.; Australian Antarctic Division</t>
  </si>
  <si>
    <t>Vincent, RA (corresponding author), Univ Adelaide, Phys, Adelaide, SA, Australia.</t>
  </si>
  <si>
    <t>robert.vincent@adelaide.edu.au</t>
  </si>
  <si>
    <t>Reid, Iain/B-5681-2012; Vincent, Robert/E-5450-2013; Kovalam, Sujata/Q-1447-2016</t>
  </si>
  <si>
    <t>Reid, Iain/0000-0003-2340-9047; Murphy, Damian/0000-0003-1738-5560; Vincent, Robert/0000-0001-6559-6544; Kovalam, Sujata/0000-0001-6528-0072</t>
  </si>
  <si>
    <t>ATRAD Pty Ltd.; Australian Antarctic Science Advisory Committee [674, 2668, 4025, 4445]</t>
  </si>
  <si>
    <t>ATRAD Pty Ltd.; Australian Antarctic Science Advisory Committee</t>
  </si>
  <si>
    <t>The participation of Iain Reid was supported by ATRAD Pty Ltd. The Davis MF and meteor radars were supported by Australian Antarctic Science Advisory Committee grants scheme projects 674, 2668, 4025, and 4445. Open access publishing facilitated by The University of Adelaide, as part of the Wiley - The University of Adelaide agreement via the Council of Australian University Librarians.</t>
  </si>
  <si>
    <t>e2022JD036558</t>
  </si>
  <si>
    <t>10.1029/2022JD036558</t>
  </si>
  <si>
    <t>3Q3EQ</t>
  </si>
  <si>
    <t>WOS:000838116400001</t>
  </si>
  <si>
    <t>Su, JY; Schallenberg, C; Rohr, T; Strutton, PG; Phillips, HE</t>
  </si>
  <si>
    <t>Su, Jiaoyang; Schallenberg, Christina; Rohr, Tyler; Strutton, Peter G.; Phillips, Helen E.</t>
  </si>
  <si>
    <t>New Estimates of Southern Ocean Annual Net Community Production Revealed by BGC-Argo Floats</t>
  </si>
  <si>
    <t>annual net community production; carbon export; oxygen drawdown; remineralization; BGC-Argo floats; the Southern Ocean</t>
  </si>
  <si>
    <t>EXPORT PRODUCTION; CARBON FLUX; OXYGEN; SATELLITE; SINKING; NITRATE; CYCLE; MODE; GYRE</t>
  </si>
  <si>
    <t>Using an expanding Southern Ocean fleet of biogeochemical Argo (BGC-Argo) floats, we developed a novel approach to estimate annual net community production (ANCP) by integrating subsurface oxygen drawdown from all available BGC-Argo oxygen profiles. Our results suggest that, on average, 14% of remineralization occurs between 500 and 1,000 m and 15% occurs between the euphotic depth and 100 m. Using the improved methodology, we estimated total basin-integrated ANCP in the Southern Ocean to be 3.89 GT C year(-1) suggesting a more important role for the Southern Ocean in regulating oceanic carbon storage, atmospheric CO2 exchange and climate than previously assumed.</t>
  </si>
  <si>
    <t>[Su, Jiaoyang; Schallenberg, Christina; Strutton, Peter G.; Phillips, Helen E.] Univ Tasmania, Inst Marine &amp; Antarctic Studies, Hobart, Tas, Australia; [Su, Jiaoyang; Strutton, Peter G.] Univ Tasmania, Australian Res Council, Ctr Excellence Climate Extremes, Hobart, Tas, Australia; [Schallenberg, Christina; Rohr, Tyler; Phillips, Helen E.] Australian Antarctic Program Partnership, Hobart, Tas, Australia; [Phillips, Helen E.] Univ Tasmania, Australian Ctr Excellence Antarctic Sci, Inst Marine &amp; Antarctic Studies, Hobart, Tas, Australia</t>
  </si>
  <si>
    <t>Su, JY (corresponding author), Univ Tasmania, Inst Marine &amp; Antarctic Studies, Hobart, Tas, Australia.;Su, JY (corresponding author), Univ Tasmania, Australian Res Council, Ctr Excellence Climate Extremes, Hobart, Tas, Australia.</t>
  </si>
  <si>
    <t>jiaoyang.su@utas.edu.au</t>
  </si>
  <si>
    <t>Phillips, Helen/I-3761-2013; Schallenberg, Christina/N-4187-2017; Strutton, Peter/C-4466-2011</t>
  </si>
  <si>
    <t>Phillips, Helen/0000-0002-2941-7577; Schallenberg, Christina/0000-0002-3073-7500; Rohr, Tyler/0000-0001-6599-8068; Strutton, Peter/0000-0002-2395-9471</t>
  </si>
  <si>
    <t>National Science Foundation, Division of Polar Programs [NSF PLR -1425989, OPP-1936222]; Australia's Integrated Marine Observing System; Australian Research Council Centre of Excellence for Climate Extremes [CE170100023]; Australian Government's National Environmental Science Program Climate Systems Hub</t>
  </si>
  <si>
    <t>National Science Foundation, Division of Polar Programs(National Science Foundation (NSF)); Australia's Integrated Marine Observing System; Australian Research Council Centre of Excellence for Climate Extremes(Australian Research Council); Australian Government's National Environmental Science Program Climate Systems Hub(Australian Government)</t>
  </si>
  <si>
    <t>The Argo Program is part of the Global Ocean Observing System. We specifically acknowledge the Southern Ocean Carbon and Climate Observations and Modeling Project funded by the National Science Foundation, Division of Polar Programs (NSF PLR -1425989 and OPP-1936222), supplemented by NASA. Australian participation is supported by Australia's Integrated Marine Observing System, enabled by the National Collaborative Research Infrastructure Strategy. This research was supported by the Australian Research Council Centre of Excellence for Climate Extremes (CE170100023). HP acknowledges the Australian Government's National Environmental Science Program Climate Systems Hub. Open access publishing facilitated by University of Tasmania, as part of the Wiley University of Tasmania agreement via the Council of Australian University Librarians.</t>
  </si>
  <si>
    <t>e2021GL097372</t>
  </si>
  <si>
    <t>10.1029/2021GL097372</t>
  </si>
  <si>
    <t>3Q3WQ</t>
  </si>
  <si>
    <t>WOS:000838165700001</t>
  </si>
  <si>
    <t>Yousefi, M; Wan, J; Pan, L; Gomez, N; Latychev, K; Mitrovica, JX; Pollard, D; DeConto, RM</t>
  </si>
  <si>
    <t>Yousefi, M.; Wan, J.; Pan, L.; Gomez, N.; Latychev, K.; Mitrovica, J. X.; Pollard, D.; DeConto, R. M.</t>
  </si>
  <si>
    <t>The Influence of the Solid Earth on the Contribution of Marine Sections of the Antarctic Ice Sheet to Future Sea-Level Change</t>
  </si>
  <si>
    <t>Antarctic Ice Sheet; glacial isostatic adjustment; sea-level; mantle rheology; future projections</t>
  </si>
  <si>
    <t>RAPID BEDROCK UPLIFT; PENINSULA; COLLAPSE; SURFACE; BENEATH; MODEL; RISE</t>
  </si>
  <si>
    <t>Seismic tomography models indicate highly variable Earth structure beneath Antarctica with anomalously low shallow mantle viscosities below West Antarctica. An improved projection of the contribution of the Antarctic Ice Sheet to sea-level change requires consideration of this complexity to precisely account for water expelled into the ocean from uplifting marine sectors. Here we build a high-resolution 3-D viscoelastic structure model based on recent inferences of seismic velocity heterogeneity below the continent. The model serves as input to a global-scale sea-level model that we use to investigate the influence of solid Earth deformation in Antarctica on future global mean sea-level (GMSL) rise. Our calculations are based on a suite of ice mass projections generated with a range of climate forcings and suggest that water expulsion from the rebounding marine basins contributes 4%-16% and 7%-14% to the projected GMSL change at 2100 and 2500, respectively.</t>
  </si>
  <si>
    <t>[Yousefi, M.; Wan, J.; Gomez, N.] McGill Univ, Dept Earth &amp; Planetary Sci, Montreal, PQ, Canada; [Yousefi, M.; Pollard, D.] Penn State Univ, Earth &amp; Environm Syst Inst, University Pk, PA 16802 USA; [Pan, L.; Latychev, K.; Mitrovica, J. X.] Harvard Univ, Dept Earth &amp; Planetary Sci, 20 Oxford St, Cambridge, MA 02138 USA; [DeConto, R. M.] Univ Massachusetts, Dept Geosci, Amherst, MA 01003 USA</t>
  </si>
  <si>
    <t>McGill University; Pennsylvania Commonwealth System of Higher Education (PCSHE); Pennsylvania State University; Pennsylvania State University - University Park; Harvard University; University of Massachusetts System; University of Massachusetts Amherst</t>
  </si>
  <si>
    <t>Yousefi, M (corresponding author), McGill Univ, Dept Earth &amp; Planetary Sci, Montreal, PQ, Canada.;Yousefi, M (corresponding author), Penn State Univ, Earth &amp; Environm Syst Inst, University Pk, PA 16802 USA.</t>
  </si>
  <si>
    <t>maryam.yousefi@mcgill.ca</t>
  </si>
  <si>
    <t>Yousefi, Maryam/0000-0002-7081-1007</t>
  </si>
  <si>
    <t>Natural Sciences and Engineering Research Council of Canada [RGPIN-2016-05159]; Canada Research Chairs program [241814]; National Science Foundation (NSF) [174490, 1745074, 1744852, 1744889]; Canadian Foundation for Innovation; Fonds de Recherche du Quebec-Nature et technologies; Star-Friedman Challenge of Harvard University; Compute Canada</t>
  </si>
  <si>
    <t>Natural Sciences and Engineering Research Council of Canada(Natural Sciences and Engineering Research Council of Canada (NSERC)CGIAR); Canada Research Chairs program(Canada Research Chairs); National Science Foundation (NSF)(National Science Foundation (NSF)); Canadian Foundation for Innovation(Canada Foundation for Innovation); Fonds de Recherche du Quebec-Nature et technologies(Fonds de recherche du Quebec (FRQ)Fonds de recherche du Quebec - Nature et technologies (FRQNT)); Star-Friedman Challenge of Harvard University; Compute Canada</t>
  </si>
  <si>
    <t>We thank the anonymous reviewers for their constructive reviews. Maryam Yousefi, Jannette Wann and Natalya Gomez were supported by the Natural Sciences and Engineering Research Council of Canada (Grant No. RGPIN-2016-05159) and the Canada Research Chairs program (Grant No. 241814). This work was also supported by the National Science Foundation (NSF), grants 174490, 1745074, 1744852, and 1744889. Computational resources were provided by Compute Canada and the Canadian Foundation for Innovation. Linda Pan was supported by the Fonds de Recherche du Quebec-Nature et technologies, Natural Sciences and Engineering Research Council of Canada, and Star-Friedman Challenge of Harvard University.</t>
  </si>
  <si>
    <t>e2021GL097525</t>
  </si>
  <si>
    <t>10.1029/2021GL097525</t>
  </si>
  <si>
    <t>3Q3CZ</t>
  </si>
  <si>
    <t>WOS:000838112000001</t>
  </si>
  <si>
    <t>Unwin, N</t>
  </si>
  <si>
    <t>Unwin, Nigel</t>
  </si>
  <si>
    <t>Structure of a cholinergic cell membrane</t>
  </si>
  <si>
    <t>cholesterol; phospholipid; lipid bilayer; acetylcholine receptor; cryo-EM</t>
  </si>
  <si>
    <t>NICOTINIC ACETYLCHOLINE-RECEPTOR; ELECTRIC ORGAN; LIPID RAFTS; CHOLESTEROL; RESOLUTION; CRYSTALS; LECITHIN; PROTEIN; FROZEN; MODEL</t>
  </si>
  <si>
    <t>Cell membranes are complex assemblies of proteins and lipids making transient or long-term associations that have yet to be characterized at a molecular level. Here, cryoelectron microscopy is applied to determine how phospholipids and cholesterol arrange between neighboring proteins (nicotinic acetylcholine receptors) of Torpedo cholinergic membrane. The lipids exhibit distinct properties in the two leaflets of the bilayer, influenced by the protein surfaces and by differences in cholesterol concentration. In the outer leaflet, the lipids show no consistent motif away from the protein surfaces, in keeping with their assumed fluidity. In the inner leaflet, where the cholesterol concentration is higher, the lipids organize into extensive close-packed linear arrays. These arrays are built from the sterol groups of cholesterol and the initial saturated portions of the phospholipid hydrocarbon chains. Together, they create an ordered similar to 7 A-thick skin within the hydrophobic core of the bilayer. The packing of lipids in the arrays appears to bear a close relationship to the linear cholesterol arrays that form crystalline monolayers at the air-water interface.</t>
  </si>
  <si>
    <t>[Unwin, Nigel] MRC, Lab Mol Biol, Cambridge CB2 0QH, England</t>
  </si>
  <si>
    <t>MRC Laboratory Molecular Biology</t>
  </si>
  <si>
    <t>Unwin, N (corresponding author), MRC, Lab Mol Biol, Cambridge CB2 0QH, England.</t>
  </si>
  <si>
    <t>unwin@mrc-lmb.cam.ac.uk</t>
  </si>
  <si>
    <t>Medical Research Council, as part of the United Kingdom Research and Innovation [MC_U105184294]</t>
  </si>
  <si>
    <t>Medical Research Council, as part of the United Kingdom Research and Innovation</t>
  </si>
  <si>
    <t>I thank staff of the Station Biologique de Roscoff for the supply of Torpedo marmorata electric rays; staff of the British Antarctic Survey for providing facilities for handling and dissection of the fish; and Theresa Langford, who set up and coordinated these aspects of the project. I thank Jack Kyte, Harvey McMahon, and Dari Kimanius for discussions. Shaoxia Chen, Giuseppe Cannone, Grigory Sharov, Anna Yeates, and Bilal Ahsan of the MRC Laboratory of Molecular Biology (LMB) electron microscopy facility and Jake Grimmett and Toby Darling of LMB scientific computing gave valuable help and advice. This work was supported by the Medical Research Council, as part of the United Kingdom Research and Innovation (MC_U105184294).</t>
  </si>
  <si>
    <t>AUG 15</t>
  </si>
  <si>
    <t>e2207641119</t>
  </si>
  <si>
    <t>10.1073/pnas.2207641119</t>
  </si>
  <si>
    <t>5E9KV</t>
  </si>
  <si>
    <t>WOS:000865941000017</t>
  </si>
  <si>
    <t>Song, QW; Qin, BB; Tang, Z; Liu, YG; Chen, ZH; Guo, JT; Xiong, ZF; Li, TG</t>
  </si>
  <si>
    <t>Song, Qianwei; Qin, Bingbin; Tang, Zheng; Liu, Yanguang; Chen, Zhihua; Guo, Jingteng; Xiong, Zhifang; Li, Tiegang</t>
  </si>
  <si>
    <t>Calcification of planktonic foraminifer Neogloboquadrina pachyderma (sinistral) controlled by seawater temperature rather than ocean acidification in the Antarctic Zone of modern Sothern Ocean</t>
  </si>
  <si>
    <t>Planktonic foraminiferal SNW; Sonication; CaCO3 production; Ocean carbon cycle; Climate change</t>
  </si>
  <si>
    <t>CARBONATE ION CONCENTRATION; SOUTHERN-OCEAN; REDUCED CALCIFICATION; ATMOSPHERIC CO2; STABLE-ISOTOPE; SEA; DISSOLUTION; FLUX</t>
  </si>
  <si>
    <t>Neogloboquadrina pachyderma (sinistral), the dominant planktonic foraminiferal species in the mid-to-high latitude oceans, represents a major component of local calcium carbonate (CaCO3) production. However, the predominant factors, governing the calcification of this species and its potential response to the future marine environmental changes, are poorly understood. The present study utilized an improved cleaning method for the size-normalized weight (SNW) measurement to estimate the SNW of N. pachyderma (sin.) in surface sediments from the Amundsen Sea, the Ross Sea, and the Prydz Bay in the Antarctic Zone of the Southern Ocean. It was found that SNW of N. pachyderma (sin.) is not controlled by deep-water carbonate dissolution post-mortem, and can be therefore, used to reflect the degree of calcification. The comparison between N. pachyderma (sin.) SNW and environmental parameters (temperature, salinity, nutrient concentration, and carbonate system) in the calcification depth revealed that N. pachyderma (sin.) SNWs in the size ranges of 200-250, 250-300, and 300-355 mu m are significantly and positively correlated with seawater temperature. Moreover, SNW would increase by similar to 30% per degree increase in temperature, thereby suggesting that the calcification of N. pachyderma (sin.) in the modern Antarctic Zone of the Southern Ocean is mainly controlled by temperature, rather than by other environmental parameters such as ocean acidification. Importantly, a potential increase in calcification of N. pachyderma (sin.) in the Antarctic Zone to produce CaCO3 will release CO2 into the atmosphere. In turn, the future ocean warming will weaken the ocean carbon sink, thereby generating positive feedback for global warming.</t>
  </si>
  <si>
    <t>[Song, Qianwei; Qin, Bingbin; Tang, Zheng; Liu, Yanguang; Chen, Zhihua; Guo, Jingteng; Xiong, Zhifang; Li, Tiegang] Minist Nat Resources, Key Lab Marine Geol &amp; Metallogeny, Inst Oceanog 1, Qingdao 266061, Peoples R China; [Liu, Yanguang; Chen, Zhihua; Xiong, Zhifang; Li, Tiegang] Pilot Natl Lab Marine Sci &amp; Technol, Lab Marine Geol, Qingdao 266237, Peoples R China</t>
  </si>
  <si>
    <t>First Institute of Oceanography, Ministry of Natural Resources; Ministry of Natural Resources of the People's Republic of China; Laoshan Laboratory</t>
  </si>
  <si>
    <t>Xiong, ZF; Li, TG (corresponding author), Minist Nat Resources, Key Lab Marine Geol &amp; Metallogeny, Inst Oceanog 1, Qingdao 266061, Peoples R China.;Xiong, ZF; Li, TG (corresponding author), Pilot Natl Lab Marine Sci &amp; Technol, Lab Marine Geol, Qingdao 266237, Peoples R China.</t>
  </si>
  <si>
    <t>zhfxiong@fio.org.cn; tgli@fio.org.cn</t>
  </si>
  <si>
    <t>Xiong, Zhifang/HMP-3975-2023</t>
  </si>
  <si>
    <t>Xiong, Zhifang/0000-0001-9370-0089</t>
  </si>
  <si>
    <t>Chinese Arctic and Antarctic Administration; Impact and Response of Antarctic Seas [IRASCC2020-2022-, 01-03-02]; Basic Scientific Fund for National Public Research Institutes of China [2019S04, 2017Y07, 2019Q09]; National Natural Science Foundation of China [42076232, 41976080, 42006075]; Taishan Scholars Project Funding [TS20190963]</t>
  </si>
  <si>
    <t>Chinese Arctic and Antarctic Administration; Impact and Response of Antarctic Seas; Basic Scientific Fund for National Public Research Institutes of China; National Natural Science Foundation of China(National Natural Science Foundation of China (NSFC)); Taishan Scholars Project Funding</t>
  </si>
  <si>
    <t>The authors are grateful to the crew and shipboard scientists of the 29th, 34th, and 36th Chinese Antarctic expeditions, and the 32nd Italian Antarctic expedition. And we also thank the support of Chinese Arctic and Antarctic Administration. This work was supported by the Impact and Response of Antarctic Seas to Climate Change (Grant No. IRASCC2020-2022-No.01-03-02), the Basic Scientific Fund for National Public Research Institutes of China (Grant Nos. 2019S04, 2017Y07, 2019Q09), the National Natural Science Foundation of China (Grant Nos. 42076232, 41976080, 42006075) and the Taishan Scholars Project Funding (Grant No. TS20190963).</t>
  </si>
  <si>
    <t>10.1007/s11430-021-9924-7</t>
  </si>
  <si>
    <t>4E2YI</t>
  </si>
  <si>
    <t>WOS:000841699900002</t>
  </si>
  <si>
    <t>Marins, DPA; Celestrini, JR; de Almeida, VF; Santos, CAS; Andreao, RV; Colistete, R; de Alvarez, CE; Segatto, MEV</t>
  </si>
  <si>
    <t>Amaro Marins, Daniela Pawelski; Celestrini, Jordano R.; de Almeida, Vinicius Ferreira; Saibel Santos, Celso Alberto; Andreao, Rodrigo, V; Colistete Junior, Roberto; de Alvarez, Cristina Engel; Vieira Segatto, Marcelo Eduardo</t>
  </si>
  <si>
    <t>Dealing With Challenges Developing a Gateway to the End of the World-The Brazilian Antarctic Station Case Study</t>
  </si>
  <si>
    <t>IEEE INTERNET OF THINGS JOURNAL</t>
  </si>
  <si>
    <t>Antarctica; Monitoring; Biomedical monitoring; Temperature sensors; Maintenance engineering; Logic gates; Temperature measurement; Antarctica; circadian cycle; IoT; photonics; remote patient monitoring (RPM)</t>
  </si>
  <si>
    <t>COMFORT; SMART; LIGHT; MELATONIN; SYSTEMS; HEALTH</t>
  </si>
  <si>
    <t>The circadian rhythm is the period of about 24 h, which is the basis of the human biological cycle. It coordinates human daytime activities and body rest, and influences cognitive learning and processing information in the brain during sleep. Light rhythmically influences these hormonal physiological procedures. External factors such as the exposure to artificial light can also interfere with the circadian rhythm, causing sleep and wake disturbances. Remote monitoring systems can be used to better understand how the artificial light influences sleep and bodily rhythms, integrating light and physiological measurements to assess their interaction points. We developed an equipment to monitor the environmental light spectrum and gather data from wrist devices, collecting data on sleep quality and daytime activities. This study shows the challenges faced during the development of this monitoring equipment and the lessons learned from its construction and installation at the Brazilian Antarctic research station.</t>
  </si>
  <si>
    <t>[Amaro Marins, Daniela Pawelski; de Almeida, Vinicius Ferreira; Andreao, Rodrigo, V; Colistete Junior, Roberto; Vieira Segatto, Marcelo Eduardo] Univ Fed Espirito Santo, Dept Elect Engn, BR-29075910 Vitoria, ES, Brazil; [Celestrini, Jordano R.; Saibel Santos, Celso Alberto] Univ Fed Espirito Santo, Dept Informat, BR-29075910 Vitoria, ES, Brazil; [de Alvarez, Cristina Engel] Univ Fed Espirito Santo, Dept Architecture &amp; Urban Planning, BR-29075910 Vitoria, ES, Brazil</t>
  </si>
  <si>
    <t>Universidade Federal do Espirito Santo; Universidade Federal do Espirito Santo; Universidade Federal do Espirito Santo</t>
  </si>
  <si>
    <t>Marins, DPA (corresponding author), Univ Fed Espirito Santo, Dept Elect Engn, BR-29075910 Vitoria, ES, Brazil.</t>
  </si>
  <si>
    <t>daniela.pawelski@gmail.com; jordanorc@gmail.com; viniciusf92@gmail.com; saibel@inf.ufes.br; rodrigova@ifes.edu.br; roberto.colistete@ufes.br; cristina.engel@ufes.br; segatto@ele.ufes.br</t>
  </si>
  <si>
    <t>SANTOS, CELSO Alberto Saibel/M-9733-2014; de Alvarez, Cristina Engel/J-4629-2012; Engel de Alvarez, Cristina/B-6892-2014</t>
  </si>
  <si>
    <t>SANTOS, CELSO Alberto Saibel/0000-0002-3287-5843; Pawelski Amaro Marins, Daniela/0000-0002-1315-1313; Varejao Andreao, Rodrigo/0000-0002-6800-5700; Engel de Alvarez, Cristina/0000-0002-3898-8515; Ferreira de Almeida, Vinicius/0000-0002-9531-148X</t>
  </si>
  <si>
    <t>Coordination for the Improvement of Higher Education Personnel (CAPES), Brazil; National Council for Scientific and Technological Development (CNPq), Brazil [309082/2020-0, 307718/2020-4]; Foundation for Research Support of Espirito Santo (FAPES) [93/2017]</t>
  </si>
  <si>
    <t>Coordination for the Improvement of Higher Education Personnel (CAPES), Brazil(Coordenacao de Aperfeicoamento de Pessoal de Nivel Superior (CAPES)); National Council for Scientific and Technological Development (CNPq), Brazil(Conselho Nacional de Desenvolvimento Cientifico e Tecnologico (CNPQ)); Foundation for Research Support of Espirito Santo (FAPES)</t>
  </si>
  <si>
    <t>This work was supported in part by the Coordination for the Improvement of Higher Education Personnel (CAPES), Brazil; in part by the National Council for Scientific and Technological Development (CNPq), Brazil, under Grant 309082/2020-0 and Grant 307718/2020-4; and in part by the Foundation for Research Support of Espirito Santo (FAPES) under Grant 93/2017.</t>
  </si>
  <si>
    <t>IEEE-INST ELECTRICAL ELECTRONICS ENGINEERS INC</t>
  </si>
  <si>
    <t>PISCATAWAY</t>
  </si>
  <si>
    <t>445 HOES LANE, PISCATAWAY, NJ 08855-4141 USA</t>
  </si>
  <si>
    <t>2327-4662</t>
  </si>
  <si>
    <t>IEEE INTERNET THINGS</t>
  </si>
  <si>
    <t>IEEE Internet Things J.</t>
  </si>
  <si>
    <t>10.1109/JIOT.2022.3148005</t>
  </si>
  <si>
    <t>Computer Science, Information Systems; Engineering, Electrical &amp; Electronic; Telecommunications</t>
  </si>
  <si>
    <t>Computer Science; Engineering; Telecommunications</t>
  </si>
  <si>
    <t>3R1VB</t>
  </si>
  <si>
    <t>WOS:000838706600088</t>
  </si>
  <si>
    <t>Craw, L; McCormack, FS; Cook, S; Roberts, J; Treverrow, A</t>
  </si>
  <si>
    <t>Craw, Lisa; McCormack, Felicity S.; Cook, Sue; Roberts, Jason; Treverrow, Adam</t>
  </si>
  <si>
    <t>Modelling the influence of marine ice on the dynamics of an idealised ice shelf</t>
  </si>
  <si>
    <t>Ice dynamics; ice rheology; ice shelves</t>
  </si>
  <si>
    <t>FILCHNER-RONNE ICE; STRAIN-RATE; TERTIARY CREEP; GRAIN-GROWTH; METEORIC ICE; SEA-ICE; ANTARCTICA; STRESS; MICROSTRUCTURE; RHEOLOGY</t>
  </si>
  <si>
    <t>Understanding the dynamic behaviour of ice shelves, specifically the controls on their ability to buttress the flow of ice into the ocean, is critical for predicting future ice-sheet contributions to sea level rise. Many large ice shelves, which are predominantly composed of meteoric ice, have a basal layer of marine ice (formed from accumulated platelets at the ice-ocean interface), comprising up to 40% of their thickness locally. Differences in temperature, chemistry and microstructure between marine and meteoric ice mean the rheological properties of the ice vary throughout the ice shelf. These differences are not explicitly accounted for in ice-sheet modelling applications, and may have an important influence on ice shelf dynamics. We tested the sensitivity of a model of an idealised ice shelf to variations in temperature distribution and flow enhancement, and found that incorporating a realistic thermal profile (where the marine ice layer is isothermal) had an order of magnitude greater effect on ice mass flux and thinning than incorporating the mechanical properties of the marine ice. The presence of marine ice at the ice shelf base has the potential to significantly increase deviatoric stresses at the surface and ice mass flux across the front of an ice shelf.</t>
  </si>
  <si>
    <t>[Craw, Lisa; Treverrow, Adam] Univ Tasmania, Inst Marine &amp; Antarctic Studies, Hobart, Tas, Australia; [McCormack, Felicity S.] Monash Univ, Sch Earth Atmosphere &amp; Environm, Clayton, Vic, Australia; [Cook, Sue; Roberts, Jason] Inst Marine &amp; Antarctic Studies, Australian Antarctic Program Partnership, Hobart, Tas, Australia; [Roberts, Jason; Treverrow, Adam] Australian Antarctic Div, Kingston, Tas, Australia</t>
  </si>
  <si>
    <t>University of Tasmania; Monash University; University of Tasmania; Australian Antarctic Division</t>
  </si>
  <si>
    <t>Craw, L (corresponding author), Univ Tasmania, Inst Marine &amp; Antarctic Studies, Hobart, Tas, Australia.</t>
  </si>
  <si>
    <t>lisa.craw@utas.edu.au</t>
  </si>
  <si>
    <t>Treverrow, Adam/J-7450-2014; McCormack, Felicity/B-9218-2015; Cook, Sue/E-8390-2018; Craw, Lisa/V-5681-2018</t>
  </si>
  <si>
    <t>Treverrow, Adam/0000-0003-4666-0488; McCormack, Felicity/0000-0002-2324-2120; Roberts, Jason/0000-0002-3477-4069; Cook, Sue/0000-0001-9878-4218; Craw, Lisa/0000-0002-6809-3587</t>
  </si>
  <si>
    <t>Australian Government Research Training Program Scholarship at the University of Tasmania; Australian Research Council (ARC) [DE210101433]; Australian Government as part of the Antarctic Science Collaboration Initiative programme; Australian Research Council's Special Research Initiative for Antarctic Gateway Partnership [SR140300001]; Australian Research Council [DE210101433] Funding Source: Australian Research Council</t>
  </si>
  <si>
    <t>Australian Government Research Training Program Scholarship at the University of Tasmania(Australian Government); Australian Research Council (ARC)(Australian Research Council); Australian Government as part of the Antarctic Science Collaboration Initiative programme(Australian Government); Australian Research Council's Special Research Initiative for Antarctic Gateway Partnership(Australian Research Council); Australian Research Council(Australian Research Council)</t>
  </si>
  <si>
    <t>We would like to thank Matthew Siegfried, and two anonymous reviewers for their helpful comments which greatly improved the manuscript. Lisa Craw is supported by an Australian Government Research Training Program Scholarship at the University of Tasmania. Felicity McCormack is supported by an Australian Research Council (ARC) Discovery Early Career Research Award DE210101433. Sue Cook received grant funding from the Australian Government as part of the Antarctic Science Collaboration Initiative programme. Part of the research work undertaken was supported by the Australian Research Council's Special Research Initiative for Antarctic Gateway Partnership (Project ID SR140300001).</t>
  </si>
  <si>
    <t>PII S0022143022000661</t>
  </si>
  <si>
    <t>10.1017/jog.2022.66</t>
  </si>
  <si>
    <t>D7PK9</t>
  </si>
  <si>
    <t>WOS:000840549100001</t>
  </si>
  <si>
    <t>Chrysafi, A; Virkki, V; Jalava, M; Sandström, V; Piipponen, J; Porkka, M; Lade, SJ; La Mere, K; Wang-Erlandsson, L; Scherer, L; Andersen, LS; Bennett, E; Brauman, KA; Cooper, GS; De Palma, A; Döll, P; Downing, AS; DuBois, TC; Fetzer, I; Fulton, EA; Gerten, D; Jaafar, H; Jägermeyr, J; Jaramillo, F; Jung, M; Kahiluoto, H; Lassaletta, L; Mackay, AW; Mason-D'Croz, D; Mekonnen, MM; Nash, KL; Pastor, AV; Ramankutty, N; Ridoutt, B; Siebert, S; Simmons, BI; Staal, A; Sun, ZX; Tobian, A; Usubiaga-Liaño, A; van der Ent, RJ; van Soesbergen, A; Verburg, PH; Wada, Y; Zipper, S; Kummu, M</t>
  </si>
  <si>
    <t>Chrysafi, Anna; Virkki, Vili; Jalava, Mika; Sandstrom, Vilma; Piipponen, Johannes; Porkka, Miina; Lade, Steven J.; La Mere, Kelsey; Wang-Erlandsson, Lan; Scherer, Laura; Andersen, Lauren S.; Bennett, Elena; Brauman, Kate A.; Cooper, Gregory S.; De Palma, Adriana; Doell, Petra; Downing, Andrea S.; DuBois, Timothy C.; Fetzer, Ingo; Fulton, Elizabeth A.; Gerten, Dieter; Jaafar, Hadi; Jaegermeyr, Jonas; Jaramillo, Fernando; Jung, Martin; Kahiluoto, Helena; Lassaletta, Luis; Mackay, Anson W.; Mason-D'Croz, Daniel; Mekonnen, Mesfin M.; Nash, Kirsty L.; Pastor, Amandine, V; Ramankutty, Navin; Ridoutt, Brad; Siebert, Stefan; Simmons, Benno, I; Staal, Arie; Sun, Zhongxiao; Tobian, Arne; Usubiaga-Liano, Arkaitz; van der Ent, Ruud J.; van Soesbergen, Arnout; Verburg, Peter H.; Wada, Yoshihide; Zipper, Sam; Kummu, Matti</t>
  </si>
  <si>
    <t>Quantifying Earth system interactions for sustainable food production via expert elicitation</t>
  </si>
  <si>
    <t>NATURE SUSTAINABILITY</t>
  </si>
  <si>
    <t>PLANETARY BOUNDARIES; REGIME SHIFTS; JUDGMENT; LAND; BIODIVERSITY; HEURISTICS; IMPACTS; TRENDS; MODEL</t>
  </si>
  <si>
    <t>Several safe boundaries of critical Earth system processes have already been crossed due to human perturbations; not accounting for their interactions may further narrow the safe operating space for humanity. Using expert knowledge elicitation, we explored interactions among seven variables representing Earth system processes relevant to food production, identifying many interactions little explored in Earth system literature. We found that green water and land system change affect other Earth system processes strongly, while land, freshwater and ocean components of biosphere integrity are the most impacted by other Earth system processes, most notably blue water and biogeochemical flows. We also mapped a complex network of mechanisms mediating these interactions and created a future research prioritization scheme based on interaction strengths and existing knowledge gaps. Our study improves the understanding of Earth system interactions, with sustainability implications including improved Earth system modelling and more explicit biophysical limits for future food production. Determining the safe operating space for sustainable food production depends on the interactions of multiple processes within the Earth system. Expert knowledge provides critical insight into how these processes interact that improves Earth system modelling and our understanding of the limits of global food production.</t>
  </si>
  <si>
    <t>[Chrysafi, Anna; Virkki, Vili; Jalava, Mika; Sandstrom, Vilma; Piipponen, Johannes; Porkka, Miina; Kummu, Matti] Aalto Univ, Water &amp; Dev Res Grp, Espoo, Finland; [Chrysafi, Anna] Aristotle Univ Thessaloniki, Sch Biol, Lab Ichthyol, Thessaloniki, Greece; [Porkka, Miina; Downing, Andrea S.] Royal Swedish Acad Sci, Global Econ Dynam &amp; Biosphere Programme GEDB, Stockholm, Sweden; [Lade, Steven J.; Wang-Erlandsson, Lan; Downing, Andrea S.; DuBois, Timothy C.; Fetzer, Ingo; Tobian, Arne] Stockholm Univ, Stockholm Resilience Ctr SRC, Stockholm, Sweden; [Lade, Steven J.] Australian Natl Univ, Fenner Sch Environm &amp; Soc, Canberra, ACT, Australia; [La Mere, Kelsey] Tampere Univ, Fac Social Sci, Tampere, Finland; [Wang-Erlandsson, Lan; Fetzer, Ingo] Stockholm Univ, Bolin Ctr Climate Res, Stockholm, Sweden; [Scherer, Laura; Sun, Zhongxiao] Leiden Univ, Inst Environm Sci CML, Leiden, Netherlands; [Andersen, Lauren S.; Gerten, Dieter; Jaegermeyr, Jonas; Tobian, Arne] Leibniz Assoc, Potsdam Inst Climate Impact Res, Potsdam, Germany; [Bennett, Elena] McGill Univ, Dept Nat Resource Sci, Montreal, PQ, Canada; [Bennett, Elena] McGill Univ, Bieler Sch Environm, Montreal, PQ, Canada; [Brauman, Kate A.] Univ Alabama, Global Water Secur Ctr, Tuscaloosa, AL USA; [Cooper, Gregory S.] Univ Sheffield, Inst Sustainable Food, Sheffield, S Yorkshire, England; [Cooper, Gregory S.] Univ Sheffield, Dept Geog, Sheffield, S Yorkshire, England; [De Palma, Adriana] Nat Hist Museum, Dept Life Sci, London, England; [Doell, Petra] Goethe Univ Frankfurt, Inst Phys Geog, Frankfurt, Germany; [Doell, Petra] Senckenberg Leibniz Biodivers &amp; Climate Res Ctr F, Frankfurt, Germany; [Fulton, Elizabeth A.] CSIRO Oceans &amp; Atmosphere, Hobart, Tas, Australia; [Fulton, Elizabeth A.; Nash, Kirsty L.] Univ Tasmania, Ctr Marine Socioecol, Hobart, Tas, Australia; [Gerten, Dieter] Humboldt Univ, Geog Dept, Berlin, Germany; [Gerten, Dieter] Humboldt Univ, Integrat Res Inst Transformat Human Environm Syst, Berlin, Germany; [Jaafar, Hadi] Amer Univ Beirut, Dept Agr, Beirut, Lebanon; [Jaegermeyr, Jonas] NASA, Goddard Inst Space Studies, New York, NY 10025 USA; [Jaegermeyr, Jonas] Columbia Univ, Climate Sch, New York, NY USA; [Jaramillo, Fernando] Stockholm Univ, Dept Phys Geog, Stockholm, Sweden; [Jaramillo, Fernando] Stockholm Univ, Baltic Sea Ctr, Stockholm, Sweden; [Jung, Martin; Wada, Yoshihide] Int Inst Appl Syst Anal IIASA, Biodivers &amp; Nat Resources Program, Laxenburg, Austria; [Kahiluoto, Helena] LUT Univ, Sustainabil Sci, Lahti, Finland; [Lassaletta, Luis] Univ Politecn Madrid, ETSIAAB, CEIGRAM Agr Prod, Madrid, Spain; [Mackay, Anson W.] UCL, Environm Change Res Ctr, Dept Geog, London, England; [Mason-D'Croz, Daniel] Cornell Univ, Coll Agr &amp; Life Sci, Dept Global Dev, Ithaca, NY USA; [Mason-D'Croz, Daniel; Ridoutt, Brad] Commonwealth Sci &amp; Ind Res Org CSIRO Agr &amp; Food, Clayton, Vic, Australia; [Mason-D'Croz, Daniel] Wageningen Univ &amp; Res, Agr Econ &amp; Rural Policy Grp, Wageningen, Netherlands; [Mekonnen, Mesfin M.] Univ Alabama, Dept Civil Construct &amp; Environm Engn, Tuscaloosa, AL USA; [Nash, Kirsty L.] Univ Tasmania, Inst Marine &amp; Antarctic Studies, Hobart, Tas, Australia; [Pastor, Amandine, V] Univ Montpellier, Inst Agro, INRAE, ITAP, Montpellier, France; [Pastor, Amandine, V] Res Grp Environm Lifecycle &amp; Sustainabil Assessme, Montpellier, France; [Pastor, Amandine, V] Univ Lisbon, Fac Sci, cE3c, Lisbon, Portugal; [Ramankutty, Navin] Univ British Columbia, UBC Sch Publ Policy &amp; Global Affairs, Vancouver, BC, Canada; [Ramankutty, Navin] Univ British Columbia, Inst Resources Environm &amp; Sustainabil, Vancouver, BC, Canada; [Ridoutt, Brad] Univ Free State, Dept Agr Econ, Bloemfontein, South Africa; [Siebert, Stefan] Univ Gottingen, Dept Crop Sci, Gottingen, Germany; [Siebert, Stefan] Univ Gottingen, Ctr Biodivers &amp; Sustainable Land Use CBL, Gottingen, Germany; [Simmons, Benno, I] Univ Exeter, Coll Life &amp; Environm Sci, Ctr Ecol &amp; Conservat, Penryn, England; [Staal, Arie] Univ Utrecht, Copernicus Inst Sustainable Dev, Utrecht, Netherlands; [Sun, Zhongxiao] China Agr Univ, Coll Land Sci &amp; Technol, Beijing, Peoples R China; [Usubiaga-Liano, Arkaitz] UCL, Inst Sustainable Resources, London, England; [Usubiaga-Liano, Arkaitz] Basque Ctr Climate Change BC3, Leioa, Spain; [van der Ent, Ruud J.] Delft Univ Technol, Dept Water Management, Delft, Netherlands; [van Soesbergen, Arnout] Kings Coll London, Dept Geog, London, England; [van Soesbergen, Arnout] UN Environm Programme World Conservat Monitoring, Cambridge, England; [Verburg, Peter H.] Inst Environm Studies IVM, Amsterdam, Netherlands; [Zipper, Sam] Univ Kansas, Kansas Geol Survey, 1930 Constant Ave, Lawrence, KS 66047 USA</t>
  </si>
  <si>
    <t>Aalto University; Aristotle University of Thessaloniki; Royal Swedish Academy of Sciences; Stockholm University; Australian National University; Tampere University; Leiden University - Excl LUMC; Leiden University; Potsdam Institut fur Klimafolgenforschung; McGill University; McGill University; University of Alabama System; University of Alabama Tuscaloosa; University of Sheffield; University of Sheffield; Natural History Museum London; Goethe University Frankfurt; Commonwealth Scientific &amp; Industrial Research Organisation (CSIRO); University of Tasmania; Humboldt University of Berlin; Humboldt University of Berlin; American University of Beirut; National Aeronautics &amp; Space Administration (NASA); NASA Goddard Space Flight Center; Goddard Institute for Space Studies; Columbia University; Stockholm University; Stockholm University; International Institute for Applied Systems Analysis (IIASA); Universidad Politecnica de Madrid; University of London; University College London; Cornell University; Commonwealth Scientific &amp; Industrial Research Organisation (CSIRO); Wageningen University &amp; Research; University of Alabama System; University of Alabama Tuscaloosa; University of Tasmania; Universite de Montpellier; INRAE; Institut Agro; Universidade de Lisboa; University of British Columbia; University of British Columbia; University of the Free State; University of Gottingen; University of Gottingen; University of Exeter; Utrecht University; China Agricultural University; University of London; University College London; Basque Centre for Climate Change (BC3); Delft University of Technology; University of London; King's College London; Vrije Universiteit Amsterdam; University of Kansas</t>
  </si>
  <si>
    <t>Chrysafi, A; Kummu, M (corresponding author), Aalto Univ, Water &amp; Dev Res Grp, Espoo, Finland.;Chrysafi, A (corresponding author), Aristotle Univ Thessaloniki, Sch Biol, Lab Ichthyol, Thessaloniki, Greece.</t>
  </si>
  <si>
    <t>achrysaf@bio.auth.gr; matti.kummu@aalto.fi</t>
  </si>
  <si>
    <t>van der Ent, Ruud J/K-8593-2016; Sandström, Vilma/GSN-6689-2022; Kummu, Matti/C-4797-2011; Andersen, Lauren Seaby/GPX-1767-2022; Fulton, Beth/AAJ-1398-2021; DuBois, Timothy/H-2001-2013; Mason-D'Croz, Daniel/M-4254-2016; Lassaletta, Luis/D-3894-2009; Siebert, Stefan/B-8621-2009; Jaramillo, Fernando/T-4713-2017; Zipper, Sam/B-8667-2013; Döll, Petra/A-3784-2009; Nash, Kirsty L/B-5456-2015; Bennett, Elena/A-9553-2008; Porkka, Miina/M-6106-2014</t>
  </si>
  <si>
    <t>van der Ent, Ruud J/0000-0001-5450-4333; Sandström, Vilma/0000-0002-0475-7487; Kummu, Matti/0000-0001-5096-0163; Andersen, Lauren Seaby/0000-0003-3080-0503; Fulton, Beth/0000-0002-5904-7917; DuBois, Timothy/0000-0002-2866-1412; Mason-D'Croz, Daniel/0000-0003-0673-2301; Lassaletta, Luis/0000-0001-9428-2149; Siebert, Stefan/0000-0002-9998-0672; Jaramillo, Fernando/0000-0002-6769-0136; Zipper, Sam/0000-0002-8735-5757; Döll, Petra/0000-0003-2238-4546; Nash, Kirsty L/0000-0003-0976-3197; Porkka, Miina/0000-0002-8285-6122; Piipponen, Johannes/0000-0003-2925-3397; Brauman, Kate/0000-0002-8099-285X; Wang-Erlandsson, Lan/0000-0002-7739-5069; Chrysafi, Anna/0000-0001-8532-9371; Lade, Steven/0000-0001-9719-9826; Virkki, Vili/0000-0002-2603-3420; Scherer, Laura/0000-0002-0194-9942; Jalava, Mika/0000-0003-4133-7462</t>
  </si>
  <si>
    <t>European Research Council under the European Union [819202]; Aalto University School of Engineering Doctoral Programme, Maa- ja vesitekniikan tuki ry; Academy of Finland [339834]; Erling Persson Family Foundation; Royal Commission for the Exhibition of 1851 Research Fellowship; European 1225 Research Council through the 'Earth Resilience in the Anthropocene' project [ERC-2016-1226 ADG 743080]; Australian Research Council [DE210100606]; Maria de Maeztu excellence accreditation 2018-2022 - MCIN/AEI [MDM-2017-0714]; Basque Government; NASA GISS Climate Impacts Group; Open Philanthropy Project; Chinese Universities Scientific Fund [2022TC098]; Spanish Ministry of Economy and Competitiveness (MINECO); European Commission ERDF Ramon y Cajal grant [RYC-2016-20269]; Programa Propio from the Universidad Politecnica de Madrid; Australian Research Council Future Fellowship - Australian Government [FT200100381]; Dutch Research Council (NWO) Talent Program [VI.Veni.202.170]; Australian Research Council [DE210100606, FT200100381] Funding Source: Australian Research Council; European Research Council (ERC) [819202] Funding Source: European Research Council (ERC); NERC [NE/M014533/1] Funding Source: UKRI</t>
  </si>
  <si>
    <t>European Research Council under the European Union(European Research Council (ERC)); Aalto University School of Engineering Doctoral Programme, Maa- ja vesitekniikan tuki ry; Academy of Finland(Research Council of Finland); Erling Persson Family Foundation; Royal Commission for the Exhibition of 1851 Research Fellowship; European 1225 Research Council through the 'Earth Resilience in the Anthropocene' project; Australian Research Council(Australian Research Council); Maria de Maeztu excellence accreditation 2018-2022 - MCIN/AEI; Basque Government(Basque Government); NASA GISS Climate Impacts Group; Open Philanthropy Project; Chinese Universities Scientific Fund; Spanish Ministry of Economy and Competitiveness (MINECO)(Spanish Government); European Commission ERDF Ramon y Cajal grant; Programa Propio from the Universidad Politecnica de Madrid; Australian Research Council Future Fellowship - Australian Government(Australian Research Council); Dutch Research Council (NWO) Talent Program; Australian Research Council(Australian Research Council); European Research Council (ERC)(European Research Council (ERC)Spanish Government); NERC(UK Research &amp; Innovation (UKRI)Natural Environment Research Council (NERC))</t>
  </si>
  <si>
    <t>This study was funded by the European Research Council under the European Union's Horizon 2020 research and innovation programme (grant agreement no. 819202), Aalto University School of Engineering Doctoral Programme, Maa- ja vesitekniikan tuki ry and the Academy of Finland-funded project TREFORM (grant no. 339834). M.P. was supported by the Erling Persson Family Foundation. B.I.S. is supported by a Royal Commission for the Exhibition of 1851 Research Fellowship. L.W.-E, A.T., I.F, L.S.A. and T.D. acknowledge financial support from the European 1225 Research Council through the 'Earth Resilience in the Anthropocene' project (no. ERC-2016-1226 ADG 743080). K.L.N. was supported by Australian Research Council funding (DE210100606). A.U.-L. was supported by Maria de Maeztu excellence accreditation 2018-2022 (ref. MDM-2017-0714), funded by MCIN/AEI/10.13039/501100011033/ and by the Basque Government through the BERC 2022-2025 programme. J.J. was supported by the NASA GISS Climate Impacts Group and the Open Philanthropy Project. Z.S. was supported by Chinese Universities Scientific Fund (2022TC098). L.L. is supported by the Spanish Ministry of Economy and Competitiveness (MINECO) and European Commission ERDF Ramon y Cajal grant (RYC-2016-20269) and Programa Propio from the Universidad Politecnica de Madrid. S.J.L. is the recipient of an Australian Research Council Future Fellowship (project no. FT200100381) funded by the Australian Government. We would like to thank members of the Water and Development group for testing an earlier version of the elicitation web application and A. Fallon for language checking of the manuscript. A.S. was supported by the Dutch Research Council (NWO) Talent Program Grant VI.Veni.202.170.</t>
  </si>
  <si>
    <t>2398-9629</t>
  </si>
  <si>
    <t>NAT SUSTAIN</t>
  </si>
  <si>
    <t>Nat. Sustain.</t>
  </si>
  <si>
    <t>10.1038/s41893-022-00940-6</t>
  </si>
  <si>
    <t>5J8MV</t>
  </si>
  <si>
    <t>WOS:000840585100001</t>
  </si>
  <si>
    <t>Orihuela-Pinto, B; Santoso, A; England, MH; Taschetto, AS</t>
  </si>
  <si>
    <t>Orihuela-Pinto, Bryam; Santoso, Agus; England, Matthew H.; Taschetto, Andrea S.</t>
  </si>
  <si>
    <t>Reduced ENSO Variability due to a Collapsed Atlantic Meridional Overturning Circulation</t>
  </si>
  <si>
    <t>Atmosphere-ocean interaction; ENSO; Meridional overturning circulation; Teleconnections; Climate variability; Tropical variability</t>
  </si>
  <si>
    <t>SEA-SURFACE TEMPERATURE; INTERTROPICAL CONVERGENCE ZONE; PACIFIC DECADAL VARIABILITY; EL-NINO EVENTS; THERMOHALINE CIRCULATION; SOUTHERN-OSCILLATION; SEASONAL CYCLE; CLIMATE MODELS; COLD-TONGUE; STABILITY</t>
  </si>
  <si>
    <t>Atlantic meridional overturning circulation (AMOC) collapses have punctuated Earth's climate in the past, and future projections suggest a weakening and potential collapse in response to global warming and high-latitude ocean freshening. Among its most important teleconnections, the AMOC has been shown to influence El Nino-Southern Oscillation (ENSO), although there is no clear consensus on the tendency of this influence or the mechanisms at play. In this study, we investigate the effect of an AMOC collapse on ENSO by adding freshwater in the North Atlantic in a global climate model. The tropical Pacific mean-state changes caused by the AMOC collapse are found to alter the governing ENSO feedbacks, damping the growth rate of ENSO. As a result, ENSO variability is found to decrease by similar to 30% due to weaker air-sea coupling associated with a cooler tropical Pacific and an intensified Walker circulation. The decreased ENSO variability manifests in similar to 95% less frequent extreme El Nino events and a shift toward more prevalent central Pacific El Nino than eastern Pacific El Nino events, marked by a reduced ENSO nonlinearity and asymmetry. These results provide mechanistic insights into the possible behavior of past and future ENSO in a scenario of a much weakened or collapsed AMOC. Significance StatementThe Atlantic meridional overturning circulation (AMOC) has collapsed in the past and a future collapse due to greenhouse warming is a plausible scenario. An AMOC shutdown would have major ramifications for global climate, with extensive impacts on climate phenomena such as El Nino-Southern Oscillation (ENSO), which is the strongest source of year-to-year climate variability on the planet. Using numerical simulations, we show that an AMOC shutdown leads to weaker ENSO variability, manifesting in 95% reduction in extreme El Nino events, and a shift of the ENSO pattern toward the central Pacific. This study sheds light on the mechanisms behind these changes, with implications for interpreting past and future ENSO variability.</t>
  </si>
  <si>
    <t>[Orihuela-Pinto, Bryam; Santoso, Agus; England, Matthew H.; Taschetto, Andrea S.] Univ New South Wales, Climate Change Res Ctr, Sydney, NSW, Australia; [Orihuela-Pinto, Bryam; Santoso, Agus; Taschetto, Andrea S.] Univ New South Wales, Australian Res Council Ctr Excellence Climate Extr, Sydney, NSW, Australia; [Santoso, Agus] CSIRO Oceans &amp; Atmosphere, Ctr Southern Hemisphere Oceans Res, Hobart, Tas, Australia; [England, Matthew H.] Univ New South Wales, Australian Ctr Excellence Antarctic Sci, Sydney, NSW, Australia</t>
  </si>
  <si>
    <t>University of New South Wales Sydney; University of New South Wales Sydney; Commonwealth Scientific &amp; Industrial Research Organisation (CSIRO); University of New South Wales Sydney</t>
  </si>
  <si>
    <t>Orihuela-Pinto, B (corresponding author), Univ New South Wales, Climate Change Res Ctr, Sydney, NSW, Australia.;Orihuela-Pinto, B (corresponding author), Univ New South Wales, Australian Res Council Ctr Excellence Climate Extr, Sydney, NSW, Australia.</t>
  </si>
  <si>
    <t>bryamorihuela@gmail.com</t>
  </si>
  <si>
    <t>England, Matthew/A-7539-2011; Santoso, Agus/J-7350-2012</t>
  </si>
  <si>
    <t>England, Matthew/0000-0001-9696-2930; Taschetto, Andrea/0000-0001-6020-1603; Orihuela-Pinto, Bryam/0000-0003-3873-9401</t>
  </si>
  <si>
    <t>Australian Research Council (ARC) [CE110001028, FT160100495]; Earth Science and Climate Change Hub of the Australian Government's National Environmental Science Program (NESP); Centre for Southern Hemisphere Oceans Research (CSHOR); QNLM; CSIRO; UNSW; UTAS; Australian Research Council [FT160100495] Funding Source: Australian Research Council</t>
  </si>
  <si>
    <t>Australian Research Council (ARC)(Australian Research Council); Earth Science and Climate Change Hub of the Australian Government's National Environmental Science Program (NESP); Centre for Southern Hemisphere Oceans Research (CSHOR); QNLM; CSIRO(Commonwealth Scientific &amp; Industrial Research Organisation (CSIRO)); UNSW; UTAS; Australian Research Council(Australian Research Council)</t>
  </si>
  <si>
    <t>This study was supported by the Australian Research Council (ARC Grants CE110001028 and FT160100495). M.H.E., A.S., and A.S.T. are supported by the Earth Science and Climate Change Hub of the Australian Government's National Environmental Science Program (NESP). M.H.E. and A.S. are also supported by the Centre for Southern Hemisphere Oceans Research (CSHOR), a joint research center between QNLM, CSIRO, UNSW, and UTAS. We thank the computational resources provided by the Australian National Computational Infrastructure (NCI) National Facility.</t>
  </si>
  <si>
    <t>10.1175/JCLI-D-21-0293.1</t>
  </si>
  <si>
    <t>3M7WU</t>
  </si>
  <si>
    <t>WOS:000835668800004</t>
  </si>
  <si>
    <t>Panel, S; Pietri, A</t>
  </si>
  <si>
    <t>Panel, Sophie; Pietri, Antoine</t>
  </si>
  <si>
    <t>God did not save the kings: Environmental consequences of the 1982 Falklands War</t>
  </si>
  <si>
    <t>ECOLOGICAL ECONOMICS</t>
  </si>
  <si>
    <t>Costs of conflict; Ecological impact of warfare; Falklands War; King penguins</t>
  </si>
  <si>
    <t>PENGUINS APTENODYTES-PATAGONICUS; INTERRUPTED TIME-SERIES; 1991 GULF-WAR; ARMED CONFLICT; PROTECTED AREAS; FORAGING AREAS; CIVIL-WAR; POPULATION-DYNAMICS; MACQUARIE ISLAND; ECONOMIC COSTS</t>
  </si>
  <si>
    <t>Warfare has been found to have detrimental impacts on local ecosystems. Armed conflict can generate environmental damages through intertwined channels: scorched earth tactics, indirect effects following institutional collapse or economic and social disruption, and direct effects of combat operations. While the two first channels are well understood, the third one has been comparatively neglected. This paper analyzes the environmental consequences of one of the largest aerial and naval conflicts of the late 20th century, namely the 1982 Falklands War. As an indicator of the marine ecosystem status, we analyze population trends of king penguins breeding in the Falkland Islands over the period 1963-1997. Using interrupted time series analysis, which we then complement with a synthetic control group based on data from other Sub-Antarctic colonies, we find that the war significantly slowed the growth rate of king penguins' breeding population.</t>
  </si>
  <si>
    <t>[Panel, Sophie] Univ Grenoble Alpes, Sci Po Grenoble, CESICE, Grenoble, France; [Pietri, Antoine] Univ Montpellier, CEE M, CNRS, INRAE,Montpellier SupAgro, Montpellier, France</t>
  </si>
  <si>
    <t>Communaute Universite Grenoble Alpes; Universite Grenoble Alpes (UGA); Centre National de la Recherche Scientifique (CNRS); Institut Agro; Montpellier SupAgro; INRAE; Universite de Montpellier</t>
  </si>
  <si>
    <t>Pietri, A (corresponding author), Univ Montpellier, Site Richter Ave Raymond Dugrand,CS 79606 349 60, F-34960 Montpellier 2, France.</t>
  </si>
  <si>
    <t>antoine.pietri@umontpellier.fr</t>
  </si>
  <si>
    <t>Pietri, Antoine/0000-0003-2730-2239</t>
  </si>
  <si>
    <t>0921-8009</t>
  </si>
  <si>
    <t>1873-6106</t>
  </si>
  <si>
    <t>ECOL ECON</t>
  </si>
  <si>
    <t>Ecol. Econ.</t>
  </si>
  <si>
    <t>10.1016/j.ecolecon.2022.107580</t>
  </si>
  <si>
    <t>Ecology; Economics; Environmental Sciences; Environmental Studies</t>
  </si>
  <si>
    <t>Environmental Sciences &amp; Ecology; Business &amp; Economics</t>
  </si>
  <si>
    <t>4F0EW</t>
  </si>
  <si>
    <t>WOS:000848190800002</t>
  </si>
  <si>
    <t>Herr, H; Viquerat, S; Naujocks, T; Gregory, B; Lees, A; Devas, F</t>
  </si>
  <si>
    <t>Herr, Helena; Viquerat, Sacha; Naujocks, Tobias; Gregory, Bertie; Lees, Abigail; Devas, Fredi</t>
  </si>
  <si>
    <t>Skin condition of fin whales at Antarctic feeding grounds reveals little evidence for anthropogenic impacts and high prevalence of cookiecutter shark bite lesions</t>
  </si>
  <si>
    <t>HUMPBACK WHALE; MARINE MAMMALS; KILLER WHALES; CETACEANS; DISFIGUREMENTS; MALFORMATIONS; ENTANGLEMENT; INDICATOR; FISHERIES; INJURIES</t>
  </si>
  <si>
    <t>[Herr, Helena; Viquerat, Sacha; Naujocks, Tobias] Univ Hamburg, Ctr Earth Syst Res &amp; Sustainabil, Inst Marine Ecosyst &amp; Fishery Sci, Hamburg, Germany; [Herr, Helena; Viquerat, Sacha] Alfred Wegener Inst, Helmholtz Ctr Polar &amp; Marine Res, Bremerhaven, Germany; [Gregory, Bertie; Lees, Abigail; Devas, Fredi] BBC Nat Hist Unit, Bristol, Avon, England</t>
  </si>
  <si>
    <t>University of Hamburg; Helmholtz Association; Alfred Wegener Institute, Helmholtz Centre for Polar &amp; Marine Research</t>
  </si>
  <si>
    <t>Herr, H (corresponding author), Inst Marine Ecosyst &amp; Fishery Sci, Grosse Elbstr 133, D-22767 Hamburg, Germany.</t>
  </si>
  <si>
    <t>Herr, Helena/0000-0002-5028-2419; Viquerat, Sacha/0000-0002-2519-7319</t>
  </si>
  <si>
    <t>German Research Foundation (DFG) [SPP 1158, HE 5696/3-1]; Southern Ocean Research Partnership (IWC-SORP); Antarctic Wildlife Research Fund</t>
  </si>
  <si>
    <t>German Research Foundation (DFG)(German Research Foundation (DFG)); Southern Ocean Research Partnership (IWC-SORP); Antarctic Wildlife Research Fund</t>
  </si>
  <si>
    <t>This work was supported by the German Research Foundation (DFG) in the framework of the priority program Antarctic Research with comparative investigations in Arctic ice areas SPP 1158 by grant HE 5696/3-1, by the Southern Ocean Research Partnership (IWC-SORP), and by the Antarctic Wildlife Research Fund.</t>
  </si>
  <si>
    <t>10.1111/mms.12966</t>
  </si>
  <si>
    <t>WOS:000840100000001</t>
  </si>
  <si>
    <t>Kristan, AK; Maiti, K; McMahon, KW; Dance, MA; Polito, MJ</t>
  </si>
  <si>
    <t>Kristan, Allyson K.; Maiti, Kanchan; McMahon, Kelton W.; Dance, Michael A.; Polito, Michael J.</t>
  </si>
  <si>
    <t>Biological and geochemical proxies in sediment cores reveal shifts in marine predator population dynamics relative to historic anthropogenic exploitation and recent climate change at South Georgia Island sub-Antarctic</t>
  </si>
  <si>
    <t>Antarctic fur seal; Climate change; Glacial retreat; King penguin; Paleoecology; Stable isotopes</t>
  </si>
  <si>
    <t>ROSS SEA REGION; ARCTOCEPHALUS-GAZELLA; PENGUIN POPULATIONS; FUR SEALS; RECORD; DISTRIBUTIONS; OCEAN; KRILL; VARIABILITY; CARBON</t>
  </si>
  <si>
    <t>Historical climate change and human exploitation are thought to have played important roles in shaping population dynamics of sub-Antarctic marine predators, such as king penguins (Aptenodytes patagonicus) and Antarctic fur seals (Arctocephalus gazelle). For example, Antarctic fur seals on the sub-Antarctic South Georgia Island were nearly hunted to extinction by humans before the early 1900s. However, records of occupation history pre- and post-anthropogenic stress are often sporadic and challenging to interpret. In this study, we investigated paleoecological proxies in sediment cores from South Georgia Island to examine past marine predator population dynamics in the face of climate change and exploitation pressure. Sediment cores representing 1854 CE to present were collected from two sites on South Georgia Island in the South Atlantic and analyzed for geochemical (total carbon, total nitrogen, delta C-13 and delta N-15 values) and biological (e.g., seal hairs, penguin feathers) proxies. Proxies in both cores indicated the onset of the recovery of penguin and fur seal populations in the early to mid-1900s, following the cessation of hunting. Additionally, our results suggest marked increases in both penguin and seal populations beginning around 1950 CE. Between the 1950s and 2019, 97% of South Georgia Island's glaciers retreated associated with recent climatic warming. This warming increased the availability of local breeding areas for king penguins, which likely explains the population rise during that time. This study deepens our understanding of the response of sub-Antarctic marine predator populations to past climate change and human exploitation, which may aid in predicting future ecosystem responses to environmental disturbance.</t>
  </si>
  <si>
    <t>[Kristan, Allyson K.; Maiti, Kanchan; Dance, Michael A.; Polito, Michael J.] Louisiana State Univ, Dept Oceanog &amp; Coastal Sci, Baton Rouge, LA 70803 USA; [McMahon, Kelton W.] Univ Rhode Isl, Grad Sch Oceanog, Narragansett, RI 02882 USA</t>
  </si>
  <si>
    <t>Louisiana State University System; Louisiana State University; University of Rhode Island</t>
  </si>
  <si>
    <t>Kristan, AK (corresponding author), Louisiana State Univ, Dept Oceanog &amp; Coastal Sci, Baton Rouge, LA 70803 USA.</t>
  </si>
  <si>
    <t>ally.kristan@outlook.com</t>
  </si>
  <si>
    <t>Polito, Michael/G-9118-2012; Maiti, Kanchan/E-1936-2013</t>
  </si>
  <si>
    <t>Polito, Michael/0000-0001-8639-4431; McMahon, Kelton/0000-0002-9648-4614; Kristan, Allyson/0000-0003-2717-146X</t>
  </si>
  <si>
    <t>Office of Polar Programs (OPP) National Science Foundation [1443585, 1826712]; Directorate For Geosciences; Office of Polar Programs (OPP) [1826712, 1443585] Funding Source: National Science Foundation</t>
  </si>
  <si>
    <t>Office of Polar Programs (OPP) National Science Foundation; Directorate For Geosciences; Office of Polar Programs (OPP)(National Science Foundation (NSF)NSF - Directorate for Geosciences (GEO))</t>
  </si>
  <si>
    <t>This research was funded by the Office of Polar Programs (OPP) National Science Foundation Grant Nos. 1443585 and 1826712. M. J. Polito and K. W. McMahon.</t>
  </si>
  <si>
    <t>10.1007/s00300-022-03067-8</t>
  </si>
  <si>
    <t>WOS:000840281400001</t>
  </si>
  <si>
    <t>Zhao, ZJ; Holbrook, NJ; Oliver, ECJ</t>
  </si>
  <si>
    <t>Zhao, Zijie; Holbrook, Neil J. J.; Oliver, Eric C. J.</t>
  </si>
  <si>
    <t>An eddy pathway to marine heatwave predictability off eastern Tasmania</t>
  </si>
  <si>
    <t>FRONTIERS IN CLIMATE</t>
  </si>
  <si>
    <t>marine heatwaves; self-organizing maps (SOMs); mesoscale eddies; Tasmania; statistical modeling; forecasting</t>
  </si>
  <si>
    <t>AUSTRALIAN CURRENT; WESTERN-AUSTRALIA; SHELF CIRCULATION; PROJECTED CHANGES; NEURAL-NETWORK; CLIMATE-CHANGE; EDDIES; IDENTIFICATION; SYSTEM; VARIABILITY</t>
  </si>
  <si>
    <t>A systematic analysis of historical and modeled marine heatwaves (MHWs) o eastern Tasmania has been performed based on satellite observations and a high-resolution regional ocean model simulation, over the period from 1994-2016. Our analysis suggests that the distribution of large and intense mesoscale warm core eddies o northeast Tasmania contribute to the development ofMHWs further south associated with changes in the circulation and transports. Importantly, we find that eddy distributions in the Tasman Sea can act as predictors of MHWs o eastern Tasmania. We used self-organizing maps to distinguish sea surface height anomalies (SSHA) and MHWs into di erent, but connected, patterns. We found the statistical model performs best (precision similar to 0.75) in the southern domain o eastern Tasmania. Oceanic mean states and heat budget analysis for true positive and false negative marine heatwave events revealed that the model generally captures ocean advection dominated MHWs. Using SSHA as predictor variable, we find that our statisticalmodel can forecastMHWs o southeast Tasmania up to 7 days in advance above random chance. This study provides improved understanding of the role of circulation anomalies associated with oceanic mesoscale eddies on MHWs o eastern Tasmania and highlights that individual MHWs in this region are potentially predictable up to 7 days in advance using mesoscale eddy-tracking methods.</t>
  </si>
  <si>
    <t>[Zhao, Zijie] Univ Melbourne, Sch Earth Sci, Melbourne, Vic, Australia; [Zhao, Zijie] Univ Melbourne, Ctr Excellence Climate Extremes, Australian Res Council, Melbourne, Vic, Australia; [Holbrook, Neil J. J.] Univ Tasmania, Inst Marine &amp; Antarctic Studies, Hobart, Tas, Australia; [Holbrook, Neil J. J.; Oliver, Eric C. J.] Univ Tasmania, Ctr Excellence Climate Extremes, Australian Res Council, Hobart, Tas, Australia; [Oliver, Eric C. J.] Dalhousie Univ, Dept Oceanog, Halifax, NS, Canada</t>
  </si>
  <si>
    <t>University of Melbourne; Melbourne Bioinformatics; University of Melbourne; Melbourne Genomics Health Alliance; University of Tasmania; University of Tasmania; Dalhousie University</t>
  </si>
  <si>
    <t>Zhao, ZJ (corresponding author), Univ Melbourne, Sch Earth Sci, Melbourne, Vic, Australia.;Zhao, ZJ (corresponding author), Univ Melbourne, Ctr Excellence Climate Extremes, Australian Res Council, Melbourne, Vic, Australia.</t>
  </si>
  <si>
    <t>zijizhao@student.unimelb.edu.au</t>
  </si>
  <si>
    <t>Oliver, Eric/G-5118-2014; Holbrook, Neil/M-7544-2013</t>
  </si>
  <si>
    <t>Oliver, Eric/0000-0002-4006-2826; Holbrook, Neil/0000-0002-3523-6254</t>
  </si>
  <si>
    <t>2624-9553</t>
  </si>
  <si>
    <t>FRONT CLIM</t>
  </si>
  <si>
    <t>Front. Clim.</t>
  </si>
  <si>
    <t>AUG 12</t>
  </si>
  <si>
    <t>10.3389/fclim.2022.907828</t>
  </si>
  <si>
    <t>Environmental Sciences; Environmental Studies</t>
  </si>
  <si>
    <t>K8ZB6</t>
  </si>
  <si>
    <t>WOS:001019254200001</t>
  </si>
  <si>
    <t>Cheng, C; Wang, ZM; Shen, LY; Liu, CY</t>
  </si>
  <si>
    <t>Cheng, Chen; Wang, Zhaomin; Shen, Luyu; Liu, Chengyan</t>
  </si>
  <si>
    <t>Modeling the thermal processes within the ice shelf-ocean boundary current underlain by strong pycnocline underneath a cold-water ice shelf using a 2.5-dimensional vertical slice model</t>
  </si>
  <si>
    <t>Ice shelf; Boundary current; Thermal processes; Stratification; Entrainment; Numerical modeling</t>
  </si>
  <si>
    <t>GROUNDING LINE; MELT RATES; ENTRAINMENT; CIRCULATION; BENEATH; SIMULATION; TRANSPORT; DRIVEN</t>
  </si>
  <si>
    <t>Oceanic melting beneath ice shelves is the main driver of the current mass loss of the Antarctic ice sheet. The resultant meltwater plumes influence the basal melting of ice shelves, and contribute to the development of the unique two-layer stratified ice shelf-ocean boundary currents underlain by warmer, saltier, and stationary source waters. However, knowledge of the dynamics and thermodynamics within these meltwater plumes, controlling the heat available for melting ice, remains outstanding. Here we investigate that important issue by developing a 2.5-dimensional nonhydrostatic vertical slice model with 1.5 m vertical resolution, and conduct the reference run based on a representative Ice Shelf Water (ISW)-High Salinity Shelf Water (HSSW) boundary current beneath the Amery Ice Shelf, East Antarctica. Based on that we identify two dominating vertical thermal processes regulating the local temperature: the turbulent diffusion and the shear instabilities-induced convection (i.e., vertical advection), and carry out a quantitative thermal budget analysis in the framework of plume model, including deriving an analytical expression for the entrainment-induced heat flux. Moreover, after evaluating the entrainment parametrizations, it is suggested that the common assumption of neglecting the velocity at the lower boundary of meltwater plume potentially leads to a considerable deviation from the real entrainment. The sensitivity of the simulated results to model configuration and model resolution are also investigated. The findings in this study imply that we need to improve the model resolution of current ocean cavity models to capture the interfacial processes between lighter-denser waters.</t>
  </si>
  <si>
    <t>[Cheng, Chen; Wang, Zhaomin; Liu, Chengyan] Southern Marine Sci &amp; Engn Guangdong Lab Zhuhai, Zhuhai 519080, Peoples R China; [Wang, Zhaomin] Hohai Univ, Coll Oceanog, Nanjing 210098, Peoples R China; [Shen, Luyu] Nanjing Univ Informat Sci &amp; Technol, Sch Marine Sci, Nanjing 210044, Peoples R China</t>
  </si>
  <si>
    <t>Southern Marine Science &amp; Engineering Guangdong Laboratory; Southern Marine Science &amp; Engineering Guangdong Laboratory (Zhuhai); Hohai University; Nanjing University of Information Science &amp; Technology</t>
  </si>
  <si>
    <t>Cheng, C (corresponding author), Southern Marine Sci &amp; Engn Guangdong Lab Zhuhai, Zhuhai 519080, Peoples R China.</t>
  </si>
  <si>
    <t>chengchen@sml-zhuhai.cn</t>
  </si>
  <si>
    <t>Zhang, xiaohui/KEE-5747-2024; Liu, Chengyan/GQQ-7673-2022; zhang, luyu/JJC-4227-2023; LI, Xiang-Yang/JZE-0275-2024; cheng, cheng/JBR-8359-2023; LI, XIAO/JCE-6169-2023</t>
  </si>
  <si>
    <t>Liu, Chengyan/0000-0001-7411-8069;</t>
  </si>
  <si>
    <t>National Natural Science Foundation of China [41941007]; Natural Science Foundation of Jiangsu Province [BK20191405]; National Natural Science Foun-dation of China [41876220]; Innovation Group Project of Southern Marine Science and Engineering Guangdong Laboratory (Zhuhai) [311021008]</t>
  </si>
  <si>
    <t>National Natural Science Foundation of China(National Natural Science Foundation of China (NSFC)); Natural Science Foundation of Jiangsu Province(Natural Science Foundation of Jiangsu Province); National Natural Science Foun-dation of China(National Natural Science Foundation of China (NSFC)); Innovation Group Project of Southern Marine Science and Engineering Guangdong Laboratory (Zhuhai)</t>
  </si>
  <si>
    <t>Acknowledgments We would like to thank Xylar S. Asay-Davis and one anonymous reviewer for their thorough review and helpful commentaries and im-provements. This work was supported by the National Natural Science Foundation of China (41941007) , the Natural Science Foundation of Jiangsu Province (BK20191405) , the National Natural Science Foun-dation of China (41876220) , and the Project supported by Innovation Group Project of Southern Marine Science and Engineering Guangdong Laboratory (Zhuhai) (311021008) .</t>
  </si>
  <si>
    <t>10.1016/j.ocemod.2022.102079</t>
  </si>
  <si>
    <t>3Z8NO</t>
  </si>
  <si>
    <t>WOS:000844672000001</t>
  </si>
  <si>
    <t>Kaiser, P; Hagen, W; Bode-Dalby, M; Auel, H</t>
  </si>
  <si>
    <t>Kaiser, Patricia; Hagen, Wilhelm; Bode-Dalby, Maya; Auel, Holger</t>
  </si>
  <si>
    <t>Tolerant but facing increased competition: Arctic zooplankton versus Atlantic invaders in a warming ocean</t>
  </si>
  <si>
    <t>Calanus; respiration; aerobic metabolism; cold adaptation; climate change; Fram Strait; Atlantification; Borealization</t>
  </si>
  <si>
    <t>CALANUS-GLACIALIS; EGG-PRODUCTION; THERMAL TOLERANCE; ANTARCTIC FISH; NORTH-ATLANTIC; WATER TEMPERATURE; DISKO BAY; FINMARCHICUS; ICE; COPEPODS</t>
  </si>
  <si>
    <t>The Arctic Ocean is rapidly changing. Air temperature is rising two to four times faster in the Arctic than the global average, with dramatic consequences for the ecosystems. Polar zooplankton species have to cope with those increasing temperatures, whilst simultaneously facing increasing competition by boreal-Atlantic sister species advected into the Arctic Ocean via a stronger Atlantic inflow. To assess the sensitivity of Arctic and Atlantic zooplankton to rising temperatures, respiration rates of dominant Arctic species (Calanus hyperboreus, Calanus glacialis, Paraeuchaeta glacialis, Themisto libellula) and their co-occurring Atlantic congeners (Calanus finmarchicus, Paraeuchaeta norvegica, Themisto abyssorum) were measured at ambient temperatures and simulated conditions of ocean warming from 0 to 10 degrees C during three expeditions with RV Polarstern to the Arctic Fram Strait. Arctic zooplankton showed only slowly increasing respiration rates with increasing temperatures, also indicated by low Q(10) ratios. In contrast, boreal-Atlantic representatives responded to higher temperatures by a rapid and steeper increase in their respiration rates (higher Q(10)), suggesting higher metabolic activity. These results imply that Arctic species are physiologically more tolerant to ocean warming than expected but might be outcompeted by their Atlantic congeners beyond a certain temperature threshold in areas of strong distribution overlap. Thus, the 'Atlantification' of the Arctic zooplankton community seems to be driven rather by ecological interactions than by physiological limitations. Changes in zooplankton community composition and biodiversity will have major consequences for trophodynamics and energy flux in Arctic ecosystems, since polar species tend to be larger than their southern counterparts and have a higher lipid content, providing more energy-rich food for higher trophic levels.</t>
  </si>
  <si>
    <t>[Kaiser, Patricia; Hagen, Wilhelm; Bode-Dalby, Maya; Auel, Holger] Univ Bremen, BreMarE Bremen Marine Ecol Marine Zool, Bremen, Germany</t>
  </si>
  <si>
    <t>University of Bremen</t>
  </si>
  <si>
    <t>Kaiser, P (corresponding author), Univ Bremen, BreMarE Bremen Marine Ecol Marine Zool, Bremen, Germany.</t>
  </si>
  <si>
    <t>patricia.kaiser@uni-bremen.de</t>
  </si>
  <si>
    <t>Dalby, Maya/0000-0001-8002-0746; Kaiser, Patricia/0000-0002-9517-3515</t>
  </si>
  <si>
    <t>[AWI-PS100_07]; [AWI_PS107_10]; [AWI_PS121_05]</t>
  </si>
  <si>
    <t>; ;</t>
  </si>
  <si>
    <t>Funding Ship time was provided under grants AWI-PS100_07, AWI_PS107_10 and AWI_PS121_05, respectively.</t>
  </si>
  <si>
    <t>10.3389/fmars.2022.908638</t>
  </si>
  <si>
    <t>4F1FM</t>
  </si>
  <si>
    <t>WOS:000848260600001</t>
  </si>
  <si>
    <t>Bollen, M; Riesselman, CR; Ohneiser, C; Albot, O; McKay, R; Lee, MK; Yoo, KC; Kim, S; Lee, JI; Levy, R</t>
  </si>
  <si>
    <t>Bollen, Michael; Riesselman, Christina R.; Ohneiser, Christian; Albot, Olga; McKay, Robert; Lee, Min Kyung; Yoo, Kyu-Cheul; Kim, Sunghan; Lee, Jae Il; Levy, Richard</t>
  </si>
  <si>
    <t>Pleistocene oceanographic variability in the Ross Sea: A multiproxy approach to age model development and paleoenvironmental analyses</t>
  </si>
  <si>
    <t>Ross Sea; Relative paleointensity; Diatom; Reworking; Paleoceanography; Sedimentology</t>
  </si>
  <si>
    <t>ANTARCTIC ICE-SHEET; RELATIVE GEOMAGNETIC PALEOINTENSITY; CIRCUMPOLAR DEEP-WATER; SOUTHERN-OCEAN; SEDIMENTARY RECORDS; CONTINENTAL RISE; WEST; ATLANTIC; PENINSULA; COLLAPSE</t>
  </si>
  <si>
    <t>Understanding how ocean circulation has varied around Antarctica in the past is vital because significant volumes of ice are grounded below sea level, and therefore ice sheet variations are strongly coupled with oceanographic variability at the continental shelf margin. This study investigates the 11.75 m sediment core RS15-LC42, retrieved from the Central Basin of the Ross Sea. A magneto-biostratigraphic age model was constructed from a magnetic reversal stratigraphy, diatom biostratigraphy, and the relative paleointensity of the geomagnetic field. The core spans the last 1.34 Myr with a mean sedimentation rate of 0.88 cm/kyr, providing insights into paleoceanographic variability in the Ross Sea throughout the Pleistocene. Winnowed deposits enriched in iceberg rafted debris were formed due to a combination of enhanced glacial calving during glacial retreats, and export of Dense Shelf Water during interglacial and weak glacial periods when the ice-sheet was not grounded in the outer Joides Trough. During periods where the ice sheet grounded on the outer Ross Sea continental shelf, laminated sediments rich in reworked diatoms are interpreted to have formed due to glacial scouring and transport of shelf sediments to the mouth of the Joides Trough, where slope failures and meltwater pulses remobilized this material downslope to the Central Basin. Dense shelf water formation is inferred to be most intense during interglacial periods, with reduced export from the Joides Trough during ice sheet advances. The study does not find any evidence for prolonged ice-sheet grounding in the outer Ross Sea since similar to 0.3 Ma, however, we conclude that the grounding line reached the outer shelf frequently between 0.3 and 1.2 Ma, supporting higher Antarctic ice volumes during glacial periods in this interval.</t>
  </si>
  <si>
    <t>[Bollen, Michael; Riesselman, Christina R.; Ohneiser, Christian] Univ Otago, Dept Geol, Dunedin 9016, New Zealand; [Bollen, Michael; Riesselman, Christina R.] Univ Otago, Dept Marine Sci, Dunedin 9016, New Zealand; [Bollen, Michael] Univ Lausanne, Inst Earth Sci, CH-1010 Lausanne, Switzerland; [Albot, Olga; McKay, Robert] Victoria Univ Wellington, Antarctic Res Ctr, Wellington 6140, New Zealand; [Lee, Min Kyung; Yoo, Kyu-Cheul; Kim, Sunghan; Lee, Jae Il] Korea Polar Res Inst, Div Glacial Environm Res, Incheon 21990, South Korea; [Levy, Richard] GNS Sci, Lower Hutt 5040, New Zealand</t>
  </si>
  <si>
    <t>University of Otago; University of Otago; University of Lausanne; Victoria University Wellington; Korea Polar Research Institute (KOPRI); GNS Science - New Zealand</t>
  </si>
  <si>
    <t>Bollen, M (corresponding author), Univ Lausanne, Inst Earth Sci, CH-1010 Lausanne, Switzerland.</t>
  </si>
  <si>
    <t>michael.bollen@unil.ch</t>
  </si>
  <si>
    <t>Riesselman, Christina R/H-5037-2012</t>
  </si>
  <si>
    <t>Korea Polar Research Institute - Ministry of Oceans and Fisheries (KOPRI) [PE22090]; New Zealand Ministry of Business, Innovation and Employment (MBIE) Past Antarctic Climate and Future Implications Programme [C05X1001]; MBIE Antarctic Science Platform [ANTA1801]; New Zealand Post Antarctica New Zealand MSc scholarship; University of Otago Masters scholarship; Royal Society Te Aparangi Marsden Fund [MFP-VUW1808]; University of Otago Polar Environments Research Theme (PERT); New Zealand Ministry of Business, Innovation &amp; Employment (MBIE) [ANTA1801] Funding Source: New Zealand Ministry of Business, Innovation &amp; Employment (MBIE)</t>
  </si>
  <si>
    <t>Korea Polar Research Institute - Ministry of Oceans and Fisheries (KOPRI); New Zealand Ministry of Business, Innovation and Employment (MBIE) Past Antarctic Climate and Future Implications Programme(New Zealand Ministry of Business, Innovation and Employment (MBIE)); MBIE Antarctic Science Platform(New Zealand Ministry of Business, Innovation and Employment (MBIE)); New Zealand Post Antarctica New Zealand MSc scholarship; University of Otago Masters scholarship; Royal Society Te Aparangi Marsden Fund(Royal Society of New Zealand); University of Otago Polar Environments Research Theme (PERT); New Zealand Ministry of Business, Innovation &amp; Employment (MBIE)(New Zealand Ministry of Business, Innovation and Employment (MBIE))</t>
  </si>
  <si>
    <t>We acknowledge the technical staff and shipboard scientists of the R/V Araon on the ANA05B expedition. This work was supported by Korea Polar Research Institute grant funded by the Ministry of Oceans and Fisheries (KOPRI, PE22090), the New Zealand Ministry of Business, Innovation and Employment (MBIE) Past Antarctic Climate and Future Implications Programme (contract C05X1001), and the MBIE Antarctic Science Platform (contract ANTA1801). MB was supported by a New Zealand Post Antarctica New Zealand MSc scholarship and a University of Otago Masters scholarship. RM was funded by the Royal Society Te Aparangi Marsden Fund award MFP-VUW1808. Additional support for this work was provided by the University of Otago Polar Environments Research Theme (PERT).</t>
  </si>
  <si>
    <t>10.1016/j.gloplacha.2022.103901</t>
  </si>
  <si>
    <t>3Y5BL</t>
  </si>
  <si>
    <t>WOS:000843740300001</t>
  </si>
  <si>
    <t>Flexas, MM; Thompson, AF; Schodlok, MP; Zhang, H; Speer, K</t>
  </si>
  <si>
    <t>Flexas, M. Mar; Thompson, Andrew F.; Schodlok, Michael P.; Zhang, Hong; Speer, Kevin</t>
  </si>
  <si>
    <t>Antarctic Peninsula warming triggers enhanced basal melt rates throughout West Antarctica</t>
  </si>
  <si>
    <t>PINE ISLAND GLACIER; ICE-SHELF MELT; SOUTHERN-OCEAN; SEA-ICE; CIRCULATION; MELTWATER; AMUNDSEN; SENSITIVITY; IMPACT; WATER</t>
  </si>
  <si>
    <t>The observed acceleration of ice shelf basal melt rates throughout West Antarctica could destabilize continental ice sheets and markedly increase global sea level. Explanations for decadal-scale melt intensification have focused on processes local to shelf seas surrounding the ice shelves. A suite of process-based model experiments, guided by CMIP6 forcing scenarios, show that freshwater forcing from the Antarctic Peninsula, propagated between marginal seas by a coastal boundary current, causes enhanced melting throughout West Antarctica. The freshwater anomaly stratifies the ocean in front of the ice shelves and modifies vertical and lateral heat fluxes, enhancing heat transport into ice shelf cavities and increasing basal melt. Increased glacial runoff at the Antarctic Peninsula, one of the first signatures of a warming climate in Antarctica, emerges as a key trigger for increased ice shelf melt rates in the Amundsen and Bellingshausen Seas.</t>
  </si>
  <si>
    <t>[Flexas, M. Mar; Thompson, Andrew F.] CALTECH, Environm Sci &amp; Engn, Pasadena, CA 91125 USA; [Schodlok, Michael P.; Zhang, Hong] CALTECH, Jet Prop Lab, 4800 Oak Grove Dr, Pasadena, CA 91109 USA; [Speer, Kevin] Florida State Univ, Geophys Fluid Dynam Inst, Tallahassee, FL 32306 USA; [Speer, Kevin] Florida State Univ, Dept Sci Comp, Tallahassee, FL 32306 USA</t>
  </si>
  <si>
    <t>California Institute of Technology; California Institute of Technology; National Aeronautics &amp; Space Administration (NASA); NASA Jet Propulsion Laboratory (JPL); State University System of Florida; Florida State University; State University System of Florida; Florida State University</t>
  </si>
  <si>
    <t>Flexas, MM; Thompson, AF (corresponding author), CALTECH, Environm Sci &amp; Engn, Pasadena, CA 91125 USA.</t>
  </si>
  <si>
    <t>marf@caltech.edu; andrewt@caltech.edu</t>
  </si>
  <si>
    <t>Flexas, Mar/0000-0002-0617-3004; Schodlok, Michael/0000-0002-2479-2079</t>
  </si>
  <si>
    <t>NSF [NSF OPP-1644172, OPP-1643679, OCE-1658479]; National Aeronautics and Space Administration Physical Oceanography program and Cryospheric Sciences program; Internal Research and Technology Development program; Jet Propulsion Laboratory, California Institute of Technology</t>
  </si>
  <si>
    <t>NSF(National Science Foundation (NSF)); National Aeronautics and Space Administration Physical Oceanography program and Cryospheric Sciences program; Internal Research and Technology Development program; Jet Propulsion Laboratory, California Institute of Technology</t>
  </si>
  <si>
    <t>The work is funded by NSF grants NSF OPP-1644172 (M.M.F. and A.F.T.), OPP-1643679 (K.S.), and OCE-1658479 (K.S.); National Aeronautics and Space Administration Physical Oceanography program and Cryospheric Sciences program (M.M.F., M.P.S., H.Z., and A.F.T.); and Internal Research and Technology Development program (Earth 2050 project), Jet Propulsion Laboratory, California Institute of Technology (M.M.F. and A.F.T.).</t>
  </si>
  <si>
    <t>eabj9134</t>
  </si>
  <si>
    <t>10.1126/sciadv.abj9134</t>
  </si>
  <si>
    <t>3V2KZ</t>
  </si>
  <si>
    <t>Green Published, Green Accepted</t>
  </si>
  <si>
    <t>WOS:000841491100002</t>
  </si>
  <si>
    <t>Thurnherr, I; Aemisegger, F</t>
  </si>
  <si>
    <t>Thurnherr, Iris; Aemisegger, Franziska</t>
  </si>
  <si>
    <t>Disentangling the impact of air-sea interaction and boundary layer cloud formation on stable water isotope signals in the warm sector of a Southern Ocean cyclone</t>
  </si>
  <si>
    <t>DEUTERIUM EXCESS; EXTRATROPICAL CYCLONES; MIXING PROCESSES; PART I; VAPOR; PRECIPITATION; FRACTIONATION; MODEL; IDENTIFICATION; CLIMATOLOGY</t>
  </si>
  <si>
    <t>Stable water isotopes in marine boundary layer water vapour are strongly influenced by the strength of air-sea fluxes. Air-sea fluxes in the extratropics are modulated by the large-scale atmospheric flow, for instance by the advection of warm and moist air masses in the warm sector of extratropical cyclones. A distinct isotopic composition of the water vapour in the latter environment has been observed over the Southern Ocean during the 2016/2017 Antarctic Circumnavigation Expedition (ACE). Most prominently, the secondary isotope variable deuterium excess (d =delta H-2-8 center dot delta O-18) shows negative values in the cyclones' warm sector. In this study, three mechanisms are proposed and evaluated to explain these observed negative d values. We present three single-process air parcel models, which simulate the evolution of delta H-2, delta O-18, d and specific humidity in an air parcel induced by decreasing ocean evaporation, dew deposition and upstream cloud formation. Simulations with the isotope-enabled numerical weather prediction model COSMOiso, which have previously been validated using observations from the ACE campaign, are used to (i) validate the air parcel models, (ii) quantify the relevance of the three processes for stable water isotopes in the warm sector of the investigated extratropical cyclone and (iii) study the extent of non-linear interactions between the different processes. This analysis shows that we are able to simulate the evolution of d during the air parcel's transport in a realistic way with the mechanistic approach of using single-process air parcel models. Most importantly, we find that decreasing ocean evaporation and dew deposition lead to the strongest d decrease in near-surface water vapour in the warm sector and that upstream cloud formation plays a minor role. By analysing COSMOiso backward trajectories we show that the persistent low d values observed in the warm sector of extratropical cyclones are not a result of material conservation of low d. Instead, the latter Eulerian feature is sustained by the continuous production of low d values due to air-sea interactions in new air parcels entering the warm sector. These results improve our understanding of the relative importance of air-sea interaction and boundary layer cloud formation on the stable water isotope variability of near-surface marine boundary layer water vapour. To elucidate the role of hydrometeor-vapour interactions for the stable water isotope variability in the upper parts of the marine boundary layer, future studies should focus on high-resolution vertical isotope profiles.</t>
  </si>
  <si>
    <t>[Thurnherr, Iris; Aemisegger, Franziska] Swiss Fed Inst Technol, Inst Atmospher &amp; Climate Sci, Zurich, Switzerland; [Thurnherr, Iris] Univ Bergen, Geophys Inst, Bergen, Norway; [Thurnherr, Iris] Bjerknes Ctr Climate Res, Bergen, Norway</t>
  </si>
  <si>
    <t>Swiss Federal Institutes of Technology Domain; ETH Zurich; University of Bergen; Bjerknes Centre for Climate Research</t>
  </si>
  <si>
    <t>Thurnherr, I (corresponding author), Swiss Fed Inst Technol, Inst Atmospher &amp; Climate Sci, Zurich, Switzerland.;Thurnherr, I (corresponding author), Univ Bergen, Geophys Inst, Bergen, Norway.;Thurnherr, I (corresponding author), Bjerknes Ctr Climate Res, Bergen, Norway.</t>
  </si>
  <si>
    <t>iris.thurnhen@uib.no</t>
  </si>
  <si>
    <t>; Aemisegger, Franziska/G-5340-2018</t>
  </si>
  <si>
    <t>Thurnherr, Iris/0000-0003-3647-0373; Aemisegger, Franziska/0000-0002-4022-9825</t>
  </si>
  <si>
    <t>Swiss Polar Institute; Ferring Pharmaceuticals; Fondation BNP Paribas</t>
  </si>
  <si>
    <t>Swiss Polar Institute; Ferring Pharmaceuticals(Ferring Pharmaceuticals); Fondation BNP Paribas</t>
  </si>
  <si>
    <t>This research has been supported by the Swiss Polar Institute (GLACE project DAWATEC and ACE project 11), Ferring Pharmaceuticals (ACE project 11) and the Fondation BNP Paribas (ACE project 11).</t>
  </si>
  <si>
    <t>10.5194/acp-22-10353-2022</t>
  </si>
  <si>
    <t>3S5AX</t>
  </si>
  <si>
    <t>WOS:000839609800001</t>
  </si>
  <si>
    <t>Fang, S; Li, TT; Zhang, PY; Liu, CL; Cong, BL; Liu, SH</t>
  </si>
  <si>
    <t>Fang, Shuo; Li, Tingting; Zhang, Pengying; Liu, Chenlin; Cong, Bailin; Liu, Shenghao</t>
  </si>
  <si>
    <t>Integrated transcriptome and metabolome analyses reveal the adaptation of Antarctic moss Pohlia nutans to drought stress</t>
  </si>
  <si>
    <t>abiotic stress; flavonoids; metabolome; transcriptome; abscisic acid; bryophytes</t>
  </si>
  <si>
    <t>COA SYNTHASE GENE; PROFILING ANALYSIS; TOLERANCE; PLANTS; ACID; BIOSYNTHESIS; EXPRESSION; PENINSULA; IMPACTS; TRAITS</t>
  </si>
  <si>
    <t>Most regions of the Antarctic continent are experiencing increased dryness due to global climate change. Mosses and lichens are the dominant vegetation of the ice-free areas of Antarctica. However, the molecular mechanisms of these Antarctic plants adapting to drought stress are less documented. Here, transcriptome and metabolome analyses were employed to reveal the responses of an Antarctic moss (Pohlia nutans subsp. LIU) to drought stress. We found that drought stress made the gametophytes turn yellow and curled, and enhanced the contents of malondialdehyde and proline, and the activities of antioxidant enzymes. Totally, 2,451 differentially expressed genes (DEGs) were uncovered under drought treatment. The representative DEGs are mainly involved in ROS-scavenging and detoxification, flavonoid metabolism pathway, plant hormone signaling pathway, lipids metabolism pathway, transcription factors and signal-related genes. Meanwhile, a total of 354 differentially changed metabolites (DCMs) were detected in the metabolome analysis. Flavonoids and lipids were the most abundant metabolites and they accounted for 41.53% of the significantly changed metabolites. In addition, integrated transcriptome and metabolome analyses revealed co-expression patterns of flavonoid and long-chain fatty acid biosynthesis genes and their metabolites. Finally, qPCR analysis demonstrated that the expression levels of stress-related genes were significantly increased. These genes included those involved in ABA signaling pathway (NCED3, PP2C, PYL, and SnAK2), jasmonate signaling pathway (AOC, AOS, JAZ, and OPR), flavonoid pathway (CHS, F3',5'H, FLS, FNS, and UFGT), antioxidant and detoxifying functions (POD, GSH-Px, Prx and DTX), and transcription factors (ERF and DREB). In summary, we speculated that P. nutans were highly dependent on ABA and jasmonate signaling pathways, ROS scavenging, flavonoids and fatty acid metabolism in response to drought stress. These findings present an important knowledge for assessing the impact of coastal climate change on Antarctic basal plants.</t>
  </si>
  <si>
    <t>[Fang, Shuo; Li, Tingting; Liu, Chenlin; Cong, Bailin; Liu, Shenghao] Minist Nat Resources, Inst Oceanog 1, Key Lab Marine Ecoenvironm Sci &amp; Technol, Qingdao, Peoples R China; [Zhang, Pengying] Shandong Univ, Natl Glycoengn Res Ctr, Sch Life Sci, Qingdao, Peoples R China; [Cong, Bailin; Liu, Shenghao] Fuzhou Univ, Sch Adv Mfg, Jinjiang, Peoples R China</t>
  </si>
  <si>
    <t>Ministry of Natural Resources of the People's Republic of China; First Institute of Oceanography, Ministry of Natural Resources; Shandong University; Fuzhou University</t>
  </si>
  <si>
    <t>Liu, SH (corresponding author), Minist Nat Resources, Inst Oceanog 1, Key Lab Marine Ecoenvironm Sci &amp; Technol, Qingdao, Peoples R China.;Liu, SH (corresponding author), Fuzhou Univ, Sch Adv Mfg, Jinjiang, Peoples R China.</t>
  </si>
  <si>
    <t>shliu@fio.org.cn</t>
  </si>
  <si>
    <t>Li, Tingting/HKE-0812-2023; Ting, Zhang/KGM-5479-2024; zhang, ting/IYT-0642-2023; L, J/JEF-9564-2023; Liu, Shenghao/ISU-3076-2023</t>
  </si>
  <si>
    <t>National Natural Science Foundation of China; Central Public-Interest Scientific Institution Basal Research Foundation of China; [41976225]; [GY2019Q05]</t>
  </si>
  <si>
    <t>National Natural Science Foundation of China(National Natural Science Foundation of China (NSFC)); Central Public-Interest Scientific Institution Basal Research Foundation of China; ;</t>
  </si>
  <si>
    <t>Funding This work was supported by the National Natural Science Foundation of China (41976225) and Central Public-Interest Scientific Institution Basal Research Foundation of China (GY2019Q05).</t>
  </si>
  <si>
    <t>AUG 11</t>
  </si>
  <si>
    <t>10.3389/fpls.2022.924162</t>
  </si>
  <si>
    <t>6Q1OS</t>
  </si>
  <si>
    <t>WOS:000891389200001</t>
  </si>
  <si>
    <t>Dong, C; Xiong, SY; Yang, RQ; Pei, ZG; Li, YM; Zhang, QH; Jiang, GB</t>
  </si>
  <si>
    <t>Dong, Cheng; Xiong, Siyuan; Yang, Ruiqiang; Pei, Zhiguo; Li, Yingming; Zhang, Qinghua; Jiang, Guibin</t>
  </si>
  <si>
    <t>Polychlorinated naphthalenes (PCNs) in soils and plants from Svalbard, Arctic: Levels, distribution, and potential sources</t>
  </si>
  <si>
    <t>Polychlorinated naphthalenes; Arctic; Soils; Plants</t>
  </si>
  <si>
    <t>PERSISTENT ORGANIC POLLUTANTS; TIBETAN PLATEAU; AIR; POPS; BIPHENYLS; PROFILES; TRENDS; PCBS; BIOMONITORS; VEGETATION</t>
  </si>
  <si>
    <t>As persistent organic pollutants (POPs) newly banned by the Stockholm Convention, polychlorinated naphthalenes (PCNs) have been widely detected in various environmental matrices. To date, however, the occurrence of PCNs in soils and plants in the Arctic environment has not been reported. In the current study, the concentrations and distribution of PCNs in Arctic soils and plants from Svalbard were analyzed. Total PCN concentrations ranged from 5.3 to 2550 pg/g dry weight (dw) in soils and 77 to 870 pg/g dw in plants. The higher levels of PCNs near the research stations and Longyearbyen town highlighted the significant influence of local anthropogenic emission sources. The composition of PCNs in Arctic soils and plants was dominated by lower chlorinated homologues, especially mono- to trichlorinated naphthalenes, which accounted for over 80 % of total PCNs in the soil and plant samples. The correlation analysis indicated the potential influences of total organic carbon (TOC) content on PCN concentrations in the soil, and octanolair partition coefficients (KOA) or octanol-water partition coefficients (KOW) on PCN accumulation from soils to plants. To the best of our knowledge, this is the first study to report on the concentration and distribution of PCNs in Arctic soils and plants.</t>
  </si>
  <si>
    <t>[Li, Yingming] Chinese Acad Sci, Res Ctr Ecoenvironm Sci, State Key Lab Environm Chem &amp; Ecotoxicol, Beijing 100085, Peoples R China; China Univ Chinese Acad Sci, Beijing 100049, Peoples R China</t>
  </si>
  <si>
    <t>Chinese Academy of Sciences; Research Center for Eco-Environmental Sciences (RCEES); Chinese Academy of Sciences; University of Chinese Academy of Sciences, CAS</t>
  </si>
  <si>
    <t>Yao, Chen/JVD-6226-2023; ren, jing/JXN-8411-2024; cheng, dong/KHD-3668-2024; Zhang, Qinghua/L-7652-2019</t>
  </si>
  <si>
    <t>Zhang, Qinghua/0000-0001-9086-7000</t>
  </si>
  <si>
    <t>National Key Research and Development Program of China [2020YFA0608503]; National Natural Science Foundation of China [22076215, 22193052]; Eco-Environmental Excellent Innovation Projects of the Research Center for Eco-Environmental Sciences, Chinese Academy of Sciences [RCEES-EEI-2019 - 01]</t>
  </si>
  <si>
    <t>National Key Research and Development Program of China; National Natural Science Foundation of China(National Natural Science Foundation of China (NSFC)); Eco-Environmental Excellent Innovation Projects of the Research Center for Eco-Environmental Sciences, Chinese Academy of Sciences</t>
  </si>
  <si>
    <t>This study was supported by the National Key Research and Development Program of China (2020YFA0608503) , the National Natural Science Foundation of China (22076215 and 22193052) , and the Eco-Environmental Excellent Innovation Projects of the Research Center for Eco-Environmental Sciences, Chinese Academy of Sciences (RCEES-EEI-2019 - 01) . We also thank the Chinese Arctic and Antarctic Administration and Polar Research Institute of China for their support in arranging the Chinese Arctic Expeditions.</t>
  </si>
  <si>
    <t>NOV 25</t>
  </si>
  <si>
    <t>10.1016/j.scitotenv.2022.157883</t>
  </si>
  <si>
    <t>6A4GR</t>
  </si>
  <si>
    <t>WOS:000880615600001</t>
  </si>
  <si>
    <t>Cherel, Y; Carroueé, A</t>
  </si>
  <si>
    <t>Cherel, Yves; Carrouee, Antoine</t>
  </si>
  <si>
    <t>Assessing marine ecosystem complexity: isotopic integration of the trophic structure of seabird communities from the Southern Ocean</t>
  </si>
  <si>
    <t>Habitat; Trophic position; Body size; Penguins; Procellariiformes; Stable isotopes; Antarctica</t>
  </si>
  <si>
    <t>STABLE-ISOTOPES; FEEDING ECOLOGY; EMPEROR PENGUINS; FORAGING AREAS; CLIMATE-CHANGE; BLUE PETRELS; ADELIE LAND; FOOD-WEB; ANTARCTIC SEABIRDS; DELTA-N-15 VALUES</t>
  </si>
  <si>
    <t>Understanding the processes structuring communities is a fundamental goal in ecology and conservation biology. Seabirds are commonly used as sentinels of marine ecosystems, but there is a lack of quantitative information providing a synoptic view of their community structure and of its underlying mechanisms. We used stable isotope analysis of chick feathers to investigate the structure of 2 communities that are representative of the subantarctic (Kerguelen) and Antarctic (Adelie Land) seabird diversity. Total area of the convex hull (a measure of the total delta C-13-delta N-15 niche space) was 8.4-fold higher at the Kerguelen Islands than in Adelie Land, a consequence of the higher seabird diversity at the former locality. Kerguelen seabirds grouped into 2 clusters of oceanic and inshore species, with the latter group not represented in Adelie Land. Communities are primarily structured by the availability of foraging habitats (delta C-13) and then of trophic resources (delta N-15), with body size being a major driving force of trophic position. Ecological characteristics are more important than phylogeny to shape seabird isotopic niche breadth (standard ellipse area corrected for small sample size, SEAc), with no significant differences between Sphenisciformes, Procellariiformes, and Charadriiformes. By contrast, SEAc varies according to foraging guilds, diet, and a specialist-generalist gradient, with ubiquitous seabirds having a 10-fold larger mean SEAc than pelagic divers. This study sets a baseline against which the effects of long-term environmental changes on seabird community structure can be studied across years and conditions, and provides a relevant starting point for the investigation into the effect of climate change on Southern Ocean ecosystems.</t>
  </si>
  <si>
    <t>[Cherel, Yves] Rochelle Univ, Ctr dEtudes Biolog Chize, UMR 7372, CNRS, F-79360 Villiers en Bois, France; [Carrouee, Antoine] APDRA Pisciculture Paysanne, Non Profit NGO, F-91300 Massy, France</t>
  </si>
  <si>
    <t>Centre National de la Recherche Scientifique (CNRS); CNRS - Institute of Ecology &amp; Environment (INEE)</t>
  </si>
  <si>
    <t>Cherel, Y (corresponding author), Rochelle Univ, Ctr dEtudes Biolog Chize, UMR 7372, CNRS, F-79360 Villiers en Bois, France.</t>
  </si>
  <si>
    <t>cherel@cebc.cnrs.fr</t>
  </si>
  <si>
    <t>Institut Polaire Francais Paul Emile Victor (IPEV) [109]; Terres Australes et Antarctiques Francaises</t>
  </si>
  <si>
    <t>Institut Polaire Francais Paul Emile Victor (IPEV); Terres Australes et Antarctiques Francaises</t>
  </si>
  <si>
    <t>We thank F. Lebouard and fieldworkers for collecting body feathers, P. Blevin and A. Maglio for preparing isotopic samples, and G. Guillou for conducting stable isotope analysis at the analytical platform of the LIENSs laboratory from La Rochelle Universite. This work was supported financially and logistically by the Institut Polaire Francais Paul Emile Victor (IPEV, Programme No. 109, C. Barbraud, P.I.) and the Terres Australes et Antarctiques Francaises. Fieldwork was approved by the Conseil des Programmes Scientifiques et Technologies Polaires (CPST), and procedures and animal manipulations were approved by the Animal Ethics Committee of IPEV.</t>
  </si>
  <si>
    <t>10.3354/meps14087</t>
  </si>
  <si>
    <t>6G4ZN</t>
  </si>
  <si>
    <t>WOS:000884764400014</t>
  </si>
  <si>
    <t>Lee, H; Choi, T; Kim, SJ; Bak, J; Ahn, DH; Kramarova, NA; Park, SS; Kim, J; Koo, JH</t>
  </si>
  <si>
    <t>Lee, Hana; Choi, Taejin; Kim, Seong-Joong; Bak, Juseon; Ahn, Dha Hyun; Kramarova, Natalya Alekseyevna; Park, Sang Seo; Kim, Jhoon; Koo, Ja-Ho</t>
  </si>
  <si>
    <t>Validations of satellite ozone profiles in austral spring using ozonesonde measurements in the Jang Bogo station, Antarctica</t>
  </si>
  <si>
    <t>Jang Bogo station; Ozonesonde; Ozone profile; OMI; MLS; OMPS</t>
  </si>
  <si>
    <t>RETRIEVALS; ALGORITHM; VORTEX; DEPLETION; SOUNDER; UPDATE; TRENDS; HOLE</t>
  </si>
  <si>
    <t>Using ozonesonde measurements from 2015 to 2018 at the Jang Bogo station located in the southeastern Antarctic region, we evaluate ozone profiles retrieved from the three satellite measurements that are widely used: Ozone Monitoring Instrument (OMI), Microwave Limb Sounder (MLS), and Ozone Mapping Profiler Suite (OMPS) data. For the fair validation, ozonesonde profiles are smoothed using the weighting function of each satellite retrieval algorithm (i.e., convolution process). Compared with limb-viewing MLS and OMPS ozone profiles, the OMI ozone profiles are relatively less qualified: coarser vertical resolution and larger inter-annual variation. Nevertheless, our validation reveals that the quality of all three satellite ozone profiles looks comparable; In general, difference from ozonesonde profile is similar to 1 ppm absolutely, and -20 to 30% relatively at maximum. This quantitative range well corresponds to previous work, meaning that our new validation confirms the reliability of satellite ozone profiles in the southeastern Antarctic region where the measurement data for the validation were not enough. Another interesting feature is the role of a priori ozone profile; Nadir-viewing OMI satellite can have qualified ozone profiles by a proper assumption of a priori ozone profile. Since the performance of limb-viewing ozone profiles is better, however, the careful usage of nadir-viewing ozone profile is still required. We think that the simultaneous usage of multiple satellite ozone profiles can contribute to better understanding of Antarctic ozone characteristics.</t>
  </si>
  <si>
    <t>[Lee, Hana; Ahn, Dha Hyun; Kim, Jhoon; Koo, Ja-Ho] Yonsei Univ, Dept Atmospher Sci, Seoul, South Korea; [Lee, Hana] Korea Meteorol Inst, Seoul, South Korea; [Choi, Taejin; Kim, Seong-Joong] Korea Polar Res Inst, Incheon, South Korea; [Bak, Juseon] Pusan Natl Univ, Inst Environm Studies, Busan, South Korea; [Kramarova, Natalya Alekseyevna] NASA Goddard Space Flight Ctr, Greenbelt, MD USA; [Park, Sang Seo] Ulsan Natl Inst Sci &amp; Technol, Ulsan, South Korea; [Koo, Ja-Ho] Yonsei Univ, Dept Atmospher Sci, Seoul, South Korea</t>
  </si>
  <si>
    <t>Yonsei University; Korea Polar Research Institute (KOPRI); Pusan National University; National Aeronautics &amp; Space Administration (NASA); NASA Goddard Space Flight Center; Ulsan National Institute of Science &amp; Technology (UNIST); Yonsei University</t>
  </si>
  <si>
    <t>Koo, JH (corresponding author), Yonsei Univ, Dept Atmospher Sci, Seoul, South Korea.</t>
  </si>
  <si>
    <t>zach45@yonsei.ac.kr</t>
  </si>
  <si>
    <t>Kim, Jhoon/F-6635-2013</t>
  </si>
  <si>
    <t>Kim, Jhoon/0000-0002-1508-9218; Ahn, DhaHyun/0000-0002-5207-4381; Bak, Juseon/0000-0002-0421-671X</t>
  </si>
  <si>
    <t>Korea Polar Research Institute [PE22030]; Yonsei Signature Research Cluster Program of 2021 [2021-22-0003]</t>
  </si>
  <si>
    <t>Korea Polar Research Institute(Korea Polar Research Institute of Marine Research Placement (KOPRI)); Yonsei Signature Research Cluster Program of 2021</t>
  </si>
  <si>
    <t>This study was supported by the Korea Polar Research Institute (grant no. PE22030) . This research was also supported by the Yonsei Signature Research Cluster Program of 2021 (2021-22-0003) .</t>
  </si>
  <si>
    <t>10.1016/j.envres.2022.114087</t>
  </si>
  <si>
    <t>4X3CY</t>
  </si>
  <si>
    <t>WOS:000860725200008</t>
  </si>
  <si>
    <t>Stokes, CR; Abram, NJ; Bentley, MJ; Edwards, TL; England, MH; Foppert, A; Jamieson, SSR; Jones, RS; King, MA; Lenaerts, JTM; Medley, B; Miles, BWJ; Paxman, GJG; Ritz, C; Van de Flierdt, T; Whitehouse, PL</t>
  </si>
  <si>
    <t>Stokes, Chris R.; Abram, Nerilie J.; Bentley, Michael J.; Edwards, Tamsin L.; England, Matthew H.; Foppert, Annie; Jamieson, Stewart S. R.; Jones, Richard S.; King, Matt A.; Lenaerts, Jan T. M.; Medley, Brooke; Miles, Bertie W. J.; Paxman, Guy J. G.; Ritz, Catherine; van de Flierdt, Tina; Whitehouse, Pippa L.</t>
  </si>
  <si>
    <t>Response of the East Antarctic Ice Sheet to past and future climate change</t>
  </si>
  <si>
    <t>SEA-LEVEL RISE; GREENHOUSE-GAS CONCENTRATIONS; SURFACE MASS-BALANCE; BASAL MELT RATES; ROSS SEA; TOTTEN GLACIER; SOUTHERN-OCEAN; OUTLET GLACIERS; GROUNDING LINE; WILKES LAND</t>
  </si>
  <si>
    <t>The East Antarctic Ice Sheet contains the vast majority of Earth'sglacier ice (about 52 metres sea-level equivalent), but is often viewed as less vulnerable to global warming than the West Antarctic or Greenland ice sheets. However, some regions of the East Antarctic Ice Sheet have lost mass over recent decades, prompting the need to re-evaluate its sensitivity to climate change. Here we review the response of the East Antarctic Ice Sheet to past warm periods, synthesize current observations of change and evaluate future projections. Some marine-based catchments that underwent notable mass loss during past warm periods are losing mass at present but most projections indicate increased accumulation across the East Antarctic Ice Sheet over the twenty-first century, keeping the ice sheet broadly in balance. Beyond 2100, high-emissions scenarios generate increased ice discharge and potentially several metres of sea-level rise within just a few centuries, but substantial mass loss could be averted if the Paris Agreement to limit warming below 2 degrees Celsius is satisfied.</t>
  </si>
  <si>
    <t>[Stokes, Chris R.; Bentley, Michael J.; Jamieson, Stewart S. R.; Miles, Bertie W. J.; Whitehouse, Pippa L.] Univ Durham, Dept Geog, Durham, England; [Abram, Nerilie J.] Australian Natl Univ, Res Sch Earth Sci, Canberra, ACT, Australia; [Abram, Nerilie J.] Australian Natl Univ, Australian Ctr Excellence Antarctic Sci, Canberra, ACT, Australia; [Edwards, Tamsin L.] Kings Coll London, Dept Geog, London, England; [England, Matthew H.] Univ New South Wales, Climate Change Res Ctr, Sydney, NSW, Australia; [England, Matthew H.] Univ New South Wares, Australian Ctr Excellence Antarctic Sci, Sydney, NSW, Australia; [Foppert, Annie] Univ Tasmania, Inst Marine &amp; Antarctic Studies, Australian Antarctic Program Partnership, Hobart, Tas, Australia; [Jones, Richard S.] Monash Univ, Sch Earth Atmosphere &amp; Environm, Clayton, Vic, Australia; [Jones, Richard S.] Monash Univ, Securing Antarct Environm Future, Clayton, Vic, Australia; [King, Matt A.] Univ Tasmania, Sch Geog Nanning &amp; Spatial Sci, Hobart, Tas, Australia; [King, Matt A.] Univ Tasmania, Australian Ctr Excellence Antarctic Sci, Hobart, Tas, Australia; [Lenaerts, Jan T. M.] Univ Colorado, Dept Atmospher &amp; Ocean Sci, Boulder, CO 80309 USA; [Medley, Brooke] NASA, Cryospher Sci Lab, Goddard Space Fright Ctr, Greenbelt, MD USA; [Paxman, Guy J. G.] Columbia Univ, Lamont Doherty Earth Observ, Palisades, NY USA; [Ritz, Catherine] Univ Grenoble Aloes, Inst Geosci Environm, Grenoble, France; [van de Flierdt, Tina] Imperial Coll London, Dept Earth Sci &amp; Engn, London, England</t>
  </si>
  <si>
    <t>Durham University; Australian National University; Australian National University; University of London; King's College London; University of New South Wales Sydney; University of Tasmania; Monash University; Monash University; University of Tasmania; University of Tasmania; University of Colorado System; University of Colorado Boulder; National Aeronautics &amp; Space Administration (NASA); Columbia University; Communaute Universite Grenoble Alpes; Universite Grenoble Alpes (UGA); Imperial College London</t>
  </si>
  <si>
    <t>Stokes, CR (corresponding author), Univ Durham, Dept Geog, Durham, England.</t>
  </si>
  <si>
    <t>c.r.stokes@durham.ac.uk</t>
  </si>
  <si>
    <t>Martins, Joabis Nobre/KBB-6626-2024; Stokes, Chris R/A-1957-2011; Jones, Richard Selwyn/AAJ-3949-2021; England, Matthew/A-7539-2011; King, Matt/B-4622-2008; Lenaerts, Jan/D-9423-2012; Jamieson, Stewart/B-8330-2013; Bentley, Michael/F-7386-2011</t>
  </si>
  <si>
    <t>Martins, Joabis Nobre/0000-0002-7849-8430; Jones, Richard Selwyn/0000-0003-2988-0999; England, Matthew/0000-0001-9696-2930; King, Matt/0000-0001-5611-9498; Edwards, Tamsin/0000-0002-4760-4704; Lenaerts, Jan/0000-0003-4309-4011; Jamieson, Stewart/0000-0002-9036-2317; Foppert, Annie/0000-0003-2958-1454; Abram, Nerilie/0000-0003-1246-2344; Bentley, Michael/0000-0002-2048-0019</t>
  </si>
  <si>
    <t>Natural Environment Research Council [NE/R000824/1]; Australian Research Council Special Research Initiative; Australian Centre for Excellence in Antarctic Science [SR200100008]; Australian Research Council [SR200100005, FT160100029, DP190100494, LP200100406, DE210101923]; Centre for Southern Hemisphere Oceans Research (CSHOR); QNLM; CSIRO; UNSW; UTAS; Australian Government; UK Natural Environment Research Council [NE/T007443/1]; European Union [869304, 36]; National Aeronautics and Space Administration (NASA) [80NSSC20K1123]; NERC [NE/W000172/1, NE/K003674/1, NE/R018219/1, NE/R000824/1] Funding Source: UKRI; Australian Research Council [FT160100029, LP200100406, DE210101923, SR200100005] Funding Source: Australian Research Council</t>
  </si>
  <si>
    <t>Natural Environment Research Council(UK Research &amp; Innovation (UKRI)Natural Environment Research Council (NERC)); Australian Research Council Special Research Initiative(Australian Research Council); Australian Centre for Excellence in Antarctic Science; Australian Research Council(Australian Research Council); Centre for Southern Hemisphere Oceans Research (CSHOR); QNLM; CSIRO(Commonwealth Scientific &amp; Industrial Research Organisation (CSIRO)); UNSW; UTAS; Australian Government(Australian Government); UK Natural Environment Research Council(UK Research &amp; Innovation (UKRI)Natural Environment Research Council (NERC)); European Union(European Union (EU)); National Aeronautics and Space Administration (NASA)(National Aeronautics &amp; Space Administration (NASA)); NERC(UK Research &amp; Innovation (UKRI)Natural Environment Research Council (NERC)); Australian Research Council(Australian Research Council)</t>
  </si>
  <si>
    <t>C.R.S., B.W.J.M. and S.S.R.J. acknowledge funding from the Natural Environment Research Council (NE/R000824/1). M.A.K., N.J.A. and M.H.E. are supported by the Australian Research Council Special Research Initiative, Australian Centre for Excellence in Antarctic Science (project number SR200100008) and R.S.J. is supported by the Special Research Initiative, Securing Antarctica's Environmental Future (SR200100005). N.J.A. (FT160100029), M.H.E. (DP190100494, LP200100406) and R.S.J. (DE210101923) also acknowledge funding from the Australian Research Council. M.H.E. and M.A.K. also acknowledge support from the Centre for Southern Hemisphere Oceans Research (CSHOR), a joint research centre between QNLM, CSIRO, UNSW and UTAS. A.F. was supported by the Australian Antarctic Program Partnership through funding from the Australian Government as part of the Antarctic Science Collaboration Initiative. T.L.E. was supported by the UK Natural Environment Research Council (NE/T007443/1) and by the European Union's Horizon 2020 research and innovation programme under grant agreement no. 869304, PROTECT contribution number 36. J.T.M.L. acknowledges support from the National Aeronautics and Space Administration (NASA), award no. 80NSSC20K1123. M.H.E. and A.F. thank S. Rintoul for discussions on ocean data coverage around East Antarctica. T.L.E. thanks G. Garner and R. Kopp for help with the IPCC (2021) datasets.</t>
  </si>
  <si>
    <t>10.1038/s41586-022-04946-0</t>
  </si>
  <si>
    <t>3R1DF</t>
  </si>
  <si>
    <t>WOS:000838658900010</t>
  </si>
  <si>
    <t>Krumhardt, KM; Long, MC; Sylvester, ZT; Petrik, CM</t>
  </si>
  <si>
    <t>Krumhardt, Kristen M.; Long, Matthew C.; Sylvester, Zephyr T.; Petrik, Colleen M.</t>
  </si>
  <si>
    <t>Climate drivers of Southern Ocean phytoplankton community composition and potential impacts on higher trophic levels</t>
  </si>
  <si>
    <t>Southern Ocean; phytoplankton; climate change; trophic transfer efficiency; diatoms</t>
  </si>
  <si>
    <t>MARINE PRIMARY PRODUCTION; KRILL EUPHAUSIA-SUPERBA; ANTARCTIC KRILL; FOOD-WEB; GROWTH; INSIGHTS; MODEL; PHYSIOLOGY; NUTRIENT; RATIO</t>
  </si>
  <si>
    <t>Southern Ocean phytoplankton production supports rich Antarctic marine ecosystems comprising copepods, krill, fish, seals, penguins, and whales. Anthropogenic climate change, however, is likely to drive rearrangements in phytoplankton community composition with potential ramifications for the whole ecosystem. In general, phytoplankton communities dominated by large phytoplankton, i.e., diatoms, yield shorter, more efficient food chains than ecosystems supported by small phytoplankton. Guided by a large ensemble of Earth system model simulations run under a high emission scenario (RCP8.5), we present hypotheses for how anthropogenic climate change may drive shifts in phytoplankton community structure in two regions of the Southern Ocean: the Antarctic Circumpolar Current (ACC) region and the sea ice zone (SIZ). Though both Southern Ocean regions experience warmer ocean temperatures and increased advective iron flux under 21st century climate warming, the model simulates a proliferation of diatoms at the expense of small phytoplankton in the ACC, while the opposite patterns are evident in the SIZ. The primary drivers of simulated diatom increases in the ACC region include warming, increased iron supply, and reduced light from increased cloudiness. In contrast, simulated reductions in ice cover yield greater light penetration in the SIZ, generating a phenological advance in the bloom accompanied by a shift to more small phytoplankton that effectively consume available iron; the result is an overall increase in net primary production, but a decreasing proportion of diatoms. Changes of this nature may promote more efficient trophic energy transfer via copepods or krill in the ACC region, while ecosystem transfer efficiency in the SIZ may decline as small phytoplankton grow in dominance, possibly impacting marine food webs sustaining Antarctic marine predators. Despite the simplistic ecosystem representation in our model, our results point to a potential shift in the relative success of contrasting phytoplankton ecological strategies in different regions of the Southern Ocean, with ramifications for higher trophic levels.</t>
  </si>
  <si>
    <t>[Krumhardt, Kristen M.; Long, Matthew C.] Natl Ctr Atmospher Res, Climate &amp; Global Dynam, POB 3000, Boulder, CO 80307 USA; [Sylvester, Zephyr T.] Univ Colorado, Environm Studies Program, Boulder, CO 80309 USA; [Petrik, Colleen M.] Univ Calif San Diego, Scripps Inst Oceanog, San Diego, CA 92103 USA</t>
  </si>
  <si>
    <t>National Center Atmospheric Research (NCAR) - USA; University of Colorado System; University of Colorado Boulder; University of California System; University of California San Diego; Scripps Institution of Oceanography</t>
  </si>
  <si>
    <t>Krumhardt, KM (corresponding author), Natl Ctr Atmospher Res, Climate &amp; Global Dynam, POB 3000, Boulder, CO 80307 USA.</t>
  </si>
  <si>
    <t>kristenk@ucar.edu</t>
  </si>
  <si>
    <t>Long, Matthew C/H-4632-2016</t>
  </si>
  <si>
    <t>Petrik, Colleen/0000-0003-3253-0455</t>
  </si>
  <si>
    <t>NASA [80NSSC20K1289, 19-IDS19-0028]; NOAA [NA20OAR4310444, NA20OAR4310441, NA20OAR4310442]</t>
  </si>
  <si>
    <t>NASA(National Aeronautics &amp; Space Administration (NASA)); NOAA(National Oceanic Atmospheric Admin (NOAA) - USA)</t>
  </si>
  <si>
    <t>Funding for this research was provided by NASA (Grant number 80NSSC20K1289, Project number 19-IDS19-0028) and NOAA (Grant numbers NA20OAR4310444, NA20OAR4310441 and NA20OAR4310442).</t>
  </si>
  <si>
    <t>10.3389/fmars.2022.916140</t>
  </si>
  <si>
    <t>3Z4GG</t>
  </si>
  <si>
    <t>WOS:000844373500001</t>
  </si>
  <si>
    <t>Lindmark, M; Audzijonyte, A; Blanchard, JL; Gårdmark, A</t>
  </si>
  <si>
    <t>Lindmark, Max; Audzijonyte, Asta; Blanchard, Julia L.; Gardmark, Anna</t>
  </si>
  <si>
    <t>Temperature impacts on fish physiology and resource abundance lead to faster growth but smaller fish sizes and yields under warming</t>
  </si>
  <si>
    <t>body size; climate change; fisheries yield; food web; metabolic theory; multi species; size spectrum</t>
  </si>
  <si>
    <t>COD GADUS-MORHUA; CLIMATE-CHANGE; BODY-SIZE; TROPHIC CASCADES; METABOLIC THEORY; NATURAL MORTALITY; MARINE ECOSYSTEM; BALTIC SEA; SHIFTS; MODEL</t>
  </si>
  <si>
    <t>Resolving the combined effect of climate warming and exploitation in a food web context is key for predicting future biomass production, size-structure and potential yields of marine fishes. Previous studies based on mechanistic size-based food web models have found that bottom-up processes are important drivers of size-structure and fisheries yield in changing climates. However, we know less about the joint effects of 'bottom-up' and physiological effects of temperature; how do temperature effects propagate from individual-level physiology through food webs and alter the size-structure of exploited species in a community? Here, we assess how a species-resolved size-based food web is affected by warming through both these pathways and by exploitation. We parameterize a dynamic size spectrum food web model inspired by the offshore Baltic Sea food web, and investigate how individual growth rates, size-structure, and relative abundances of species and yields are affected by warming. The magnitude of warming is based on projections by the regional coupled model system RCA4-NEMO and the RCP 8.5 emission scenario, and we evaluate different scenarios of temperature dependence on fish physiology and resource productivity. When accounting for temperature-effects on physiology in addition to on basal productivity, projected size-at-age in 2050 increases on average for all fish species, mainly for young fish, compared to scenarios without warming. In contrast, size-at-age decreases when temperature affects resource dynamics only, and the decline is largest for young fish. Faster growth rates due to warming, however, do not always translate to larger yields, as lower resource carrying capacities with increasing temperature tend to result in decline in the abundance of larger fish and hence spawning stock biomass. These results suggest that to understand how global warming affects the size structure of fish communities, both direct metabolic effects and indirect effects of temperature via basal resources must be accounted for.</t>
  </si>
  <si>
    <t>[Lindmark, Max] Swedish Univ Agr Sci, Inst Coastal Res, Dept Aquat Resources, Oregrund, Sweden; [Audzijonyte, Asta] Nat Res Ctr, Vilnius, Lithuania; [Audzijonyte, Asta; Blanchard, Julia L.] Univ Tasmania, Inst Marine &amp; Antarctic Studies, Hobart, Tas, Australia; [Audzijonyte, Asta; Blanchard, Julia L.] Univ Tasmania, Ctr Marine Socioecol, Hobart, Tas, Australia; [Gardmark, Anna] Swedish Univ Agr Sci, Dept Aquat Resources, Uppsala, Sweden</t>
  </si>
  <si>
    <t>Swedish University of Agricultural Sciences; Nature Research Center - Lithuania; University of Tasmania; University of Tasmania; Swedish University of Agricultural Sciences</t>
  </si>
  <si>
    <t>Lindmark, M (corresponding author), Swedish Univ Agr Sci, Inst Marine Res, Dept Aquat Resources, Turistgatan 5, S-45330 Lysekil, Sweden.</t>
  </si>
  <si>
    <t>max.lindmark@slu.se</t>
  </si>
  <si>
    <t>Lindmark, Max/0000-0002-3841-4044</t>
  </si>
  <si>
    <t>Swedish Research Council FORMAS [217-2013-1315]; Swedish Research Council [2015-03752]; European Regional Development Fund [01.2.2-LMT-K-718-2-0006]; Research Council of Lithuania (LMTLT); Australian Research Council [DP170104240]; Swedish Research Council [2015-03752] Funding Source: Swedish Research Council</t>
  </si>
  <si>
    <t>Swedish Research Council FORMAS(Swedish Research Council Formas); Swedish Research Council(Swedish Research Council); European Regional Development Fund(European Union (EU)); Research Council of Lithuania (LMTLT)(Research Council of Lithuania (LMTLT)); Australian Research Council(Australian Research Council); Swedish Research Council(Swedish Research Council)</t>
  </si>
  <si>
    <t>We thank Romain Forestier and Jonatan Reum for contributing to developing code on temperature-dependence in mizer during a workshop, Ken Haste Andersen for helpful discussion on model calibration, Christian Dietrich for providing temperature data. We also thank two anonymous reviewers for feedback that improved the manuscript, ICES staff and all involved in all stages of data collections, the helpful mizer community, Elizabeth Duskey and Magnus Huss for providing useful input. This study was supported by grants from the Swedish Research Council FORMAS (no. 217-2013-1315) and the Swedish Research Council (no. 2015-03752; both to AG). Additional support was provided by the European Regional Development Fund (project No 01.2.2-LMT-K-718-2-0006, to AA) under the grant agreement with the Research Council of Lithuania (LMTLT) and the Australian Research Council Discovery Project DP170104240 (to JLB).</t>
  </si>
  <si>
    <t>10.1111/gcb.16341</t>
  </si>
  <si>
    <t>5A9QS</t>
  </si>
  <si>
    <t>WOS:000843754900001</t>
  </si>
  <si>
    <t>Talalay, PG; Zhang, N</t>
  </si>
  <si>
    <t>Talalay, Pavel G.; Zhang, Nan</t>
  </si>
  <si>
    <t>Antarctic mineral resources: Looking to the future of the Environmental Protocol</t>
  </si>
  <si>
    <t>EARTH-SCIENCE REVIEWS</t>
  </si>
  <si>
    <t>Antarctica; Environmental Protocol; Mineral resources; Drilling technology</t>
  </si>
  <si>
    <t>On-going trade wars combined with the increasing consumption and depletion of known resources will neces-sitate the search for new deposits in poorly explored or unexplored areas, such as the polar regions. Antarctica is particular among the world's continents in that it has no native population and state sovereignty; the continent has also been identified as potentially harboring extensive hydrocarbon and mineral resources. In order to protect the fragile environment of Antarctic, the Protocol on Environmental Protection to the Antarctic Treaty (1991) banned all mineral activities for a 50-year period, except for scientific purposes. The Protocol will be renewed in 2048, and discussion of possible future mining in the region has already begun. With the improvement of drilling and mining technology, the risk of future mining activity on the continent is increasing. Moreover, extensive mining operations in the Arctic demonstrate the technical and economic feasibility of mining activities in harsh polar environments. The conservation of the fragile environment of Antarctic must be prioritized and some considerations of renewal of the Protocol on Environmental Protection are discussed in this paper.</t>
  </si>
  <si>
    <t>[Talalay, Pavel G.; Zhang, Nan] Jilin Univ, Polar Res Ctr, Inst Polar Sci &amp; Engn, Coll Construct Engn, 938 Ximinzhu St, Changchun 130021, Jilin Province, Peoples R China</t>
  </si>
  <si>
    <t>Jilin University</t>
  </si>
  <si>
    <t>Zhang, N (corresponding author), Jilin Univ, Polar Res Ctr, Inst Polar Sci &amp; Engn, Coll Construct Engn, 938 Ximinzhu St, Changchun 130021, Jilin Province, Peoples R China.</t>
  </si>
  <si>
    <t>znan@jlu.edu.cn</t>
  </si>
  <si>
    <t>Talalay, Pavel/AAH-2908-2020</t>
  </si>
  <si>
    <t>Talalay, Pavel/0000-0002-8230-4600</t>
  </si>
  <si>
    <t>Program for Jilin University Science and Technology Innovative Research Team [2017TD-24]</t>
  </si>
  <si>
    <t>Program for Jilin University Science and Technology Innovative Research Team</t>
  </si>
  <si>
    <t>Acknowledgments This research was supported by the Program for Jilin University Science and Technology Innovative Research Team (Project No. 2017TD-24) .</t>
  </si>
  <si>
    <t>0012-8252</t>
  </si>
  <si>
    <t>1872-6828</t>
  </si>
  <si>
    <t>EARTH-SCI REV</t>
  </si>
  <si>
    <t>Earth-Sci. Rev.</t>
  </si>
  <si>
    <t>10.1016/j.earscirev.2022.104142</t>
  </si>
  <si>
    <t>5I2KZ</t>
  </si>
  <si>
    <t>WOS:000868193600002</t>
  </si>
  <si>
    <t>Fernández, ML; Franchini, M; Mazzoli, S; Caffe, PJ; Garrone, A</t>
  </si>
  <si>
    <t>Fernandez, Maria Lis; Franchini, Marta; Mazzoli, Stefano; Caffe, Pablo J.; Garrone, Alejandro</t>
  </si>
  <si>
    <t>The Au-Ag (Zn, Pb, Mo, Cu) Sulfuro Vein, La Paloma district, Deseado Massif, Argentina: Geochemical characterization and new insights into the 4D evolution of ore shoots</t>
  </si>
  <si>
    <t>JOURNAL OF GEOCHEMICAL EXPLORATION</t>
  </si>
  <si>
    <t>Epithermal deposit; Structural and lithological control; Fluid chemistry; Metal zonation</t>
  </si>
  <si>
    <t>ANTARCTIC PENINSULA; QUARTZ TEXTURES; MANTLE PLUME; PATAGONIA; DEPOSITS; SYSTEM; PERMEABILITY; MINERALOGY; VOLCANISM</t>
  </si>
  <si>
    <t>Unravelling the 3D architecture of ore shoots and its evolution through time, thereby moving towards a 4D understanding of mineralization processes, requires an interdisciplinary approach based on the capability of carrying out extensive trenching and drilling as well as effectively integrating structural and geochemical analyses. Such conditions are offered in La Paloma district of the Deseado Massif, Argentina. Here, eight epithermal Au-Ag veins are hosted in Middle Jurassic volcanic rocks (Bajo Pobre Formation). The Au-Ag (Zn, Pb, Mo and Cu) Sulfuro Vein, representing the main ore body in the district, is a 750 m long, N to NW striking structure extending 230 m at depth. The geometry and distribution of ore shoots within the Sulfuro Vein are controlled by: (i) lithological and structural features, (ii) metal concentration, (iii) temperature of the fluids at the time of ore deposition, and (iv) remobilization processes. The highest values of Au, Ag, Cu, Mo, Pb, Zn and Sb are concentrated at depths between 50 and 100 m.a.s.l., while high Mo values occur also at greater depths in the southern segment of the vein. Molybdenum distribution in shallower sectors of the vein is controlled by its remobilization by later infill stages. The Au, Ag and Cu ore shoots are widely distributed in the southern and central segments of the vein, as are the areas of greater vein thickness. These ore shoots exhibit a sub-horizontal geometry consistent with dominant extensional faulting during mineralization. In the northern segment of the vein, the Au, Ag and Cu ore shoots are discontinuous and small, and show gentle to moderate plunges probably associated with variable fault kinematics and depletion of the fluid in these metals. Ore-shoots of Mo, Pb and Zn display high values along the longitudinal section and sub-horizontal geometry in the central and northern sectors of the vein, with high-grade Mo ore shoots decreasing to the north. The fact that Pb and Zn high grades extend up to the tip of the northern vein segment suggests that these metals continued to precipitate at lower temperatures, favoured by the permeability of the volcaniclastic units. All of the ore shoots exhibit steeper plunges towards the southern termination of the vein. Here, upward fluid flow may have been enhanced by the dilation associated with oblique-slip along the N-S striking segment of the steeply dipping Sulfuro Vein. The geochemical distribution of metals shows a slight vertical zonation and a distinct lateral zonation, which suggest hydrothermal fluids flowed northward from deeper zones in the southern sector of the vein.</t>
  </si>
  <si>
    <t>[Fernandez, Maria Lis; Franchini, Marta] Consejo Nacl Invest Cient &amp; Tecn, Ctr Patagon Estudios Metalogenet, Buenos Aires, DF, Argentina; [Fernandez, Maria Lis; Franchini, Marta] Univ Nacl Comahue, Fac Ingn, Dept Geol &amp; Petr, RA-1400 Buenos Aires, Neuquen, Argentina; [Mazzoli, Stefano] Univ Camerino, Sch Sci &amp; Technol, Geol Div, Camerino, Italy; [Caffe, Pablo J.] Univ Nacl Jujuy, Inst Ecorreg Andinas CONICET UNJu, San Salvador De Jujuy, Argentina; [Caffe, Pablo J.] Inst Geol &amp; Min, San Salvador De Jujuy, Argentina; [Garrone, Alejandro] Univ Nacl Cordoba, Fac Ciencias Exactas Fis &amp; Nat, Cordoba, Argentina</t>
  </si>
  <si>
    <t>Consejo Nacional de Investigaciones Cientificas y Tecnicas (CONICET); Universidad Nacional del Comahue; University of Camerino; National University of Cordoba</t>
  </si>
  <si>
    <t>Fernández, ML (corresponding author), Univ Nacl Comahue, Ctr Patagon Estudios Metalogenet, Fac Ingn, Dept Geol &amp; Petr, RA-1400 Buenos Aires, Neuquen, Argentina.</t>
  </si>
  <si>
    <t>marialisfer@gmail.com</t>
  </si>
  <si>
    <t>CONICET [PIP 105]; FONCyT [PICT -2017-4577]; Universidad Nacional del Comahue [PIP 04/I250]</t>
  </si>
  <si>
    <t>CONICET(Consejo Nacional de Investigaciones Cientificas y Tecnicas (CONICET)); FONCyT(FONCyT); Universidad Nacional del Comahue</t>
  </si>
  <si>
    <t>This research represents part of the first author's PhD thesis in preparation at the Universidad Nacional del Comahue and Universidad Nacional de Rio Negro. The study was supported CONICET (PIP 105) ; FONCyT (PICT -2017-4577) ; Universidad Nacional del Comahue (PIP 04/I250) . We express our appreciation to the Exploration Manager, Lic. Silvio Franco, and to the exploration staff of ex Minera Don Nicolas S.A. mining company for allowing access to subsurface information and samples. The authors are very grateful to Dr. David Lentz for his collaboration in obtaining micro-XRF EDS geochemical maps and to Dr. Ramon Aguirre Maturana and Dra. Elda Beatriz Micheli for their valu- able comments and explanations on the statistical analysis techniques.</t>
  </si>
  <si>
    <t>0375-6742</t>
  </si>
  <si>
    <t>1879-1689</t>
  </si>
  <si>
    <t>J GEOCHEM EXPLOR</t>
  </si>
  <si>
    <t>J. Geochem. Explor.</t>
  </si>
  <si>
    <t>10.1016/j.gexplo.2022.107053</t>
  </si>
  <si>
    <t>5B0LV</t>
  </si>
  <si>
    <t>WOS:000863269300003</t>
  </si>
  <si>
    <t>Nilsson, J; Gardner, AS; Paolo, FS</t>
  </si>
  <si>
    <t>Nilsson, Johan; Gardner, Alex S.; Paolo, Fernando S.</t>
  </si>
  <si>
    <t>Elevation change of the Antarctic Ice Sheet: 1985 to 2020</t>
  </si>
  <si>
    <t>MASS-BALANCE; SATELLITE RADAR; EAST ANTARCTICA; CRYOSAT-2 DATA; VOLUME-CHANGE; GLACIERS; GREENLAND; ALTIMETRY; SURFACE; VALIDATION</t>
  </si>
  <si>
    <t>The largest uncertainty in future projections of sea level change comes from the uncertain response of the Antarctic Ice Sheet to the warming oceans and atmosphere. The ice sheet gains roughly 2000 km(3) of ice from precipitation each year and loses a similar amount through solid ice discharge into the surrounding oceans. Numerous studies have shown that the ice sheet is currently out of long-term equilibrium, losing mass at an accelerated rate and increasing sea level rise. Projections of sea level change rely on accurate estimates of the contribution of land ice to the contemporary sea level budget. The longest observational record available to study the mass balance of the Earth's ice sheets comes from satellite altimeters. This record, however, consists of multiple satellite missions with different life spans and inconsistent measurement types (radar and laser) of varying quality. To fully utilize these data, measurements from different missions must be cross-calibrated and integrated into a consistent record of change. Here, we present a novel approach for generating such a record that implies improved topography removal, cross-calibration, and normalization of seasonal amplitudes from different mission. We describe in detail the advanced geophysical corrections applied and the processes needed to derive elevation change estimates. We processed the full archive record of satellite altimetry data, providing a seamless record of elevation change for the Antarctic Ice Sheet that spans the period 1985 to 2020. The data are produced and distributed as part of the NASA MEaSUREs ITS_LIVE (Making Earth System Data Records for Use in Research Environments Inter-mission Time Series of Land Ice Velocity and Elevation) project (Nilsson et al., 2021, DOI: https://doi.org/10.5067/L3LSVDZS15ZV).</t>
  </si>
  <si>
    <t>[Nilsson, Johan; Gardner, Alex S.; Paolo, Fernando S.] CALTECH, Jet Prop Lab, Pasadena, CA 91109 USA</t>
  </si>
  <si>
    <t>National Aeronautics &amp; Space Administration (NASA); NASA Jet Propulsion Laboratory (JPL); California Institute of Technology</t>
  </si>
  <si>
    <t>Nilsson, J (corresponding author), CALTECH, Jet Prop Lab, Pasadena, CA 91109 USA.</t>
  </si>
  <si>
    <t>johan.nilsson@jpl.nasa.gov</t>
  </si>
  <si>
    <t>Nilsson, Johan/F-1888-2019</t>
  </si>
  <si>
    <t>Nilsson, Johan/0000-0002-1496-122X</t>
  </si>
  <si>
    <t>Jet Propulsion Laboratory (NASA MEaSUREs) [NNH16ZDA001N-ICESAT2]; Jet Propulsion Laboratory (NASA Cryosphere Science Program ) [NNH16ZDA001N-ICESAT2]; Jet Propulsion Laboratory, California Institute of Technology</t>
  </si>
  <si>
    <t>Jet Propulsion Laboratory (NASA MEaSUREs); Jet Propulsion Laboratory (NASA Cryosphere Science Program ); Jet Propulsion Laboratory, California Institute of Technology</t>
  </si>
  <si>
    <t>This research has been supported by the Jet Propulsion Laboratory (NASA MEaSUREs and NASA Cryosphere Science Program (grant no. NNH16ZDA001N-ICESAT2)), as well as the Jet Propulsion Laboratory, California Institute of Technology, through an agreement with the National Aeronautics and Space Administration.</t>
  </si>
  <si>
    <t>AUG 10</t>
  </si>
  <si>
    <t>10.5194/essd-14-3573-2022</t>
  </si>
  <si>
    <t>3Q4VZ</t>
  </si>
  <si>
    <t>WOS:000838232200001</t>
  </si>
  <si>
    <t>Greene, CA; Gardner, AS; Schlegel, NJ; Fraser, AD</t>
  </si>
  <si>
    <t>Greene, Chad A.; Gardner, Alex S.; Schlegel, Nicole-Jeanne; Fraser, Alexander D.</t>
  </si>
  <si>
    <t>Antarctic calving loss rivals ice-shelf thinning</t>
  </si>
  <si>
    <t>RETREAT; MODEL; MELT; INSTABILITY; GREENLAND; DYNAMICS; GLACIERS; DRIVERS; SURFACE; SHEET</t>
  </si>
  <si>
    <t>Antarctica's ice shelves help to control the flow of glacial ice as it drains into the ocean, meaning that the rate of global sea-level rise is subject to the structural integrity of these fragile, floating extensions of the ice sheet(1-3). Until now, data limitations have made it difficult to monitor the growth and retreat cycles of ice shelves on a large scale, and the full impact of recent calving-front changes on ice-shelf buttressing has not been understood. Here, by combining data from multiple optical and radar satellite sensors, we generate pan-Antarctic, spatially continuous coastlines at roughly annual resolution since 1997. We show that from 1997 to 2021, Antarctica experienced a net loss of 36,701 +/- 1,465 square kilometres (1.9 per cent) of ice-shelf area that cannot be fully regained before the next series of major calving events, which are likely to occur in the next decade. Mass loss associated with ice-front retreat (5,874 +/- 396 gigatonnes) has been approximately equal to mass change owing to ice-shelf thinning over the past quarter of a century (6,113 +/- 452 gigatonnes), meaning that the total mass loss is nearly double that which could be measured by altimetry-based surveys alone. We model the impacts of Antarctica's recent coastline evolution in the absence of additional feed backs, and find that calving and thinning have produced equivalent reductions in ice-shelf buttressing since 2007, and that further retreat could produce increasingly significant sea-level rise in the future.</t>
  </si>
  <si>
    <t>[Greene, Chad A.; Gardner, Alex S.; Schlegel, Nicole-Jeanne] CALTECH, Jet Prop Lab, Pasadena, CA 91125 USA; [Fraser, Alexander D.] Univ Tasmania, Inst Marine &amp; Antarctic Studies, Australian Antarctic Program Partnership, Hobart, Tas, Australia</t>
  </si>
  <si>
    <t>National Aeronautics &amp; Space Administration (NASA); NASA Jet Propulsion Laboratory (JPL); California Institute of Technology; University of Tasmania</t>
  </si>
  <si>
    <t>Greene, CA (corresponding author), CALTECH, Jet Prop Lab, Pasadena, CA 91125 USA.</t>
  </si>
  <si>
    <t>chad@chadagreene.com</t>
  </si>
  <si>
    <t>Fraser, Alexander/AFO-7186-2022; Greene, Chad/HTQ-9931-2023</t>
  </si>
  <si>
    <t>Fraser, Alexander/0000-0003-1924-0015; Greene, Chad/0000-0001-6710-6297; Schlegel, Nicole-Jeanne/0000-0001-8035-448X</t>
  </si>
  <si>
    <t>NASA Postdoctoral Program; NASA Cryospheric Science, Sea Level Change Team; NASA Modeling, Analysis and Prediction (MAP) Programs; National Aeronautics and Space Administration; NASA Advanced Supercomputing Division</t>
  </si>
  <si>
    <t>NASA Postdoctoral Program(National Aeronautics &amp; Space Administration (NASA)); NASA Cryospheric Science, Sea Level Change Team; NASA Modeling, Analysis and Prediction (MAP) Programs; National Aeronautics and Space Administration(National Aeronautics &amp; Space Administration (NASA)); NASA Advanced Supercomputing Division</t>
  </si>
  <si>
    <t>We thank ESA/Copernicus and R. Saldo of DTU Space/Technical University of Denmark for making Sentinel 1 mosaics available via http://seaice.dk.This research was supported by the NASA Postdoctoral Program, along with the NASA Cryospheric Science, Sea Level Change Team, and Modeling, Analysis and Prediction (MAP) Programs, and was conducted at the Jet Propulsion Laboratory, California Institute of Technology, under contract with the National Aeronautics and Space Administration (c) 2022 All rights reserved. This project received grant funding from the Australian Government as part of the Antarctic Science Collaboration Initiative program. We gratefully acknowledge computational resources and support from the NASA Advanced Supercomputing Division.</t>
  </si>
  <si>
    <t>10.1038/s41586-022-05037-w</t>
  </si>
  <si>
    <t>4Z2JJ</t>
  </si>
  <si>
    <t>WOS:000838585900003</t>
  </si>
  <si>
    <t>Chadwick, M; Crosta, X; Esper, O; Thöle, L; Kohfeld, KE</t>
  </si>
  <si>
    <t>Chadwick, Matthew; Crosta, Xavier; Esper, Oliver; Thole, Lena; Kohfeld, Karen E.</t>
  </si>
  <si>
    <t>Compilation of Southern Ocean sea-ice records covering the last glacial-interglacial cycle (12-130 ka)</t>
  </si>
  <si>
    <t>LATE QUATERNARY; ANTARCTIC ICE; SURFACE TEMPERATURE; CHRONOLOGY AICC2012; CLIMATE VARIABILITY; PACIFIC SECTOR; INDIAN SECTOR; MARINE; RECONSTRUCTION; PROXY</t>
  </si>
  <si>
    <t>Antarctic sea ice forms a critical part of the Southern Ocean and global climate system. The behaviour of Antarctic sea ice throughout the last glacial-interglacial (G-IG) cycle (12 000-130 000 years) allows us to investigate the interactions between sea ice and climate under a large range of mean climate states. Understanding both temporal and spatial variations in Antarctic sea ice across a G-IG cycle is crucial to a better understanding of the G-IG regulation of atmospheric CO2, ocean circulation, nutrient cycling and productivity. This study presents 28 published qualitative and quantitative estimates of G-IG sea ice from 24 marine sediment cores and an Antarctic ice core. Sea ice is reconstructed from the sediment core records using diatom assemblages and from the ice core record using sea-salt sodium flux. Whilst all regions of the Southern Ocean display the same overall pattern in G-IG sea-ice variations, the magnitudes and timings vary between regions. Sea-ice cover is most sensitive to changing climate in the regions of high seaice outflow from theWeddell Sea and Ross Sea gyres, as indicated by the greatest magnitude changes in sea ice in these areas. In contrast the Scotia Sea sea-ice cover is much more resilient to moderate climatic warming, likely due to the meltwater stratification from high iceberg flux through iceberg alley helping to sustain high sea-ice cover outside of full glacial intervals. The differing sensitivities of sea ice to climatic shifts between different regions of the Southern Ocean has important implications for the spatial pattern of nutrient supply and primary productivity, which subsequently impact carbon uptake and atmospheric CO2 concentrations changes across a G-IG cycle.</t>
  </si>
  <si>
    <t>[Chadwick, Matthew] British Antarctic Survey, Cambridge, England; [Crosta, Xavier] Univ Bordeaux, CNRS, UMR 5805 EPOC, EPHE, Pessac, France; [Esper, Oliver] Helmholtz Ctr Polar &amp; Marine Res, Alfred Wegner Inst, Bremerhaven, Germany; [Thole, Lena] Univ Utrecht, Dept Earth Sci, Utrecht, Netherlands; [Kohfeld, Karen E.] Simon Fraser Univ, Sch Resource &amp; Environm Management, Vancouver, BC, Canada; [Kohfeld, Karen E.] Simon Fraser Univ, Sch Environm Sci, Vancouver, BC, Canada</t>
  </si>
  <si>
    <t>UK Research &amp; Innovation (UKRI); Natural Environment Research Council (NERC); NERC British Antarctic Survey; Universite PSL; Ecole Pratique des Hautes Etudes (EPHE); Universite de Bordeaux; Centre National de la Recherche Scientifique (CNRS); Helmholtz Association; Alfred Wegener Institute, Helmholtz Centre for Polar &amp; Marine Research; Utrecht University; Simon Fraser University; Simon Fraser University</t>
  </si>
  <si>
    <t>Chadwick, M (corresponding author), British Antarctic Survey, Cambridge, England.</t>
  </si>
  <si>
    <t>m.chadwick@cornwall-insight.com</t>
  </si>
  <si>
    <t>Chadwick, Matthew/HTM-7278-2023; IPO, PAGES/JXY-7546-2024</t>
  </si>
  <si>
    <t>Chadwick, Matthew/0000-0002-3861-4564; Thole, Lena/0000-0002-5405-3613; Kohfeld, Karen/0000-0001-7241-1624</t>
  </si>
  <si>
    <t>Past Global Changes Data Stewardship Scholarship [DSS_105]; National Sciences and Engineering Research Council of Canada Discovery Grant [RGPIN342251]</t>
  </si>
  <si>
    <t>Past Global Changes Data Stewardship Scholarship; National Sciences and Engineering Research Council of Canada Discovery Grant</t>
  </si>
  <si>
    <t>This research has been supported by a Past Global Changes Data Stewardship Scholarship (grant no. DSS_105) for Matthew Chadwick and a National Sciences and Engineering Research Council of Canada Discovery Grant (grant no. RGPIN342251) for Karen E. Kohfeld.</t>
  </si>
  <si>
    <t>10.5194/cp-18-1815-2022</t>
  </si>
  <si>
    <t>3Q1VE</t>
  </si>
  <si>
    <t>WOS:000838021200001</t>
  </si>
  <si>
    <t>Hoffmann, HM; Grieman, MM; King, ACF; Epifanio, JA; Martin, K; Vladimirova, D; Pryer, HV; Doyle, E; Schmidt, A; Humby, JD; Rowell, IF; Nehrbass-Ahles, C; Thomas, ER; Mulvaney, R; Wolff, EW</t>
  </si>
  <si>
    <t>Hoffmann, Helene M.; Grieman, Mackenzie M.; King, Amy C. F.; Epifanio, Jenna A.; Martin, Kaden; Vladimirova, Diana; Pryer, Helena V.; Doyle, Emily; Schmidt, Axel; Humby, Jack D.; Rowell, Isobel F.; Nehrbass-Ahles, Christoph; Thomas, Elizabeth R.; Mulvaney, Robert; Wolff, Eric W.</t>
  </si>
  <si>
    <t>The ST22 chronology for the Skytrain Ice Rise ice core - Part 1: A stratigraphic chronology of the last 2000 years</t>
  </si>
  <si>
    <t>ROOSEVELT ISLAND; SP19 CHRONOLOGY; SULFUR; ACCUMULATION; ANTARCTICA; CONSTRAINTS; DELTA-S-34; MIGRATION; ERUPTIONS; SULFATE</t>
  </si>
  <si>
    <t>A new ice core was drilled in West Antarctica on Skytrain Ice Rise in field season 2018/2019. This 651 m ice core is one of the main targets of the WACSWAIN (WArm Climate Stability of the West Antarctic ice sheet in the last INterglacial) project. A present-day accumulation rate of 13.5 cm w.e. yr(-1) was derived. Although the project mainly aims to investigate the last interglacial (115-130 ka), a robust chronology period covering the recent past is needed to constrain the age models for the deepest ice. Additionally, this time period is important for understanding current climatic changes in the West Antarctic region. Here, we present a stratigraphic chronology for the top 184.14 m of the Skytrain ice core based on absolute age tie points interpolated using annual layer counting encompassing the last 2000 years of climate history. Together with a model-based depth-age relationship of the deeper part of the ice core, this will form the ST22 chronology. The chemical composition, dust content, liquid conductivity, water isotope concentration and methane content of the whole core was analysed via continuous flow analysis (CFA) at the British Antarctic Survey. Annual layer counting was performed by manual counting of seasonal variations in mainly the sodium and calcium records. This counted chronology was informed and anchored by absolute age tie points, namely, the tritium peak (1965 CE) and six volcanic eruptions. Methane concentration variations were used to further constrain the counting error. A minimal error of +/- 1 year at the tie points was derived, accumulating to +/- 5 %-10 % of the age in the unconstrained sections between tie points. This level of accuracy enables data interpretation on at least decadal timescales and provides a solid base for the dating of deeper ice, which is the second part of the chronology.</t>
  </si>
  <si>
    <t>[Hoffmann, Helene M.; Grieman, Mackenzie M.; Pryer, Helena V.; Doyle, Emily; Rowell, Isobel F.; Nehrbass-Ahles, Christoph; Wolff, Eric W.] Univ Cambridge, Dept Earth Sci, Cambridge CB2 3EQ, England; [King, Amy C. F.; Vladimirova, Diana; Humby, Jack D.; Thomas, Elizabeth R.; Mulvaney, Robert] British Antarctic Survey, Madingley Rd, Cambridge CB3 0ET, England; [Schmidt, Axel] Fed Inst Hydrol, Mainzer Tor 1, D-56068 Koblenz, Germany; [Epifanio, Jenna A.; Martin, Kaden] Oregon State Univ, Coll Earth Ocean &amp; Atmospher Sci, Corvallis, OR 97331 USA</t>
  </si>
  <si>
    <t>University of Cambridge; UK Research &amp; Innovation (UKRI); Natural Environment Research Council (NERC); NERC British Antarctic Survey; Oregon State University</t>
  </si>
  <si>
    <t>Hoffmann, HM (corresponding author), Univ Cambridge, Dept Earth Sci, Cambridge CB2 3EQ, England.</t>
  </si>
  <si>
    <t>hmh52@cam.ac.uk</t>
  </si>
  <si>
    <t>Thomas, Elizabeth Ruth/ADF-3660-2022; Mulvaney, Robert/K-3929-2012; Wolff, Eric W/D-7925-2014</t>
  </si>
  <si>
    <t>Thomas, Elizabeth Ruth/0000-0002-3010-6493; Wolff, Eric W/0000-0002-5914-8531; Epifanio, Jenna/0000-0002-0430-5720; King, Amy/0000-0002-1285-7568; humby, jack/0000-0003-0526-2766; Vladimirova, Diana/0000-0002-1678-0174; Hoffmann, Helene/0000-0002-7527-5880; Grieman, Mackenzie/0000-0001-9610-7141</t>
  </si>
  <si>
    <t>European Research Council [742224]; Royal Society [RP/R/180003]; European Research Council (ERC) [742224] Funding Source: European Research Council (ERC)</t>
  </si>
  <si>
    <t>European Research Council(European Research Council (ERC)); Royal Society(Royal Society); European Research Council (ERC)(European Research Council (ERC)Spanish Government)</t>
  </si>
  <si>
    <t>This research has been supported by the H2020 European Research Council (WACSWAIN, grant no. 742224) and by a Royal Society Professorship (grant no. RP/R/180003).</t>
  </si>
  <si>
    <t>10.5194/cp-18-1831-2022</t>
  </si>
  <si>
    <t>3Q1WU</t>
  </si>
  <si>
    <t>gold, Green Submitted, Green Accepted</t>
  </si>
  <si>
    <t>WOS:000838025600001</t>
  </si>
  <si>
    <t>France, JL; Lunt, MF; Andrade, M; Moreno, I; Ganesan, AL; Lachlan-Cope, T; Fisher, RE; Lowry, D; Parker, RJ; Nisbet, EG; Jones, AE</t>
  </si>
  <si>
    <t>France, James L.; Lunt, Mark F.; Andrade, Marcos; Moreno, Isabel; Ganesan, Anita L.; Lachlan-Cope, Thomas; Fisher, Rebecca E.; Lowry, David; Parker, Robert J.; Nisbet, Euan G.; Jones, Anna E.</t>
  </si>
  <si>
    <t>Very large fluxes of methane measured above Bolivian seasonal wetlands</t>
  </si>
  <si>
    <t>methane; climate; wetlands; greenhouse gases</t>
  </si>
  <si>
    <t>EMISSIONS</t>
  </si>
  <si>
    <t>Methane (CH4) mole fractions from the large semiseasonal Llanos de Moxos wetlands (similar to 70,000 km(2)) in northern Bolivia were measured by aircraft flights and ground sampling during early March 2019 (late wet season). Daily fluxes of CH4 determined from the measurements using box models and inverse modeling were between 168 (+/- 50) and 456 (+/- 145) mg CH4.m(-2).d(-1) for the areas overflown, very high compared with those of previous Amazon basin studies. If the seasonality of the CH4 emissions is comparable to other parts of the Amazon Basin, the region could contribute as much as 8% of annual Amazonian CH4 emissions.</t>
  </si>
  <si>
    <t>[France, James L.; Lachlan-Cope, Thomas; Jones, Anna E.] NERC, British Antarctic Survey, Cambridge CB3 0ET, England; [France, James L.; Fisher, Rebecca E.; Lowry, David; Nisbet, Euan G.] Royal Holloway Univ London, Dept Earth Sci, Egham TW20 0EX, Surrey, England; [France, James L.] Environm Def Fund, London EC3M 1DT, England; [Lunt, Mark F.] Univ Edinburgh, Sch GeoSci, Edinburgh EH9 3FF, Midlothian, Scotland; [Andrade, Marcos; Moreno, Isabel] Univ Mayor San Andres, Inst Phys Res, Lab Atmospher Phys, La Paz 8635, Bolivia; [Andrade, Marcos] Univ Maryland, Dept Atmospher &amp; Ocean Sci, College Pk, MD 20742 USA; [Ganesan, Anita L.] Univ Bristol, Sch Geog Sci, Bristol BS8 1SS, Avon, England; [Parker, Robert J.] Univ Leicester, Natl Ctr Earth Observat, Leicester LE4 5SP, Leics, England</t>
  </si>
  <si>
    <t>UK Research &amp; Innovation (UKRI); Natural Environment Research Council (NERC); NERC British Antarctic Survey; University of London; Royal Holloway University London; Environmental Defense Fund; University of Edinburgh; Universidad Mayor de San Andres; University System of Maryland; University of Maryland College Park; University of Bristol; University of Leicester</t>
  </si>
  <si>
    <t>France, JL (corresponding author), NERC, British Antarctic Survey, Cambridge CB3 0ET, England.;France, JL (corresponding author), Royal Holloway Univ London, Dept Earth Sci, Egham TW20 0EX, Surrey, England.;France, JL (corresponding author), Environm Def Fund, London EC3M 1DT, England.</t>
  </si>
  <si>
    <t>james.france@rhul.ac.uk</t>
  </si>
  <si>
    <t>Lowry, David/JCE-0619-2023; Lowry, David/GXG-1235-2022; Lunt, Mark/A-7132-2014; Andrade Flores, Marcos Froilan/GSE-4415-2022; Ganesan, Anita/D-6230-2016; France, James/L-9719-2015</t>
  </si>
  <si>
    <t>Lunt, Mark/0000-0002-2391-5575; Ganesan, Anita/0000-0001-5715-8923; LOWRY, DAVID/0000-0002-8535-0346; France, James/0000-0002-8785-1240; Lachlan-Cope, Tom/0000-0002-0657-3235; Moreno Rivadeneira, Carina Isabel/0000-0001-9353-2388; Fisher, Rebecca/0000-0002-9262-5467; Lunt, Mark/0000-0002-0827-2137; Parker, Robert/0000-0002-0801-0831; Andrade, Marcos/0000-0002-9736-493X</t>
  </si>
  <si>
    <t>Natural Environment Research Council [NE/N016238/1, NE/S00159X/1, NE/N015584/1, NE/N015916/1, NE/V000780/1, NE/N018079/1, NE/L010992/1]</t>
  </si>
  <si>
    <t>This work was part of Methane Observations and Yearly Assessments, the United Kingdom's global methane budget study. The Natural Environment Research Council supported this work through grants to E.G.N. (NE/N016238/1 and NE/S00159X/1), A.E.J. (NE/N015584/1 and NE/N015916/1), R.E.F. (NE/V000780/1), and R.J.P. (NE/N018079/1), and through Fellowship NE/L010992/1 to A.L.G. This research used the Advanced Leicester Information and Computational Environment at the University of Leicester for the GOSAT retrievals. We thank the Japanese Aerospace Exploration Agency, National Institute for Environmental Studies, and the Ministry of Environment for the GOSAT data. We acknowledge very helpful discussions with John Miller, Luciana Gatti, and Emanuel Gloor. We especially thank Ambassador Ross Denny and the UK Foreign, Commonwealth &amp; Development Office. We are very grateful to the pilots, Mark Beasley and Andy van Kints, and Dan Beeden for logistics.</t>
  </si>
  <si>
    <t>AUG 9</t>
  </si>
  <si>
    <t>e2206345119</t>
  </si>
  <si>
    <t>10.1073/pnas.2206345119</t>
  </si>
  <si>
    <t>8X4GV</t>
  </si>
  <si>
    <t>WOS:000931973700070</t>
  </si>
  <si>
    <t>Jun, SY; Choi, J; Chambers, SD; Oh, M; Park, SJ; Choi, T; Kim, SJ; Williams, AG; Hong, SB</t>
  </si>
  <si>
    <t>Jun, Sang-Yoon; Choi, Jung; Chambers, S. D.; Oh, Mingi; Park, Sang -Jong; Choi, Taejin; Kim, Seong-Joong; Williams, A. G.; Hong, Sang -Bum</t>
  </si>
  <si>
    <t>Seasonality of Radon-222 near the surface at King Sejong Station (62°S), Antarctic Peninsula, and the role of atmospheric circulation based on observations and CAM-Chem model</t>
  </si>
  <si>
    <t>Radon; Seasonality; King sejong station; Antarctica; CAM-Chem</t>
  </si>
  <si>
    <t>TROPOSPHERIC CHEMISTRY; TRANSPORT MODEL; VARIABILITY; SIMULATIONS; AEROSOLS</t>
  </si>
  <si>
    <t>We examined the seasonal cycle of radon concentration observed at King Sejong Station (KSG, 62 degrees S), Antarctic Peninsula, during the period 2013-2016. The distribution of monthly radon concentration was found to be highly positively skewed from March through October (austral autumn to spring) due to large numbers of shortlived periods of high radon concentration. The global atmospheric chemistry model (CAM-Chem), which includes all global terrestrial sources of radon except for those in Antarctica, well reproduces the observed seasonal cycle of monthly-mean radon concentration at KSG. Further offline experiments suggest that uncertainties in radon emissions over South America and the Southern Ocean should be improved for the simulations of radon in Antarctica. The results demonstrate that seasonally varying transport of radon in the boundary layer from South America substantially affects the seasonality of monthly mean radon concentration at KSG. The composite analyses further reveal that high radon events at KSG are the result of a distinct east-west dipole-like structure associated with surface cyclonic circulation over the Bellingshausen Sea and anticyclonic circulation in the Weddell Sea. This atmospheric pattern provides favorable conditions for radon transport into KSG from the northwest. The relationship between radon concentration at KSG and climate variability is also discussed in this study.</t>
  </si>
  <si>
    <t>[Jun, Sang-Yoon; Oh, Mingi; Park, Sang -Jong; Choi, Taejin; Kim, Seong-Joong; Hong, Sang -Bum] Korea Polar Res Inst, 26 Songdomirae Ro, Incheon 21990, South Korea; [Choi, Jung] Seoul Natl Univ, Sch Earth &amp; Environm Sci, 1 Gwanak Ro, Seoul 08826, South Korea; [Chambers, S. D.; Williams, A. G.] Australian Nucl Sci &amp; Technol Org, Locked Bag 2001,Kirrawee DC, Sydney, NSW 2232, Australia</t>
  </si>
  <si>
    <t>Korea Polar Research Institute (KOPRI); Seoul National University (SNU); Australian Nuclear Science &amp; Technology Organisation</t>
  </si>
  <si>
    <t>Hong, SB (corresponding author), Korea Polar Res Inst, 26 Songdomirae Ro, Incheon 21990, South Korea.</t>
  </si>
  <si>
    <t>hong909@kopri.re.kr</t>
  </si>
  <si>
    <t>Park, Sang-Jong/B-7049-2011; Williams, Alastair/P-6946-2014</t>
  </si>
  <si>
    <t>Williams, Alastair/0000-0002-0568-8487</t>
  </si>
  <si>
    <t>Korea Polar Research Institute (KOPRI) - Ministry of Oceans and Fisheries [KOPRI PE22030]</t>
  </si>
  <si>
    <t>Korea Polar Research Institute (KOPRI) - Ministry of Oceans and Fisheries</t>
  </si>
  <si>
    <t>This work was supported by the Korea Polar Research Institute (KOPRI) grant funded by the Ministry of Oceans and Fisheries (KOPRI PE22030) . We sincerely thank the over -wintering staffs at King Sejong Station, King George Island, Antarctica, as well as Ot Sisoutham and Sylvester Werczynski at the Australian Nuclear Science and Technology Organisation for their support of the radon measurement program at King Sejong Station.</t>
  </si>
  <si>
    <t>10.1016/j.envres.2022.113998</t>
  </si>
  <si>
    <t>4X9SZ</t>
  </si>
  <si>
    <t>WOS:000861177300002</t>
  </si>
  <si>
    <t>Hu, ZY; Munneke, PK; Lhermitte, S; Dirscherl, M; Ji, CA; Broeke, MV</t>
  </si>
  <si>
    <t>Hu, Zhongyang; Munneke, Peter Kuipers; Lhermitte, Stef; Dirscherl, Mariel; Ji, Chaonan; Broeke, Michiel van den</t>
  </si>
  <si>
    <t>FABIAN: A daily product of Fractional Austral-summer Blue Ice over ANtarctica during 2000-2021 based on MODIS imagery using Google Earth Engine</t>
  </si>
  <si>
    <t>REMOTE SENSING OF ENVIRONMENT</t>
  </si>
  <si>
    <t>Blue ice; Antarctica; MODIS; Spectral mixture analysis; Google Earth Engine</t>
  </si>
  <si>
    <t>SPECTRAL MIXTURE ANALYSIS; CLOUD DETECTION; BYRD GLACIER; SNOW; AREAS; VEGETATION; MELTWATER; REFLECTANCE; SELECTION; BALANCE</t>
  </si>
  <si>
    <t>Antarctic blue ice areas are exposed due to erosion and sublimation of snow. At the same time, surface melt can form surface types that are spectrally similar to blue ice, especially at low elevations. These are termed melt -induced blue ice areas. Both types of blue ice are sensitive indicators of climate change. Satellite remote sensing is a powerful technique to retrieve the spatial extent of blue ice areas and their variation in time. Yet, existing satellite-derived blue ice area products are either mono-temporal for the entire Antarctic ice sheet, or multi-temporal for a limited area. Here, we present FABIAN, a product of blue ice fraction over Antarctica, derived from the moderate resolution imaging spectroradiometer (MODIS) archive covering the period 2000-2021. A spectral mixture analysis (SMA) in Google Earth Engine, based on a careful selection of end -member spectra, accurately reconstructs the reflectance observed by MODIS in blue ice areas. Based on a vali-dation with contemporaneous Sentinel-2 images, FABIAN has a root mean square error in blue ice fraction of approximately 10% -20% in wind-induced blue ice areas, and 20% -30% in melt-induced blue ice areas across six selected test sites in the coastal East Antarctic ice sheet. FABIAN is challenged in regions with shallow melt streams and lakes, since their spectral profiles are similar to those from blue ice areas in MODIS bands. For further analyses and applications, FABIAN holds the potential for (1) deriving annual blue ice area maps, (2) distinguishing between wind-and melt-induced blue ice types, (3) evaluating and correcting (regional) climate models, and (4) analyzing temporal variations in blue ice abundance and exposure.</t>
  </si>
  <si>
    <t>[Hu, Zhongyang; Munneke, Peter Kuipers; Broeke, Michiel van den] Univ Utrecht, Inst Marine &amp; Atmospher Res Utrecht IMAU, Princetonplein 5, NL-3584 CC Utrecht, Netherlands; [Lhermitte, Stef] Delft Univ Technol, Dept Geosci &amp; Remote Sensing, Bldg 23 Stevinweg 1, NL-2628 Delft, Netherlands; [Dirscherl, Mariel; Ji, Chaonan] German Remote Sensing Data Ctr DFD, German Aerosp Ctr DLR, Muenchener Str 20, D-82234 Wessling, Germany; [Ji, Chaonan] Humboldt Univ, Geog Dept, Appl Geoinformat Sci Lab, Unter Linden 6, D-10099 Berlin, Germany</t>
  </si>
  <si>
    <t>Utrecht University; Delft University of Technology; Helmholtz Association; German Aerospace Centre (DLR); Humboldt University of Berlin</t>
  </si>
  <si>
    <t>Hu, ZY (corresponding author), Univ Utrecht, Inst Marine &amp; Atmospher Res Utrecht IMAU, Princetonplein 5, NL-3584 CC Utrecht, Netherlands.</t>
  </si>
  <si>
    <t>z.hu@uu.nl</t>
  </si>
  <si>
    <t>Van den Broeke, Michiel R./F-7867-2011; Hu, Zhongyang/AAB-8419-2021; Lhermitte, Stef (Stefaan)/A-3385-2013</t>
  </si>
  <si>
    <t>Van den Broeke, Michiel R./0000-0003-4662-7565; Hu, Zhongyang/0000-0002-1793-3806; Lhermitte, Stef (Stefaan)/0000-0002-1622-0177</t>
  </si>
  <si>
    <t>Netherlands Space Office (NSO) [ALWGO.2018.039]</t>
  </si>
  <si>
    <t>Netherlands Space Office (NSO)</t>
  </si>
  <si>
    <t>The authors would like to thank Dr. Ghislain Picard, Dr. Steve Warren, Dr. Fengming Hui, and Dr. Maria Zatko for providing modeled wet snow spectrum and in-situ spectra measurements. This research was funded by the Netherlands Space Office (NSO) grant ALWGO.2018.039.</t>
  </si>
  <si>
    <t>0034-4257</t>
  </si>
  <si>
    <t>1879-0704</t>
  </si>
  <si>
    <t>REMOTE SENS ENVIRON</t>
  </si>
  <si>
    <t>Remote Sens. Environ.</t>
  </si>
  <si>
    <t>10.1016/j.rse.2022.113202</t>
  </si>
  <si>
    <t>Environmental Sciences; Remote Sensing; Imaging Science &amp; Photographic Technology</t>
  </si>
  <si>
    <t>Environmental Sciences &amp; Ecology; Remote Sensing; Imaging Science &amp; Photographic Technology</t>
  </si>
  <si>
    <t>5C0ZQ</t>
  </si>
  <si>
    <t>WOS:000863996700002</t>
  </si>
  <si>
    <t>Angelopoulos, M; Damm, E; Pereira, PS; Abrahamsson, K; Bauch, D; Bowman, J; Castellani, G; Creamean, J; Divine, DV; Dumitrascu, A; Fons, SW; Granskog, MA; Kolabutin, N; Krumpen, T; Marsay, C; Nicolaus, M; Oggier, M; Rinke, A; Sachs, T; Shimanchuk, E; Stefels, J; Stephens, M; Ulfsbo, A; Verdugo, J; Wang, L; Zhan, LY; Haas, C</t>
  </si>
  <si>
    <t>Angelopoulos, Michael; Damm, Ellen; Pereira, Patric Simoes; Abrahamsson, Katarina; Bauch, Dorothea; Bowman, Jeff; Castellani, Giulia; Creamean, Jessie; Divine, Dmitry V.; Dumitrascu, Adela; Fons, Steven W.; Granskog, Mats A.; Kolabutin, Nikolai; Krumpen, Thomas; Marsay, Chris; Nicolaus, Marcel; Oggier, Marc; Rinke, Annette; Sachs, Torsten; Shimanchuk, Egor; Stefels, Jacqueline; Stephens, Mark; Ulfsbo, Adam; Verdugo, Josefa; Wang, Lei; Zhan, Liyang; Haas, Christian</t>
  </si>
  <si>
    <t>Deciphering the Properties of Different Arctic Ice Types During the Growth Phase of MOSAiC: Implications for Future Studies on Gas Pathways</t>
  </si>
  <si>
    <t>sea ice; first-year ice; second-year ice; MOSAiC; Arctic Ocean; brine; gas pathways; permeability</t>
  </si>
  <si>
    <t>1ST-YEAR SEA-ICE; SNOW; SALINITY; 2ND-YEAR; PROFILE; NORTH</t>
  </si>
  <si>
    <t>The increased fraction of first year ice (FYI) at the expense of old ice (second-year ice (SYI) and multi-year ice (MYI)) likely affects the permeability of the Arctic ice cover. This in turn influences the pathways of gases circulating therein and the exchange at interfaces with the atmosphere and ocean. We present sea ice temperature and salinity time series from different ice types relevant to temporal development of sea ice permeability and brine drainage efficiency from freeze-up in October to the onset of spring warming in May. Our study is based on a dataset collected during the Multidisciplinary drifting Observatory for the Study of Arctic Climate (MOSAiC) Expedition in 2019 and 2020. These physical properties were used to derive sea ice permeability and Rayleigh numbers. The main sites included FYI and SYI. The latter was composed of an upper layer of residual ice that had desalinated but survived the previous summer melt and became SYI. Below this ice a layer of new first-year ice formed. As the layer of new first-year ice has no direct contact with the atmosphere, we call it insulated first-year ice (IFYI). The residual/SYI-layer also contained refrozen melt ponds in some areas. During the freezing season, the residual/SYI-layer was consistently impermeable, acting as barrier for gas exchange between the atmosphere and ocean. While both FYI and SYI temperatures responded similarly to atmospheric warming events, SYI was more resilient to brine volume fraction changes because of its low salinity ( &lt; 2). Furthermore, later bottom ice growth during spring warming was observed for SYI in comparison to FYI. The projected increase in the fraction of more permeable FYI in autumn and spring in the coming decades may favor gas exchange at the atmosphere-ice interface when sea ice acts as a source relative to the atmosphere. While the areal extent of old ice is decreasing, so is its thickness at the onset of freeze-up. Our study sets the foundation for studies on gas dynamics within the ice column and the gas exchange at both ice interfaces, i.e. with the atmosphere and the ocean.</t>
  </si>
  <si>
    <t>[Angelopoulos, Michael; Damm, Ellen; Rinke, Annette] Alfred Wegener Inst, Helmholtz Ctr Polar &amp; Marine Res, Potsdam, Germany; [Pereira, Patric Simoes; Abrahamsson, Katarina; Dumitrascu, Adela; Ulfsbo, Adam] Univ Gothenburg, Dept Marine Sci, Gothenburg, Sweden; [Bauch, Dorothea] Univ Kiel, Leibniz Lab Radiometr Dating &amp; Stable Isotope Res, Kiel, Germany; [Bauch, Dorothea] GEOMAR Helmholtz Ctr Ocean Res, Kiel, Germany; [Bowman, Jeff] Univ Calif San Diego, Scripps Inst Oceanog, La Jolla, CA USA; [Castellani, Giulia; Krumpen, Thomas; Nicolaus, Marcel; Verdugo, Josefa; Haas, Christian] Alfred Wegener Inst, Helmholtz Ctr Polar &amp; Marine Res, Bremerhaven, Germany; [Creamean, Jessie] Colorado State Univ, Dept Atmospher Sci, Ft Collins, CO USA; [Divine, Dmitry V.; Granskog, Mats A.; Oggier, Marc] Norwegian Polar Res Inst, Tromso, Norway; [Fons, Steven W.] Univ Maryland, Earth Syst Sci Interdisciplinary Ctr, College Pk, MD USA; [Fons, Steven W.] NASA Goddard Space Flight Ctr, Cryospher Sci Lab, Greenbelt, MD USA; [Kolabutin, Nikolai; Shimanchuk, Egor] Arctic &amp; Antarctic Res Inst, St Petersburg, Russia; [Marsay, Chris] Univ Georgia, Skidaway Inst Oceanog, Savannah, GA USA; [Oggier, Marc] Univ Alaska Fairbanks, Int Arctic Res Ctr, Fairbanks, AK USA; [Sachs, Torsten] GFZ German Res Ctr Geosci, Sect Remote Sensing &amp; Geoinformat, Potsdam, Germany; [Stefels, Jacqueline] Univ Groningen, GELIFES, Groningen, Netherlands; [Stephens, Mark] Florida Int Univ, Appl Res Ctr, Miami, FL USA; [Verdugo, Josefa] Univ Bremen, Fac Biol Chem 2, Bremen, Germany; [Wang, Lei] Beijing Normal Univ, State Key Lab Earth Surface Proc &amp; Resource Ecol, Beijing, Peoples R China; [Zhan, Liyang] Minist Nat Resources, Inst Oceanog 3, Xiamen, Peoples R China</t>
  </si>
  <si>
    <t>Helmholtz Association; Alfred Wegener Institute, Helmholtz Centre for Polar &amp; Marine Research; University of Gothenburg; University of Kiel; Helmholtz Association; GEOMAR Helmholtz Center for Ocean Research Kiel; University of California System; University of California San Diego; Scripps Institution of Oceanography; Helmholtz Association; Alfred Wegener Institute, Helmholtz Centre for Polar &amp; Marine Research; Colorado State University; Norwegian Polar Institute; University System of Maryland; University of Maryland College Park; National Aeronautics &amp; Space Administration (NASA); NASA Goddard Space Flight Center; Arctic &amp; Antarctic Research Institute; University System of Georgia; University of Georgia; Skidaway Institute of Oceanography; University of Alaska System; University of Alaska Fairbanks; Helmholtz Association; Helmholtz-Center Potsdam GFZ German Research Center for Geosciences; University of Groningen; State University System of Florida; Florida International University; University of Bremen; Beijing Normal University; Ministry of Natural Resources of the People's Republic of China; Third Institute of Oceanography, Ministry of Natural Resources</t>
  </si>
  <si>
    <t>Angelopoulos, M (corresponding author), Alfred Wegener Inst, Helmholtz Ctr Polar &amp; Marine Res, Potsdam, Germany.</t>
  </si>
  <si>
    <t>michael.angelopoulos@awi.de</t>
  </si>
  <si>
    <t>amplification, ³ - Arctic/AAU-6640-2020; Sachs, Torsten/P-8840-2015; Nicolaus, Marcel/A-3658-2013; wang, lei/JQV-5907-2023; Creamean, Jessie/GPP-1366-2022; Verdugo, Josefa/HKE-6338-2023; Krumpen, Thomas/D-5163-2011; Rinke, Annette/B-4922-2014; Kolabutin, Nikolay/G-7252-2015</t>
  </si>
  <si>
    <t>Nicolaus, Marcel/0000-0003-0903-1746; Krumpen, Thomas/0000-0001-6234-8756; Marsay, Christopher/0000-0003-1244-0444; Stephens, Mark/0000-0002-2491-4654; Rinke, Annette/0000-0002-6685-9219; Sachs, Torsten/0000-0002-9959-4771; Kolabutin, Nikolay/0000-0002-4107-5223; Bowman, Jeff/0000-0002-8811-6280</t>
  </si>
  <si>
    <t>German Federal Ministry for Education and Research (BMBF); RV Polarstern expedition PS122 [N-2014-H-060_Dethloff]; AWI_ICE; AWI_SNOW; AWI_ECO; AWI_BGC; German Research Foundation (DFG) [429838323, 414169436, TRR172-AC3, 268020496]; Swedish Research Council Formas [2018-01398]; Swedish Polar Research Secretariat; Research Council of Norway - through project HAVOC [280292]; EU H2020 - ARICE [730695]; US National Science Foundation (NSF) Office of Polar Programs [OPP-1735862, OPP-1821911, OPP-1753423, OPP-1753418]; National Aeronautics and Space Administration (NASA) Cryospheric Sciences Internal Scientist Funding Model (ISFM); Dutch Science Foundation (NWO) under the Polar Program [866.18.002]; Chinese Polar Environmental Comprehensive Investigation and Assessment Programs - Chinese Arctic and Antarctic Administration; National Natural Science Foundation of China [41676186]; Formas [2018-01398] Funding Source: Formas; Swedish Research Council [2018-01398] Funding Source: Swedish Research Council</t>
  </si>
  <si>
    <t>German Federal Ministry for Education and Research (BMBF)(Federal Ministry of Education &amp; Research (BMBF)); RV Polarstern expedition PS122; AWI_ICE; AWI_SNOW; AWI_ECO; AWI_BGC; German Research Foundation (DFG)(German Research Foundation (DFG)); Swedish Research Council Formas(Swedish Research Council Formas); Swedish Polar Research Secretariat; Research Council of Norway - through project HAVOC(Research Council of Norway); EU H2020 - ARICE; US National Science Foundation (NSF) Office of Polar Programs(National Science Foundation (NSF)); National Aeronautics and Space Administration (NASA) Cryospheric Sciences Internal Scientist Funding Model (ISFM); Dutch Science Foundation (NWO) under the Polar Program; Chinese Polar Environmental Comprehensive Investigation and Assessment Programs - Chinese Arctic and Antarctic Administration; National Natural Science Foundation of China(National Natural Science Foundation of China (NSFC)); Formas(Swedish Research Council Formas); Swedish Research Council(Swedish Research Council)</t>
  </si>
  <si>
    <t>The work was funded by: center dot German Federal Ministry for Education and Research (BMBF) through financing the Alfred-Wegener-Institut Helmholtz Zentrum fur Polar-und Meeresforschung (AWI) and the RV Polarstern expedition PS122 under grant N-2014-H-060_Dethloff center dot The AWI through its projects: AWI_ICE, AWI_SNOW, AWI_ECO, AWI_BGC center dot German Research Foundation (DFG): 429838323 center dot German Research Foundation (DFG): 414169436 center dot German Research Foundation (DFG): TRR172-AC3 project (grant: 268020496) center dot The Swedish Research Council Formas (grant: 2018-01398) center dot Swedish Polar Research Secretariat center dot The Research Council of Norway - through project HAVOC (grant: 280292) center dot EU H2020 - ARICE (EU grant agreement: 730695) center dot US National Science Foundation (NSF) Office of Polar Programs: OPP-1735862 center dot US National Science Foundation (NSF) Office of Polar Programs: OPP-1821911 center dot US National Science Foundation (NSF) Office of Polar Programs: OPP-1753423 center dot US National Science Foundation (NSF) Office of Polar Programs: OPP-1753418 center dot The National Aeronautics and Space Administration (NASA) Cryospheric Sciences Internal Scientist Funding Model (ISFM) center dot Dutch Science Foundation (NWO) under the Polar Program, project number: 866.18.002 center dot Chinese Polar Environmental Comprehensive Investigation and Assessment Programs, funded by the Chinese Arctic and Antarctic Administration; National Natural Science Foundation of China (grant: 41676186)</t>
  </si>
  <si>
    <t>10.3389/feart.2022.864523</t>
  </si>
  <si>
    <t>3Y6OY</t>
  </si>
  <si>
    <t>WOS:000843843800001</t>
  </si>
  <si>
    <t>Granitto, M; Lopez, ME; Rodríguez, P</t>
  </si>
  <si>
    <t>Granitto, Maria; Eugenia Lopez, Maria; Rodriguez, Patricia</t>
  </si>
  <si>
    <t>Periphyton structure and stoichiometry along a gradient of urban land use in Sub-Antarctic streams from Tierra del Fuego, Argentina</t>
  </si>
  <si>
    <t>Periphyton; Urbanization; Stoichiometry; Algae; Lotic ecosystems</t>
  </si>
  <si>
    <t>N-P; ECOLOGICAL STOICHIOMETRY; NUTRIENT STOICHIOMETRY; COMMUNITY STRUCTURE; CHLOROPHYLL-A; FOOD-WEB; BIOMASS; PHOSPHORUS; CARBON; LIGHT</t>
  </si>
  <si>
    <t>We analyzed periphyton structure, elemental composition: carbon (C), nitrogen (N) and phosphorus (P), and algal composition along an urban gradient in three water courses of Ushuaia City. We hypothesize that periphyton stoichiometric ratios (C:N, C:P and N:P) decrease with the increase of urban land use. Also, community structure is affected by urban land use; sites with major surrounding urban and higher nutrient load host larger biomass and different algae composition compared to more pristine sites. P content and mass fractions of periphyton increased along the urban gradient as well as dissolved P in the water. Periphyton molar ratios N:P and C:P showed a negative lineal relationship with the gradient of urban land use. In general, periphyton was dominated by diatoms although Chlorophyta biovolume, mainly composed of filamentous algae, increased significantly in sites with 70% of urban land use. Our data suggest that there is no homeostatic balance in the periphyton community in Sub-Antarctic streams; we detected more P in periphyton in urban sites and the community became thus less heterotrophic. This study helps to better understand the dynamics of nutrients and its influence over a sessile community in sub-Antarctic lotic ecosystems impacted by urbanization.</t>
  </si>
  <si>
    <t>[Granitto, Maria; Eugenia Lopez, Maria; Rodriguez, Patricia] Ctr Austral Invest Cient Consejo Nacl Invest Cien, Houssay 200, RA-9410 Ushuaia, Tierra Del Fueg, Argentina; [Rodriguez, Patricia] Univ Nacl Tierra Fuego, Inst Ciencias Polares Ambiente &amp; Recursos Nat ICP, Ushuaia, Argentina</t>
  </si>
  <si>
    <t>Granitto, M (corresponding author), Ctr Austral Invest Cient Consejo Nacl Invest Cien, Houssay 200, RA-9410 Ushuaia, Tierra Del Fueg, Argentina.</t>
  </si>
  <si>
    <t>mgranitto@agro.uba.ar</t>
  </si>
  <si>
    <t>Argentinian ANPCyT [PICT 2015 1152, PICT 2017 0164]; CONICET (PUE 2016); National University of Tierra del Fuego (PIDUNTdF)</t>
  </si>
  <si>
    <t>Argentinian ANPCyT; CONICET (PUE 2016); National University of Tierra del Fuego (PIDUNTdF)</t>
  </si>
  <si>
    <t>This study was performed with funding from Argentinian ANPCyT (PICT 2015 1152 and PICT 2017 0164), National University of Tierra del Fuego (PIDUNTdF), and CONICET (PUE 2016 to CADIC).</t>
  </si>
  <si>
    <t>10.1007/s10750-022-04951-4</t>
  </si>
  <si>
    <t>4A0CY</t>
  </si>
  <si>
    <t>WOS:000837919300003</t>
  </si>
  <si>
    <t>Amsler, HE; Thöle, LM; Stimac, I; Geibert, W; Ikehara, M; Kuhn, G; Esper, O; Jaccard, SL</t>
  </si>
  <si>
    <t>Amsler, Helen Eri; Thoele, Lena Mareike; Stimac, Ingrid; Geibert, Walter; Ikehara, Minoru; Kuhn, Gerhard; Esper, Oliver; Jaccard, Samuel Laurent</t>
  </si>
  <si>
    <t>Bottom water oxygenation changes in the southwestern Indian Ocean as an indicator for enhanced respired carbon storage since the last glacial inception</t>
  </si>
  <si>
    <t>DEEP SOUTHERN-OCEAN; RADIOCARBON AGE CALIBRATION; ATMOSPHERIC CO2; AUTHIGENIC URANIUM; ATLANTIC SECTOR; LATE QUATERNARY; SEA-ICE; DOME C; OVERTURNING CIRCULATION; CLIMATE VARIABILITY</t>
  </si>
  <si>
    <t>We present downcore records of redox-sensitive authigenic uranium (U) and manganese (Mn) concentrations based on five marine sediment cores spanning a meridional transect encompassing the Subantarctic and Antarctic zones in the southwestern Indian Ocean covering the last glacial cycle. These records signal lower bottom water oxygenation during glacial climate intervals and generally higher oxygenation during warm periods, consistent with climate-related changes in deep-ocean remineralized carbon storage. Regional changes in the export of siliceous phytoplankton to the deep sea may have entailed a secondary influence on oxygen levels at the water-sediment interface, especially in the Subantarctic Zone. The rapid reoxygenation during the deglaciation is in line with increased ventilation and enhanced upwelling after the Last Glacial Maximum (LGM), which in combination conspired to transfer previously sequestered remineralized carbon to the surface ocean and the atmosphere, contributing to propel the Earth's climate out of the last ice age. These records highlight the still insufficiently documented role that the Southern Indian Ocean played in the air-sea partitioning of CO2 on glacial- interglacial timescales.</t>
  </si>
  <si>
    <t>[Amsler, Helen Eri; Thoele, Lena Mareike; Jaccard, Samuel Laurent] Univ Bern, Inst Geol Sci, Bern, Switzerland; [Amsler, Helen Eri; Thoele, Lena Mareike; Jaccard, Samuel Laurent] Univ Bern, Oeschger Ctr Climate Change Res, Bern, Switzerland; [Thoele, Lena Mareike] Univ Utrecht, Dept Earth Sci, Utrecht, Netherlands; [Stimac, Ingrid; Geibert, Walter; Kuhn, Gerhard; Esper, Oliver] Helmholtz Zentrum Polar &amp; Meeresforsch, Alfred Wegener Inst, Bremerhaven, Germany; [Ikehara, Minoru] Kochi Univ, Ctr Adv Marine Core Res, Kochi, Japan; [Jaccard, Samuel Laurent] Univ Lausanne, Inst Earth Sci, Lausanne, Switzerland</t>
  </si>
  <si>
    <t>University of Bern; University of Bern; Utrecht University; Helmholtz Association; Alfred Wegener Institute, Helmholtz Centre for Polar &amp; Marine Research; Kochi University; University of Lausanne</t>
  </si>
  <si>
    <t>Amsler, HE; Jaccard, SL (corresponding author), Univ Bern, Inst Geol Sci, Bern, Switzerland.;Amsler, HE; Jaccard, SL (corresponding author), Univ Bern, Oeschger Ctr Climate Change Res, Bern, Switzerland.;Jaccard, SL (corresponding author), Univ Lausanne, Inst Earth Sci, Lausanne, Switzerland.</t>
  </si>
  <si>
    <t>eri.amsler@unibe.ch; samuel.jaccard@unil.ch</t>
  </si>
  <si>
    <t>Geibert, Walter/ABA-9785-2020; Jaccard, Samuel/G-3447-2014</t>
  </si>
  <si>
    <t>Geibert, Walter/0000-0001-8646-2334; Thole, Lena/0000-0002-5405-3613; Ikehara, Minoru/0000-0002-2695-4713; Kuhn, Gerhard/0000-0001-6069-7485; Jaccard, Samuel/0000-0002-5793-0896; Amsler, Helen Eri/0000-0001-9603-9003</t>
  </si>
  <si>
    <t>Swiss National Science Foundation [PP00P2_144811, 200021_163003]; Swiss National Science Foundation (SNF) [200021_163003, PP00P2_144811] Funding Source: Swiss National Science Foundation (SNF)</t>
  </si>
  <si>
    <t>Swiss National Science Foundation(Swiss National Science Foundation (SNSF)); Swiss National Science Foundation (SNF)(Swiss National Science Foundation (SNSF))</t>
  </si>
  <si>
    <t>This research has been supported by the Swiss National Science Foundation (grant nos. PP00P2_144811 and 200021_163003).</t>
  </si>
  <si>
    <t>10.5194/cp-18-1797-2022</t>
  </si>
  <si>
    <t>3P7PX</t>
  </si>
  <si>
    <t>WOS:000837728200001</t>
  </si>
  <si>
    <t>Zhao, GH; Hu, YY; Zeng, X; Zhang, M; Zhou, Z; Qin, L; Yin, FW; Zhou, DY; Shahidi, F</t>
  </si>
  <si>
    <t>Zhao, Guan-Hua; Hu, Yuan-Yuan; Zeng, Xiangbo; Zhang, Min; Zhou, Zheng; Qin, Lei; Yin, Fa-Wen; Zhou, Da-Yong; Shahidi, Fereidoon</t>
  </si>
  <si>
    <t>A direct and facile simultaneous quantification of non-polar and polar lipids in different species of marine samples using normal-phase HPLC-CAD</t>
  </si>
  <si>
    <t>JOURNAL OF FOOD COMPOSITION AND ANALYSIS</t>
  </si>
  <si>
    <t>Non-polar lipids; Polar lipids; HPLC-CAD; Marine samples; Simultaneous quantification</t>
  </si>
  <si>
    <t>LIQUID; PHOSPHOLIPIDS; TRIACYLGLYCEROLS; SEPARATION; ACIDS</t>
  </si>
  <si>
    <t>This study aimed to develop a sensitive and reliable normal-phase high-performance liquid chromatography-charged aerosol detector (NP-HPLC-CAD) method for direct and simultaneous quantification of diverse and complex lipid classes in marine samples. The 33-minute HPLC method so developed effectively separates 10 classes of non-polar and polar lipid. The quantitative calibration curves for all 10 lipid classes were built with satisfactory correlation coefficients (R-2 &gt;= 0.9910), wide linear range (0.01-5.00 mg/mL), low limit of detection (LOD, 2-40 ng) and limit of quantification (LOQ, 4-80 ng). The precision (relative standard deviation of 2.33-7.13 %) and recovery rate (83.69-108.06 %) for the quantitative method met the acceptance criteria of FDA guidelines. Finally, the NP-HPLC-CAD method was successfully used to analyze marine lipid samples from abalone, oyster, scallop, mussel and Antarctic krill. Results show complex lipid composition of marine samples, mainly containing triacylglycerol, phosphatidylethanolamine and phosphatidylcholine.</t>
  </si>
  <si>
    <t>[Zhao, Guan-Hua; Hu, Yuan-Yuan; Zeng, Xiangbo; Zhang, Min; Zhou, Zheng; Qin, Lei; Yin, Fa-Wen; Zhou, Da-Yong] Dalian Polytech Univ, Sch Food Sci &amp; Technol, Dalian 116034, Peoples R China; [Zhao, Guan-Hua; Hu, Yuan-Yuan; Zeng, Xiangbo; Zhang, Min; Zhou, Zheng; Qin, Lei; Yin, Fa-Wen; Zhou, Da-Yong] Natl Engn Res Ctr Seafood, Dalian 116034, Peoples R China; [Qin, Lei; Yin, Fa-Wen; Zhou, Da-Yong] Dalian Polytech Univ, Collaborat Innovat Ctr Seafood Deep Proc, Dalian 116034, Peoples R China; [Shahidi, Fereidoon] Mem Univ Newfoundland, Dept Biochem, St John, NF A1C 5S7, Canada</t>
  </si>
  <si>
    <t>Dalian Polytechnic University; Dalian Polytechnic University; Dalian Polytechnic University; Memorial University Newfoundland</t>
  </si>
  <si>
    <t>Zhou, DY (corresponding author), Dalian Polytech Univ, Sch Food Sci &amp; Technol, Dalian 116034, Peoples R China.</t>
  </si>
  <si>
    <t>zhaoguanhua17@outlook.com; zdyzf1@163.com</t>
  </si>
  <si>
    <t>Zhao, Guan-hua/AGL-8404-2022; hu, yuan/HTL-4197-2023</t>
  </si>
  <si>
    <t>Zhao, Guan-hua/0000-0002-9040-2622;</t>
  </si>
  <si>
    <t>National Natural Science Foundation of China [31871759]; National Key R&amp;D Program of China [2018YFD0901002]; Central Funds Guiding the Local Science and Technology Development [2020JH6/10500002]</t>
  </si>
  <si>
    <t>National Natural Science Foundation of China(National Natural Science Foundation of China (NSFC)); National Key R&amp;D Program of China; Central Funds Guiding the Local Science and Technology Development</t>
  </si>
  <si>
    <t>This work was financially supported by The National Natural Science Foundation of China (31871759), National Key R&amp;D Program of China (2018YFD0901002), and Central Funds Guiding the Local Science and Technology Development (2020JH6/10500002).</t>
  </si>
  <si>
    <t>0889-1575</t>
  </si>
  <si>
    <t>1096-0481</t>
  </si>
  <si>
    <t>J FOOD COMPOS ANAL</t>
  </si>
  <si>
    <t>J. Food Compos. Anal.</t>
  </si>
  <si>
    <t>10.1016/j.jfca.2022.104813</t>
  </si>
  <si>
    <t>Chemistry, Applied; Food Science &amp; Technology</t>
  </si>
  <si>
    <t>Chemistry; Food Science &amp; Technology</t>
  </si>
  <si>
    <t>6Q7JV</t>
  </si>
  <si>
    <t>WOS:000891788000001</t>
  </si>
  <si>
    <t>Zheng, ZQ; Nie, YG; Chen, X; Jin, J; Chen, QQ; Liu, XD</t>
  </si>
  <si>
    <t>Zheng, Zhangqin; Nie, Yaguang; Chen, Xin; Jin, Jing; Chen, Qianqian; Liu, Xiaodong</t>
  </si>
  <si>
    <t>Historical population dynamics of the Adelie penguin in response to atmospheric-ocean circulation patterns at Beaufort Island, Ross Sea, Antarctica</t>
  </si>
  <si>
    <t>Climate change; Adelie penguin population; Generalized additive models; Ornithogenic sediments</t>
  </si>
  <si>
    <t>NINO-SOUTHERN OSCILLATION; CLIMATE-CHANGE; ICE-AGE; ORNITHOGENIC SEDIMENTS; PHYTOPLANKTON BLOOM; SNOW ACCUMULATION; PACIFIC SECTOR; ARDLEY ISLAND; ANNULAR MODE; REGION</t>
  </si>
  <si>
    <t>Changes in sea ice extent and polynya size and productivity associated with climate conditions in the Ross Sea region have an important role on the ecological responses of Adelie penguins (Pygoscelis adeliae). Nevertheless, there have been few studies that elaborate on the effects of atmospheric and oceanic circulation on their populations. Here, we reconstructed the population dynamics of Adelie penguins on Beaufort Island during the past 350 years using various alternative geochemical indices and Generalized Additive Models (GAMs). We explored the effects of atmospheric-ocean circulation patterns, including the El Nino-Southern Oscillation (ENSO), the Southern Annular Mode (SAM), and the Amundsen Sea Low (ASL), on the population ecology of penguins. The results indicated that their population on the island has been growing with fluctuations since similar to 1650 AD, and there were three significant increases, corresponding to 1650-1750, 1825-1900 and after 1950 AD. It was revealed that climate warming in this region was not a necessary factor for penguin population growth, since their populations maintained an increasing trend during the Little Ice Age (LIA) when relatively colder climate conditions prevailed. The present results indicated that atmospheric-ocean circulation patterns likely impose prominent influences on the historical change of penguin populations on Beaufort Island.</t>
  </si>
  <si>
    <t>[Zheng, Zhangqin; Chen, Xin; Jin, Jing; Chen, Qianqian; Liu, Xiaodong] Univ Sci &amp; Technol China, Sch Earth &amp; Space Sci, Anhui Prov Key Lab Polar Environm &amp; Global Change, Hefei 230026, Anhui, Peoples R China; [Nie, Yaguang] Anhui Univ, Inst Phys Sci &amp; Informat Technol, Informat Mat &amp; Intelligent Sensing Lab Anhui Prov, Hefei 230601, Peoples R China; [Chen, Xin] Shanghai Jiao Tong Univ, Sch Oceanog, Shanghai 200240, Peoples R China; [Jin, Jing] USTC, City U Joint Adv Res Ctr, Suzhou 215123, Jiangsu, Peoples R China; [Chen, Qianqian] Anhui Prov Comm CPC, Party Sch, Hefei 230022, Peoples R China; [Liu, Xiaodong] Univ Sci &amp; Technol China, Sch Earth &amp; Space Sci, CAS Key Lab Crust Mantle Mat &amp; Environm, Hefei 230026, Peoples R China</t>
  </si>
  <si>
    <t>Chinese Academy of Sciences; University of Science &amp; Technology of China, CAS; Anhui University; Shanghai Jiao Tong University; Chinese Academy of Sciences; University of Science &amp; Technology of China, CAS; Chinese Academy of Sciences; University of Science &amp; Technology of China, CAS</t>
  </si>
  <si>
    <t>Liu, XD (corresponding author), Univ Sci &amp; Technol China, Sch Earth &amp; Space Sci, Anhui Prov Key Lab Polar Environm &amp; Global Change, Hefei 230026, Anhui, Peoples R China.;Nie, YG (corresponding author), Anhui Univ, Inst Phys Sci &amp; Informat Technol, Informat Mat &amp; Intelligent Sensing Lab Anhui Prov, Hefei 230601, Peoples R China.</t>
  </si>
  <si>
    <t>nyg@ahu.edu.cn; ycx@ustc.edu.cn</t>
  </si>
  <si>
    <t>Chinese Arctic and Antarctic Administration of the State Oceanic Administration; United States Antarctic Program (USAP); National Natural Science Foundation of China [41776188, 41976191]; strategic Priority Research Program of Chinese Academy of Sciences [XDB40000000]; Fundamental Research Funds for the Central Universities</t>
  </si>
  <si>
    <t>Chinese Arctic and Antarctic Administration of the State Oceanic Administration; United States Antarctic Program (USAP); National Natural Science Foundation of China(National Natural Science Foundation of China (NSFC)); strategic Priority Research Program of Chinese Academy of Sciences(Chinese Academy of Sciences); Fundamental Research Funds for the Central Universities(Fundamental Research Funds for the Central Universities)</t>
  </si>
  <si>
    <t>We thank the Chinese Arctic and Antarctic Administration of the State Oceanic Administration for project support. We also thank the United States Antarctic Program (USAP) and Raytheon Polar Services for logistical support. Steven D. Emslie, J. Smykla, E. Gruber and L. Coats are acknowledged for their valuable assistance in the field and Prof. Yongsong Huang is acknowledged for kindly help in organic experimental analysis. Steven D. Emslie and David Ainley are acknowledged for their help in improving the preliminary manuscript. This study is supported by National Natural Science Foundation of China (Grant Nos. 41776188 and 41976191), the strategic Priority Research Program of Chinese Academy of Sciences (Grant No. XDB40000000), and the Fundamental Research Funds for the Central Universities.</t>
  </si>
  <si>
    <t>10.1016/j.gloplacha.2022.103892</t>
  </si>
  <si>
    <t>5A5MH</t>
  </si>
  <si>
    <t>WOS:000862931200002</t>
  </si>
  <si>
    <t>Chiswell, SM; Boyd, PW; Sander, SG; Ellwood, MJ; Milne, A</t>
  </si>
  <si>
    <t>Chiswell, Stephen M.; Boyd, Philip W.; Sander, Sylvia G.; Ellwood, Michael J.; Milne, Angela</t>
  </si>
  <si>
    <t>Mesoscale eddies and the impact of coastal iron supply on primary production in the South Pacific Subtropical Front</t>
  </si>
  <si>
    <t>Iron supply; Neritic water; Subtropical water; Primary production; South -west Pacific ocean; New Zealand</t>
  </si>
  <si>
    <t>OCEAN; VARIABILITY; BLOOM; CIRCULATION; DEPOSITION; WAIRARAPA; SEAWATER; SHELF</t>
  </si>
  <si>
    <t>Subtropical and subantarctic waters either side of the southern hemisphere Subtropical Front are considered iron-limited, suggesting production within the front is dependent on a supply of iron from atmospheric depo-sition, zonal advection of coastal water, or upwelling. We present the results from a one-day biogeochemical survey in Subtropical Water east of the North Island, New Zealand, in a region where mesoscale cyclonic and anticyclonic eddies entrain chlorophyll in filaments around the eddies. There was no significant relationship between upper mixed layer chlorophyll and any physical or macronutrient quantity. However, chlorophyll was significantly positively correlated with dissolved iron. A simple model suggests that while vertical entrainment of iron into the upper mixed layer occurred, most of the dissolved iron in the eddy was due to entrainment of high-iron coastal water into low-iron offshore Subtropical Water, and that this iron supports primary production in otherwise iron-deficient water. We suggest that a significant component of the total primary production within the Subtropical Front may be determined by mesoscale eddy induced lateral advection of iron.</t>
  </si>
  <si>
    <t>[Chiswell, Stephen M.] Natl Inst Water &amp; Atmospher Res NIWA, Wellington, New Zealand; [Boyd, Philip W.] Univ Tasmania, Inst Marine &amp; Antarctic Studies, Hobart, Tas 7004, Australia; [Sander, Sylvia G.] Univ Otago, Res Ctr Oceanog, Dept Chem, NIWA, Dunedin 9054, New Zealand; [Sander, Sylvia G.] Marine Mineral Resources, GEOMAR Helmholtz Ctr Ocean Res Kiel, Dynam Ocean Floor, D-24148 Kiel, Germany; [Ellwood, Michael J.] Australian Natl Univ, Res Sch Earth Sci, Canberra, ACT 2601, Australia; [Milne, Angela] Univ Plymouth, Sch Geog Earth &amp; Environm Sci, Plymouth PL4 8AA, England</t>
  </si>
  <si>
    <t>National Institute of Water &amp; Atmospheric Research (NIWA) - New Zealand; University of Tasmania; University of Otago; Helmholtz Association; GEOMAR Helmholtz Center for Ocean Research Kiel; Australian National University; University of Plymouth</t>
  </si>
  <si>
    <t>Chiswell, SM (corresponding author), Natl Inst Water &amp; Atmospher Res NIWA, Wellington, New Zealand.</t>
  </si>
  <si>
    <t>s.chiswell@niwa.cri.nz</t>
  </si>
  <si>
    <t>Sander, Sylvia/AAC-3559-2022; Ellwood, Michael J/G-7390-2011; Boyd, Philip W/J-7624-2014; Milne, Angela/O-2786-2016</t>
  </si>
  <si>
    <t>Sander, Sylvia/0000-0001-9581-9737; Ellwood, Michael/0000-0003-4288-8530; Milne, Angela/0000-0002-3304-8962; Chiswell, Stephen/0000-0002-5957-3706</t>
  </si>
  <si>
    <t>Ocean Biology Processing Group (OBPG) at NASA's Goddard Space Flight Center; New Zealand Ministry of Business, Innovation and Employment; Australian Research Council [DP170102108, DP130100679]; Natural Environmental Research Council [NERC NE/H004475/1]</t>
  </si>
  <si>
    <t>Ocean Biology Processing Group (OBPG) at NASA's Goddard Space Flight Center; New Zealand Ministry of Business, Innovation and Employment(New Zealand Ministry of Business, Innovation and Employment (MBIE)); Australian Research Council(Australian Research Council); Natural Environmental Research Council(UK Research &amp; Innovation (UKRI)Natural Environment Research Council (NERC))</t>
  </si>
  <si>
    <t>We thank all those involved during the cruise, including the Master and crew of RV Tangaroa for their contribution to the data collection. Simon Wood provided daily satellite images to aid us in locating the eddy. The MODIS ocean colour data are made freely available by NASA's Ocean Colour Program supported by the Ocean Biology Processing Group (OBPG) at NASA's Goddard Space Flight Center (https://oceanc olor.gsfc.nasa.gov/). AVISO ocean altimeter data are made freely available and distributed by AVISO (https:// www.aviso.altimetry.fr/). This work was funded by the New Zealand Ministry of Business, Innovation and Employment through several grants to NIWA. MJE was supported by the Australian Research Council [grants DP170102108 and DP130100679]. AM was supported by the Natural Environmental Research Council [grant NERC NE/H004475/1 awarded to Maeve Lohan]. The IAEA is grateful to the Government of the Principality of Monaco for the support provided to its Environment Laboratories. We also thank the reviewers of this article for their conscientious reviews.</t>
  </si>
  <si>
    <t>10.1016/j.dsr.2022.103852</t>
  </si>
  <si>
    <t>4Y6QK</t>
  </si>
  <si>
    <t>WOS:000861650000003</t>
  </si>
  <si>
    <t>Perez, JAA; Vizuete, RS; Ramil, F; Castillo, S</t>
  </si>
  <si>
    <t>Perez, Jose Angel A.; Vizuete, Roberto Sarralde; Ramil, Francisco; Castillo, Sara</t>
  </si>
  <si>
    <t>FISH, cephalopods and associated habitats of the Discovery rise seamounts, Southeast Atlantic</t>
  </si>
  <si>
    <t>Southeast atlantic; Seamounts; Deep sea fish; Cephalopods</t>
  </si>
  <si>
    <t>DEEP-SEA FISHERIES; CLASSIFICATION SCHEME; CONTINENTAL-SLOPE; WATER MASSES; BIOLOGY; ASSEMBLAGES; ECOLOGY; IDENTIFICATION; CIRCULATION; ECOSYSTEMS</t>
  </si>
  <si>
    <t>In February 2019, seamounts of the Discovery Rise, SE Atlantic (41-45 degrees S, 3 degrees W - 3 degrees E), were explored in support of the application of the Ecosystem Approach to Fisheries Management in the Southeast Atlantic Fisheries Organization (SEAFO) Convention Area. Video records of the seafloor were produced by the Video-Assisted Multi-sampler System (YAMS) along 15 valid transects conducted in plateau and flank areas of Shannon, Tablemount, Discovery and Heardman seamounts at depths ranging from 394 to 1839 m. Nine benthic seascapes were classified and described based on substrate hardness, texture, slope, physical and biological modifiers as observed in the video images. Predominant water masses were estimated from temperature, salinity and dissolved oxygen vertical profiles obtained by CTD casts in the vicinity of each transect. A total of 366 fishes were seen (total observation time = 25.0 h) and classified in 32 morphotypes, included in 9 orders and 12 families. Most fish morphotypes (14) were included in the Macrouridae family. Family Moridae, on the other hand, included 65.3% of all fish records (239), with two particularly abundant morphotypes: Laemonema sp. (116) and Guttigadus sp. (92). Thirteen cephalopods were observed and classified in five morphotypes; the oegopsid squid Moroteuthopsis ingens was the most abundant of them (6). Despite the taxonomic uncertainties associated with video identifications, the explored region was found to contain a mixture of tropical - subtropical and subantarctic faunas of the Atlantic. Similarities of fauna composition and non-directional beta diversity estimates revealed some degree of seamount identity, but 57.5-61.9% of morphotypes were shared among seamounts (Jaccard = 0.425, Sorensen = 0.381). Fishes and cephalopods were more frequently observed on the shallower plateau areas under the influence of warmer and more oxygenated Antarctic Intermediate Waters. Depth and related factors did not influence richness, but dissimilarities in fauna composition between video transects increased with increasing depth intervals. Spatial habitat heterogeneity may have accounted for the increased beta diversity within seamounts. The most widely explored Tablemount seamount contained the most diverse observed sites, but also a considerable spatial variability likely associated with seascape heterogeneity. In two sites (transects 11 and 14), there were exceptionally high aggregations of the morid cods Laemonema sp., at the shallowest 'gravely' site explored (397 m), and Guttigadus sp., at a site of intermediate depth (1020 m) covered mostly by soft sediments. Neither of these species (or congenerics) have been previously classified as 'seamount-aggregating species. On the other hand, the Patagonian toothfish (Dissostichus eleginoides) and other commercial species known to aggregate in these seamounts were not found in the explored areas.</t>
  </si>
  <si>
    <t>[Perez, Jose Angel A.] Univ Vale Itajai UNIVALI, Lab Estudos Marinhos Aplicados LEMA, Escola Mar Ciencia &amp; Tecnol EMCT, Itajai, Brazil; [Vizuete, Roberto Sarralde] CSIC, Inst Espanol Oceanog IEO, Ctr Oceanog Vigo, Vigo, Spain; [Ramil, Francisco; Castillo, Sara] Univ Vigo, Vigo, Spain</t>
  </si>
  <si>
    <t>Universidade do Vale do Itajai; Consejo Superior de Investigaciones Cientificas (CSIC); Spanish Institute of Oceanography; Universidade de Vigo</t>
  </si>
  <si>
    <t>Perez, JAA (corresponding author), Univ Vale Itajai UNIVALI, Lab Estudos Marinhos Aplicados LEMA, Escola Mar Ciencia &amp; Tecnol EMCT, Itajai, Brazil.</t>
  </si>
  <si>
    <t>angel.perez@univali.br</t>
  </si>
  <si>
    <t>Alvarez Perez, Jose Angel/0000-0001-6431-5237; Castillo Onate, Sara/0000-0001-9715-8653</t>
  </si>
  <si>
    <t>EAF-Nansen Project Supporting the application of the Ecosystem Approach to Fisheries Management considering climate and pollution impacts [GCP/GLO/690/NOR]; Southeast Atlantic Fisheries Organization (SEAFO); UN Food and Agriculture Organization (FAO); Brazilian National Council for Scientific and Technological Development CNPq/National Institutes of Science and Technology -INCT Mar-COI; [309837/2010-3]</t>
  </si>
  <si>
    <t>EAF-Nansen Project Supporting the application of the Ecosystem Approach to Fisheries Management considering climate and pollution impacts; Southeast Atlantic Fisheries Organization (SEAFO); UN Food and Agriculture Organization (FAO); Brazilian National Council for Scientific and Technological Development CNPq/National Institutes of Science and Technology -INCT Mar-COI;</t>
  </si>
  <si>
    <t>Authors are indebted to Odd Aksel Bergstad (IMR, Norway) and the EAF-Nansen Project Supporting the application of the Ecosystem Approach to Fisheries Management considering climate and pollution impacts (GCP/GLO/690/NOR). The support of the Southeast Atlantic Fisheries Organization (SEAFO) and the Institute of Marine Research (IMR) was critical to the development of this study. Travel funds were provided by the UN Food and Agriculture Organization (FAO). We particularly would like to thank Pal Bull-Mortensen (IMR) and the crew of the RV Dr. Fridtjof Nansen for conducting a challenging sampling program in such a remote area of the South Atlantic. Jose F. Gonzalez Jimenez, Centro Oceanografico de Tenerife (IEO, CSIC), provided invaluable help in the identification of fish species through the video footage. The senior author is supported by the Brazilian National Council for Scientific and Technological Development CNPq/National Institutes of Science and Technology -INCT Mar-COI and a productivity fellowship (Process 309837/2010-3).</t>
  </si>
  <si>
    <t>10.1016/j.dsr.2022.103849</t>
  </si>
  <si>
    <t>WOS:000861650000002</t>
  </si>
  <si>
    <t>Lesic, NM; Streuff, KT; Bohrmann, G; Kuhn, G</t>
  </si>
  <si>
    <t>Lesic, Nina-Marie; Streuff, Katharina Teresa; Bohrmann, Gerhard; Kuhn, Gerhard</t>
  </si>
  <si>
    <t>Glacimarine sediments from outer Drygalski Trough, sub-Antarctic South Georgia - evidence for extensive glaciation during the Last Glacial Maximum</t>
  </si>
  <si>
    <t>Quaternary; LGM; Glaciation; South Atlantic; Geomorphology; Glacial; Sedimentology-marine cores</t>
  </si>
  <si>
    <t>WESTERLY WIND CHANGES; ICE-SHEET; ENVIRONMENTAL-CHANGE; OCEAN CIRCULATION; HOLOCENE CLIMATE; METHANE SEEPAGE; CUMBERLAND BAY; BARENTS SEA; DISKO-BUGT; MARINE</t>
  </si>
  <si>
    <t>South Georgia, one of the largest sub-Antarctic islands, is located within the Southern Ocean and is influenced by the moisture-supplying Southern Westerlies and the Antarctic Circumpolar Current, which are highly susceptible to Southern Hemisphere climate variability. Its unique location causes South Georgia's remaining ice masses to react sensitively to climate change, resulting in highly dynamic ice cap waxing and waning, as well as in geomorphological and sedimentological changes on the island and its continental shelf. Sediments around the island have been archiving this ice cap behaviour since at least the Last Glacial Maximum (LGM) and are therefore an important target to investigate past ice cap evolution and climate. Despite several interdisciplinary studies on land and in coastal areas, much of the glacial history is still poorly constrained due to a lack of offshore data. This study presents the, thus far, most distal marine sediment succession from outer Drygalski Trough on the mid-continental shelf of South Georgia. Composite multi-proxy-analyses, together with radiocarbon dating, sub-bottom profiler and high-resolution bathymetric data provide first insights into the evolution of a large glacial trough south of South Georgia since the LGM. Several moraines close to the shelf edge indicate shelf-wide glaciation during the local LGM, which, based on extrapolation of the oldest reliable radiocarbon date, occurred before 30 ka BP at the earliest. Basal stratified diamicton at the core site was interpreted as waterlain till deposited in a subglacial cavity with restricted seawater access and suggests grounding zone-proximal sedimentation in the early phases of deglaciation. The ice margin remained stable until-17.5 cal ka BP, when ice quickly retreated from the mid-continental shelf and sedimentation at the core site was dominated by hemipelagic suspension settling with some iceberg melting. Further retreat was interrupted by a local ice readvance and associated increased hinterland erosion during the Antarctic Cold Reversal (14.5-12.8 ka), as indicated by peak sedimentation rates (&gt; 190 cm ka(-1)) between 13.4 and 12.4 cal ka BP. In contrast, the continuous deposition of ice-distal to open-marine mud at rates of only-30 cm ka(-1) throughout the Holocene indicate that any other LGM-subsequent glacier readvances reached significantly lesser extents and were probably confined to the fjord. Our data provide new evidence in support of a shelf-wide glaciation during the LGM and suggest rapid, but stepwise ice retreat during deglaciation. (C) 2022 The Authors. Published by Elsevier Ltd.</t>
  </si>
  <si>
    <t>[Lesic, Nina-Marie; Streuff, Katharina Teresa; Bohrmann, Gerhard; Kuhn, Gerhard] Univ Bremen UoB, Ctr Marine Environm Sci, MARUM, Klagenfurter Str 2-4, D-28359 Bremen, Germany; [Lesic, Nina-Marie; Streuff, Katharina Teresa; Bohrmann, Gerhard; Kuhn, Gerhard] Univ Bremen, Fac Geosci, Klagenfurter Str 2-4, D-28359 Bremen, Germany; [Lesic, Nina-Marie; Kuhn, Gerhard] Alfred Wegener Inst AWI, Helmholtz Ctr Polar &amp; Marine Res, Alten Hafen 26, D-27568 Bremerhaven, Germany</t>
  </si>
  <si>
    <t>University of Bremen; University of Bremen; Helmholtz Association; Alfred Wegener Institute, Helmholtz Centre for Polar &amp; Marine Research</t>
  </si>
  <si>
    <t>Lesic, NM (corresponding author), Univ Bremen UoB, Ctr Marine Environm Sci, MARUM, Klagenfurter Str 2-4, D-28359 Bremen, Germany.;Lesic, NM (corresponding author), Univ Bremen, Fac Geosci, Klagenfurter Str 2-4, D-28359 Bremen, Germany.</t>
  </si>
  <si>
    <t>nlesic@marum.de; kstreuff@marum.de; gbohrmann@marum.de; gerhard.kuhn@awi.de</t>
  </si>
  <si>
    <t>Streuff, Katharina/JVO-1269-2024; Bohrmann, Gerhard/D-4474-2017</t>
  </si>
  <si>
    <t>Streuff, Katharina/0000-0002-1508-8311; Kuhn, Gerhard/0000-0001-6069-7485; Lesic, Nina-Marie/0000-0003-4271-3001; Bohrmann, Gerhard/0000-0001-9976-4948</t>
  </si>
  <si>
    <t>Deutsche For-schungsgemeinschaft (DFG) [SPP 1158, BO 1049/23-1, KU 683/18-1]</t>
  </si>
  <si>
    <t>Deutsche For-schungsgemeinschaft (DFG)(German Research Foundation (DFG))</t>
  </si>
  <si>
    <t>This work was funded by the Deutsche Forschungsgemeinschaft (DFG) in the framework of the priority program SPP 1158 Antarctic Research with comparative investigations in Arctic ice areas by the grants BO 1049/23-1, KU 683/ 18-1. We thank the captain and crew from RV Polarstern cruise PS119, A. H_ofken and M. Seebeck, V. Schumacher, S. Wiebe, P. Daub and C. Gebhardt from Alfred Wegener Institute, Helmholtz Centre for Polar and Marine Research in Bremerhaven for support with coring, core and sample processing, as well as J. Klages and J. Wollenburg for scientific guidance. Further, we thank B. Kockisch. M. Klann and J. Malnati for excellent laboratory support during the hardships of the pandemic. Our most sincere thanks go to all students involved in laboratory work on board and land, especially A. Ivanova and A. Lemire. We appreciate the comments and helpful recommendations of two anonymous reviewers that contributed to this publication. Figs. 2, 5e7 in this publication were created using ArcGIS (R) software by Esri ArcGIS (R) and ArcMapT that are the intellectual property of Esri and are used herein under license. was created using QGIS 3.16.15. and Figs. 3 and 4 with Grapher 15. Fig. 8 were produced in Adobe Illustrator 2022), which was also used to finish all Figures.</t>
  </si>
  <si>
    <t>10.1016/j.quascirev.2022.107657</t>
  </si>
  <si>
    <t>4W6OT</t>
  </si>
  <si>
    <t>WOS:000860280100006</t>
  </si>
  <si>
    <t>Meng, HY; Hayashida, H; Norazmi-Lokman, NH; Strutten, PG</t>
  </si>
  <si>
    <t>Meng, Hangyu; Hayashida, Hakase; Norazmi-Lokman, Nor Hakim; Strutten, Peter G.</t>
  </si>
  <si>
    <t>Benefits and detrimental effects of ocean warming for Tasmanian salmon aquaculture</t>
  </si>
  <si>
    <t>CONTINENTAL SHELF RESEARCH</t>
  </si>
  <si>
    <t>Sea surface temperature; Salmon aquaculture; Optimal days; Southeastern Tasmania; Satellite observations</t>
  </si>
  <si>
    <t>SEA-SURFACE TEMPERATURE; FARMED ATLANTIC SALMON; FEED-INTAKE; GROWTH; ADAPTATION; MANAGEMENT; SALAR; WATER</t>
  </si>
  <si>
    <t>Atlantic salmon (Salmo salar) is the main aquaculture species in Tasmania, Australia. This species is known to be sensitive to ocean temperature and has its own optimal temperature range for exceptional growth. As a hotspot of ocean warming, adaptation planning may be necessary for Tasmanian salmon aquaculture industries in coming years. In this study, we used high-resolution sea surface temperature (SST) satellite observations to investigate ocean temperature variability and trends in the southeastern Tasmania over the past 28 years, and their impacts on growth suitability for sea-farmed Atlantic salmon using a metric called optimal days. We found that long-term ocean warming in the region was evident but showed both positive and negative effects on optimal days. Winter warming would make salmon farms more suitable for salmon growth, while summer warming would make it too warm to grow optimally, which could lead to increased fish disease and even death. This seasonal difference also explained the year-to-year variability in the number of optimal days. Furthermore, spatial distributions of optimal day anomalies indicated that some farm regions were affected more than the others. Northern regions are becoming unsuitable for salmon aquaculture, while southern regions are still optimal for salmon growth in the next few decades. These findings demonstrate the complexity of consequences of global warming for salmon aquaculture industries, and can help stakeholders to develop a blue print for strategizing future farm development and climate change adaptation plans.</t>
  </si>
  <si>
    <t>[Meng, Hangyu; Hayashida, Hakase; Norazmi-Lokman, Nor Hakim; Strutten, Peter G.] Univ Tasmania, Inst Marine &amp; Antarctic Studies, Hobart, Tas, Australia; [Meng, Hangyu; Hayashida, Hakase; Strutten, Peter G.] Univ Tasmania, Australian Res Council Ctr Excellence Climate Extr, Hobart, Tas, Australia; [Meng, Hangyu] Australian Natl Univ, Res Sch Earth Sci, Canberra, ACT, Australia; [Norazmi-Lokman, Nor Hakim] Univ Malaysia Terengganu, Fac Fisheries &amp; Food Sci, Kuala Terengganu, Malaysia; [Hayashida, Hakase] Japan Agcy Marine Earth Sci &amp; Technol, Applicat Lab, Yokohama, Japan; [Meng, Hangyu] Australian Natl Univ, Res Sch Earth Sci, Room 2 16,Jager 7, Acton, ACT 2601, Australia</t>
  </si>
  <si>
    <t>University of Tasmania; University of Tasmania; Australian National University; Universiti Malaysia Terengganu; Japan Agency for Marine-Earth Science &amp; Technology (JAMSTEC); Australian National University</t>
  </si>
  <si>
    <t>Meng, HY (corresponding author), Australian Natl Univ, Res Sch Earth Sci, Room 2 16,Jager 7, Acton, ACT 2601, Australia.</t>
  </si>
  <si>
    <t>Hangyu.Meng@anu.edu.au</t>
  </si>
  <si>
    <t>Hayashida, Hakase/AAY-4151-2020; Norazmi, Lokman Nor Hakim/AAD-2229-2020</t>
  </si>
  <si>
    <t>Hayashida, Hakase/0000-0002-6349-4947; Norazmi, Lokman Nor Hakim/0000-0002-1927-6846; Meng, Hangyu/0000-0001-5310-3079</t>
  </si>
  <si>
    <t>Australian Research Council Centre of Excellence [CE170100023]</t>
  </si>
  <si>
    <t>Australian Research Council Centre of Excellence(Australian Research Council)</t>
  </si>
  <si>
    <t>H. Meng, H. Hayashida and P.G. Strutton acknowledge support from the Australian Research Council Centre of Excellence for Climate Ex- tremes (CE170100023) .</t>
  </si>
  <si>
    <t>0278-4343</t>
  </si>
  <si>
    <t>1873-6955</t>
  </si>
  <si>
    <t>CONT SHELF RES</t>
  </si>
  <si>
    <t>Cont. Shelf Res.</t>
  </si>
  <si>
    <t>10.1016/j.csr.2022.104829</t>
  </si>
  <si>
    <t>4X2NQ</t>
  </si>
  <si>
    <t>WOS:000860684800001</t>
  </si>
  <si>
    <t>Mierkiewicz, J; Trudnowska, E; Blachowiak-Samolyk, K; Bielecka, L</t>
  </si>
  <si>
    <t>Mierkiewicz, Joanna; Trudnowska, Emilia; Blachowiak-Samolyk, Katarzyna; Bielecka, Luiza</t>
  </si>
  <si>
    <t>Distinctive zonation of planktonic ostracods assemblages in the dynamic Southeastern Atlantic</t>
  </si>
  <si>
    <t>JOURNAL OF SEA RESEARCH</t>
  </si>
  <si>
    <t>Planktonic ostracods; Biogeography; Taxa; abundance composition; Size ranges; Climate changes; Atlantic Ocean</t>
  </si>
  <si>
    <t>SOUTHERN-OCEAN; PELAGIC OSTRACODS; AUSTRAL SUMMER; ZOOPLANKTON; SECTOR; PATTERNS; BIOGEOGRAPHY; MYODOCOPA; FRONTS</t>
  </si>
  <si>
    <t>Species diversity, abundance and spatial distribution of planktonic Ostracoda in the frontal waters of the South Atlantic were studied in summer 2009. Mesozooplankton materials were collected using WP-2 net in the top 300 m layer, from 32 stations located along the profile designated from the southern coast of Africa towards the Antarctic. Twenty-one species of ostracods were recorded. Ostracoda species diversity generally decreased with increasing latitude. Their total abundance showed a parabolic pattern of distribution, with lower numbers at the edges of the transect and higher numbers in the middle. We identified three distinctive areas occupied by different assemblages of Ostracoda. The first area, the Benguela Current (BENG), was inhabited mainly by subtropical ostracods. The second area -Southern Subtropical Convergence, Subantarctic Front, Subantarctic Zone and Polar Front (SSTC, SAF, SANT and PF) -was characterized by the presence of a mixture of subtropical, subantarctic, and Antarctic species. The third area, the Antarctic Zone (ANTA), was inhabited mostly by sub -antarctic and Antarctic ostracods. Moreover, we confirmed that the SSTC was an almost impassable hydro -graphical barrier for subtropical-tropical Ostracoda species. This study demonstrated the distribution of some species extending further north (e.g., Metaconchoecia australis) than previously recorded. Morphometric analysis of the most common ostracod species, Discoconchoecia elegans, showed an increasing trend in its mean individual size from the BENG zone to the ANTA zone.</t>
  </si>
  <si>
    <t>[Mierkiewicz, Joanna; Trudnowska, Emilia; Blachowiak-Samolyk, Katarzyna] Polish Acad Sci, Marine Ecol Dept, Pelag Biocenosis Functioning Lab, Inst Oceanol, Powstancow Warszawy 55, PL-81712 Sopot, Poland; [Bielecka, Luiza] Univ Gdansk, Inst Oceanog, Fac Oceanog &amp; Geog, Dept Marine Ecosyst Functioning, Al Marszalka Pilsudskiego 46, PL-81378 Gdynia, Poland</t>
  </si>
  <si>
    <t>Polish Academy of Sciences; Institute of Oceanology of the Polish Academy of Sciences; Fahrenheit Universities; University of Gdansk</t>
  </si>
  <si>
    <t>Bielecka, L (corresponding author), Univ Gdansk, Inst Oceanog, Fac Oceanog &amp; Geog, Dept Marine Ecosyst Functioning, Al Marszalka Pilsudskiego 46, PL-81378 Gdynia, Poland.</t>
  </si>
  <si>
    <t>luiza.bielecka@ug.edu.pl</t>
  </si>
  <si>
    <t>Institute of Oceanography (University of Gdansk); Ministry of Science and Higher Education (Poland)</t>
  </si>
  <si>
    <t>Institute of Oceanography (University of Gdansk); Ministry of Science and Higher Education (Poland)(Ministry of Science and Higher Education, Poland)</t>
  </si>
  <si>
    <t>This study has been supported by the research grant no. N306 445 638 (2010-2012) awarded to Institute of Oceanography (University of Gdansk) by the Ministry of Science and Higher Education (Poland) received by Maria Szymelfenig, and with technical and scientific coop-eration with the Shirshov Institute of Oceanology of the Russian Academy of Sciences. The research was a part of a larger project entitled Program of comprehensive research of the South Ocean, including Drake Passage (Federal program World ocean, sub-program Meridian) .</t>
  </si>
  <si>
    <t>1385-1101</t>
  </si>
  <si>
    <t>1873-1414</t>
  </si>
  <si>
    <t>J SEA RES</t>
  </si>
  <si>
    <t>J. Sea Res.</t>
  </si>
  <si>
    <t>10.1016/j.seares.2022.102256</t>
  </si>
  <si>
    <t>4F1RO</t>
  </si>
  <si>
    <t>WOS:000848293500003</t>
  </si>
  <si>
    <t>Dillion, J</t>
  </si>
  <si>
    <t>Dillion, Jacqueline</t>
  </si>
  <si>
    <t>Hardy, Time, and the Trilobite</t>
  </si>
  <si>
    <t>NINETEENTH-CENTURY CONTEXTS-AN INTERDISCIPLINARY JOURNAL</t>
  </si>
  <si>
    <t>Thomas Hardy; Leslie Stephen; Gideon Mantell; A Pair of Blue Eyes; time; trilobite; fossils; geology; duration</t>
  </si>
  <si>
    <t>This paper takes as its starting point an important conversation held between Thomas Hardy and Leslie Stephen in 1875 in which they discussed the unreality of time (Maitland 1906, 203). This idea informs Hardy's (1873) novel, A Pair of Blue Eyes, in which the amateur geologist Henry Knight hangs from a cliff and before him flashes a vision of deep time, which culminates in an eye-to-eye encounter with a trilobite. Several critics have argued for Leslie Stephen's A Bad Five Minutes in the Alps (1872), published just weeks before, as a source of inspiration for Hardy's scene. I investigate these claims, and argue that Gideon Mantell's Wonders of Geology (1848) was a greater influence. Drawing on the work of Patricia Ingham and Adelene Buckland, I consider the differences between these texts, and explore the implications of Hardy's removing the gaze of Mantell's higher intelligence and replacing his teleological view of time with a backwards slide down the evolutionary scale. This prefigured Thomas Henry Huxley's fear that with the cooling of the sun, humankind would eventually devolve into low and simple organisms such as the Diatom of the arctic and antarctic ice (1894, 191). This paper also draws on Hardy's copy of The Wonders of Geology, now in the Beinecke, and contested questions around its provenance. Finally, I conclude that this scene raises questions of scale that are never fully resolved and that these questions haunt the rest of Hardy's oeuvre.</t>
  </si>
  <si>
    <t>[Dillion, Jacqueline] Pepperdine Univ, Malibu, CA 90265 USA</t>
  </si>
  <si>
    <t>Pepperdine University</t>
  </si>
  <si>
    <t>Dillion, J (corresponding author), Pepperdine Univ, Malibu, CA 90265 USA.</t>
  </si>
  <si>
    <t>jacqueline.dillion@pepperdine.edu</t>
  </si>
  <si>
    <t>ROUTLEDGE JOURNALS, TAYLOR &amp; FRANCIS LTD</t>
  </si>
  <si>
    <t>2-4 PARK SQUARE, MILTON PARK, ABINGDON OX14 4RN, OXON, ENGLAND</t>
  </si>
  <si>
    <t>0890-5495</t>
  </si>
  <si>
    <t>1477-2663</t>
  </si>
  <si>
    <t>19 CENTURY CONTEXTS</t>
  </si>
  <si>
    <t>Ninet.-Century Contexts</t>
  </si>
  <si>
    <t>AUG 8</t>
  </si>
  <si>
    <t>10.1080/08905495.2022.2106718</t>
  </si>
  <si>
    <t>Humanities, Multidisciplinary</t>
  </si>
  <si>
    <t>Arts &amp; Humanities Citation Index (A&amp;HCI)</t>
  </si>
  <si>
    <t>Arts &amp; Humanities - Other Topics</t>
  </si>
  <si>
    <t>4N0CJ</t>
  </si>
  <si>
    <t>WOS:000842551600001</t>
  </si>
  <si>
    <t>Torre, G; Gaiero, D; Coppo, R; Cosentino, NJ; Goldstein, SL; De Vleeschouwer, F; Le Roux, G; Bolge, L; Kiro, Y; Sawakuchi, AO</t>
  </si>
  <si>
    <t>Torre, Gabriela; Gaiero, Diego; Coppo, Renata; Cosentino, Nicolas J.; Goldstein, Steven L.; De Vleeschouwer, Francois; Le Roux, Gael; Bolge, Louise; Kiro, Yael; Sawakuchi, Andre Oliveira</t>
  </si>
  <si>
    <t>Unraveling late Quaternary atmospheric circulation in the Southern Hemisphere through the provenance of Pampean loess</t>
  </si>
  <si>
    <t>Radiogenic isotopes; Unmixing model; South America; Pampean loess; Provenance; Dust; Westerly; East Antarctica; Southern Ocean</t>
  </si>
  <si>
    <t>RARE-EARTH-ELEMENTS; EL-NINO/SOUTHERN-OSCILLATION; ND ISOTOPIC COMPOSITION; CENTRAL EAST ANTARCTICA; C ICE-CORE; DOME-C; GRAIN-SIZE; GEOCHEMICAL CHARACTERISTICS; BOLIVIAN ALTIPLANO; NEODYMIUM ISOTOPES</t>
  </si>
  <si>
    <t>The Pampean loess is the most extensive continental paleo-record of aeolian material in the Southern Hemi-sphere, recording the deposition of dust transported by two major zonal wind systems: the southern westerly winds and the subtropical jets. In order to increase the understanding on paleo-atmospheric circulation over the Southern Hemisphere, we evaluate dust provenance through REE, Nd, Sr and Pb isotopes in three sections deposited during late Pleistocene-early Holocene across 700 km in the loess belt of the Pampean region in central Argentina. The isotopic comparison of loess from the three sections with southern South American (SSA) po-tential dust sources show that (1) sources from the southern Altiplano to latitudes of northern Patagonia supplied dust to the Pampas, (2) the slight Sr-Nd isotopic difference between fine and coarse loess may be attributable to grain size effects rather than to differences in provenance, and (3) higher mass accumulation rates in the Pampas are associated with an increased presence of dust originated in the southern Altiplano and southern Puna during the spans of 43-41 ka BP, 20-18 ka BP, 14.6-12.6 ka BP and 11.4-8.9 ka BP. We associate these rises in con-tinental dust fluxes with climatic transitions from wetter to drier periods in the Puna-Altiplano Plateau related to synchronous climatic shifts to humid conditions at the Pampean Plain, probably triggered by El Nin &amp; SIM;o-like con-ditions. The isotopic comparison with modern SSA dust indicates similar provenance compared to paleo-dust records, suggesting almost constant dust sources from MIS 3 to modern times and/or modest changes in the geochemical signature under the activation/deactivation of the different dust sources. Moreover, contrasting the isotopic signature of the loess sections with more distal palaeoarchives (i.e., South Atlantic Ocean marine sediment cores and Antarctic ice cores), the new data suggest that contrary to previous ideas, the Pampean Loess was not an important source of dust to these regions. Also, a common dust provenance during cold periods (e.g., Last Glacial Maximum and Antarctic Cold Reversal) supports the idea that changes in atmospheric transport efficiency can better explain dust flux variations observed over glacial/interglacial periods in distant palae-oarchives than changes in provenance.</t>
  </si>
  <si>
    <t>[Torre, Gabriela; Gaiero, Diego; Coppo, Renata] Univ Nacl Cordoba, Fac Ciencias Exactas Fis &amp; Nat, Av Velez Sarsfield 299,X5000JJC, Cordoba, Argentina; [Torre, Gabriela; Gaiero, Diego; Coppo, Renata] Ctr Invest Ciencias Tierra CICTERRA, Consejo Nacl Invest Cient &amp; Tecnol CONICET, Edificio CICTERRA, Av Velez Sarsfield 1611,X5016GCA,Ciudad Univ, Cordoba, Argentina; [Cosentino, Nicolas J.] Pontificia Univ Catolica Chile, Fac Hist Geog &amp; Ciencia Polit, Inst Geog, Santiago, Chile; [Goldstein, Steven L.; Bolge, Louise; Kiro, Yael] Columbia Univ, Lamont Doherty Earth Observ, 61 Route 9W, Palisades, NY 10964 USA; [Goldstein, Steven L.] Columbia Univ, Dept Earth &amp; Environm Sci, New York, NY 10025 USA; [De Vleeschouwer, Francois] Inst Franco Argentino El Estudio Clima &amp; Sus Impa, UMI IFAECl, CNRS CONICET UBA IRD, Buenos Aires, DF, Argentina; [Le Roux, Gael] Univ Toulouse, Lab Ecol Fonct &amp; Environm, CNRS, Toulouse, France; [Sawakuchi, Andre Oliveira] Univ Sao Paulo, Inst Geociencias, Rua Lago 562, BR-05508080 Sao Paulo, SP, Brazil</t>
  </si>
  <si>
    <t>National University of Cordoba; Pontificia Universidad Catolica de Chile; Columbia University; Columbia University; Universite de Toulouse; Universite Federale Toulouse Midi-Pyrenees (ComUE); Universite Toulouse III - Paul Sabatier; Institut National Polytechnique de Toulouse; Centre National de la Recherche Scientifique (CNRS); Universidade de Sao Paulo</t>
  </si>
  <si>
    <t>Torre, G (corresponding author), Univ Nacl Cordoba, Fac Ciencias Exactas Fis &amp; Nat, Av Velez Sarsfield 299,X5000JJC, Cordoba, Argentina.</t>
  </si>
  <si>
    <t>gabrielatorre@unc.edu.ar</t>
  </si>
  <si>
    <t>Cosentino, Nicolas Juan/0000-0001-9023-2726; Torre, Gabriela/0000-0002-1985-1775; Goldstein, Steven L/0000-0001-7252-8064</t>
  </si>
  <si>
    <t>SECyT-UNC; FONCyT [PICT 0525]; ECOS-MINCyT; CONICET- CNRS; Fulbright Program; award ANID FONDECYT/POSTDOCTORADO 2020 [3200085]; Storke Endowment of the Department of Earth and Environmental Sciences, Columbia University</t>
  </si>
  <si>
    <t>SECyT-UNC(Secretaria de Ciencia y Tecnologia (SECYT)); FONCyT(FONCyT); ECOS-MINCyT; CONICET- CNRS; Fulbright Program; award ANID FONDECYT/POSTDOCTORADO 2020; Storke Endowment of the Department of Earth and Environmental Sciences, Columbia University</t>
  </si>
  <si>
    <t>This work was financially supported by SECyT-UNC, FONCyT (PICT 0525) . It was also partly supported by the ECOS-MINCyT and CONICET- CNRS projects. G. Torre acknowledges support from Fulbright Program; and J. Prunier and A. Lojo for unconditional support in sample preparation and measurements. N. J. Cosentino acknowledges support from award ANID FONDECYT/POSTDOCTORADO 2020 #3200085. S. L. Goldstein acknowledges support from the Storke Endowment of the Department of Earth and Environmental Sciences, Columbia University.</t>
  </si>
  <si>
    <t>10.1016/j.earscirev.2022.104143</t>
  </si>
  <si>
    <t>3U5AI</t>
  </si>
  <si>
    <t>WOS:000840983000001</t>
  </si>
  <si>
    <t>Harrison, RG; Riddick, JC</t>
  </si>
  <si>
    <t>Harrison, R. Giles; Riddick, John C.</t>
  </si>
  <si>
    <t>Atmospheric electricity observations a Lerwick Geophysical Observatory</t>
  </si>
  <si>
    <t>HISTORY OF GEO- AND SPACE SCIENCES</t>
  </si>
  <si>
    <t>RADIOACTIVE FALLOUT</t>
  </si>
  <si>
    <t>Atmospheric electricity measurements were made at Lerwick Observatory, Shetland, between 1925 and 1984. These principally provide a long series of hourly potential gradient (PG) measurements at an unpolluted site but also include air-Earth current density measurements during the late 1970s and early 1980s. An especially notable aspect was investigating the dramatic atmospheric electrical changes caused by nuclear weapon detonations in the late 1950s and early 1960s, which has parallels with the discovery of the Antarctic ozone hole. The methodology employed at Lerwick to provide the PG measurements is described. There is renewed international interest in such measurements, not least because the Lerwick PG data have been shown to be linked to Pacific Ocean temperature anomalies. The past measurements described have characterised the Lerwick site exceptionally well in atmospheric electrical terms, which also indicate its suitability for future, similar measurements.</t>
  </si>
  <si>
    <t>[Harrison, R. Giles] Univ Reading, Dept Meteorol, Reading RG6 6ET, Berks, England</t>
  </si>
  <si>
    <t>University of Reading</t>
  </si>
  <si>
    <t>Harrison, RG (corresponding author), Univ Reading, Dept Meteorol, Reading RG6 6ET, Berks, England.</t>
  </si>
  <si>
    <t>r.g.harrison@reading.ac.uk</t>
  </si>
  <si>
    <t>Harrison, RG/GWQ-8421-2022</t>
  </si>
  <si>
    <t>Harrison, RG/0000-0003-0693-347X</t>
  </si>
  <si>
    <t>2190-5010</t>
  </si>
  <si>
    <t>2190-5029</t>
  </si>
  <si>
    <t>HIST GEO- SPACE SCI</t>
  </si>
  <si>
    <t>Hist. Geo- Space Sci.</t>
  </si>
  <si>
    <t>10.5194/hgss-13-133-2022</t>
  </si>
  <si>
    <t>Geosciences, Multidisciplinary; History &amp; Philosophy Of Science</t>
  </si>
  <si>
    <t>Geology; History &amp; Philosophy of Science</t>
  </si>
  <si>
    <t>3O8PY</t>
  </si>
  <si>
    <t>gold, Green Accepted, Green Submitted</t>
  </si>
  <si>
    <t>WOS:000837097800001</t>
  </si>
  <si>
    <t>Jackson, CH; Gales, R; Virtue, P; Nichols, PD</t>
  </si>
  <si>
    <t>Jackson, Christine H.; Gales, Rosemary; Virtue, Patti; Nichols, Peter D.</t>
  </si>
  <si>
    <t>Stratification, sex and ontogenetic effects on the lipid and fatty acid profiles in the blubber of sperm whales from Tasmanian waters</t>
  </si>
  <si>
    <t>Physeter macrocephalus; Cetacean; Biopsy; Wax esters</t>
  </si>
  <si>
    <t>PHYSETER-MACROCEPHALUS; THERMAL-PROPERTIES; MINKE WHALES; DIET; BIOPSIES; PHOCOENA; ECOLOGY; FOOD</t>
  </si>
  <si>
    <t>We examined the differential deposition of lipids according to layer, sex and ontogeny in the blubber of 31 adult sperm whales (n = 22 females, 9 males) and two calves that stranded off the Tasmanian coast from 2002 to 2004. Total lipid (TL) content varied widely across the blubber layers of adults (27-77%). Overall, females had higher TL content than males possibly representing higher energy needs due to reproduction. Higher TL content in the middle layer of adults (69%) suggests this layer may act as an energy reserve. Wax esters (WE) dominated the blubber and were highest in the outer layer of adults and calves, likely providing insulative qualities for this deep-diving odontocete. Triacyclglycerols, an easily mobilized energy source, were highest in the inner layer of females (37.3 +/- 13.5%) and calves (32.1 +/- 1.8%) compared to males (17.1 +/- 8.2%). Monounsaturated fatty acids (MUFA) also dominated the blubber. An increasing gradient from the inner to outer layer reflected an increasing source of endogenously synthesized lipids, whereas an increasing gradient of saturated fatty acids and polyunsaturated fatty acids (PUFA) toward the inner layer reflected an increasing source of dietary lipids. Although body site did not affect lipid profiles, stratification between the outer and more metabolically active inner layers suggests that only using the outer layer may result in an incomplete lipid profile for sperm whales.</t>
  </si>
  <si>
    <t>[Jackson, Christine H.] Loma Linda Univ, Sch Med, Dept Earth &amp; Biol Sci, Loma Linda, CA 92350 USA; [Gales, Rosemary] Tasmanian Govt, Dept Primary Ind Pk Water &amp; Environm, GPO Box 44, Hobart, Tas 7000, Australia; [Virtue, Patti; Nichols, Peter D.] Univ Tasmania, Inst Marine &amp; Antarctic Studies, Hobart, Tas 7001, Australia; [Virtue, Patti; Nichols, Peter D.] CSIRO Oceans &amp; Atmosphere, Hobart, Tas 7004, Australia</t>
  </si>
  <si>
    <t>Loma Linda University; University of Tasmania; Commonwealth Scientific &amp; Industrial Research Organisation (CSIRO)</t>
  </si>
  <si>
    <t>Jackson, CH (corresponding author), Loma Linda Univ, Sch Med, Dept Earth &amp; Biol Sci, Loma Linda, CA 92350 USA.</t>
  </si>
  <si>
    <t>christinejackson@llu.edu</t>
  </si>
  <si>
    <t>Nichols, Peter D/C-5128-2011</t>
  </si>
  <si>
    <t>Jackson, Christine/0000-0002-0840-1955</t>
  </si>
  <si>
    <t>Department of Primary Industries, Parks, Water and Environment Marine Conservation Program, Hobart; Tasmanian Museum and Art Gallery; Princess Melikoff Trust</t>
  </si>
  <si>
    <t>We thank the Department of Primary Industries, Parks, Water and Environment Marine Conservation Program, Hobart and the Tasmanian Museum and Art Gallery for their assistance and support with collection and provision of blubber samples and associated biological information. This project was supported through the Princess Melikoff Trust for which we are very grateful.</t>
  </si>
  <si>
    <t>10.1007/s00360-022-01453-6</t>
  </si>
  <si>
    <t>WOS:000837509200002</t>
  </si>
  <si>
    <t>Platell, ME; Maschette, D; Coulson, PG; Tweedley, JR; Potter, IC</t>
  </si>
  <si>
    <t>Platell, M. E.; Maschette, D.; Coulson, P. G.; Tweedley, J. R.; Potter, I. C.</t>
  </si>
  <si>
    <t>Dietary characteristics of the ecologically-important fish species Centroberyx gerrardi, including discussion of resource partitioning among species of Berycidae in Australia</t>
  </si>
  <si>
    <t>Body size; Coastal waters; Dietary categories; Family characteristics; Interspecific depth variations; Stomach contents</t>
  </si>
  <si>
    <t>FEEDING-HABITS; DEMERSAL FISH; BODY-SIZE; BERYX-DECADACTYLUS; STOMACH CONTENTS; ECOLOGY; WATERS; PREDATORS; ABUNDANT; ASSEMBLAGES</t>
  </si>
  <si>
    <t>Data for the Berycidae, collected during extensive past scientific surveys, were used to quantify the depth dis-tributions of the four species of Centroberyx and two of Beryx found in Australian coastal waters and thus elucidate the extent to which these species are partitioned by region and depth. The dietary, jaw and dentitional characteristics of the ecologically and fishery-important Centroberyx gerrardi were then determined, providing the first such account for any Centroberyx species. While Centroberyx gerrardi, Centroberyx lineatus, Beryx splendens and Beryx decadactylus are found throughout southern Australia, the last two species extend further up the west and east coasts. Centroberyx australis occurs on the lower half of the west coast eastwards to the central south coast and Centroberyx affinis on the lower half of the east coast. The four Centroberyx species typically occur at depths &lt;350 m and the two Beryx species at &gt;350 m. On the south coast of Western Australia, depth distri-butions undergo an overlapping progressive gradation, from C. lineatus in inshore and nearshore shallow waters, to C. gerrardi and C. australis in nearshore deep waters, and then B. splendens and B. decadactylus in offshore deep waters. The main dietary categories of C. gerrardi change with increasing body size from crabs and isopods in small fish to teleosts in the largest fish, in which volumetrically they constituted &gt;60% of the stomach contents. The wide range of teleost prey (at least 39 species from 33 families) ingested by C. gerrardi would be valuable to this species if continuing climate change or other anthropogenic effects lead to alterations in the composition of potential prey. Differences between depth distributions account for the fish prey of C. gerrardi comprising nearshore species, such as those of clupeids, congrids, pomacentrids and platycephalids, whereas those of B. splendens (from studies elsewhere) are dominated by myctophids, which are abundant in deeper waters. The combination of a large mouth and numerous, exclusively small teeth (edentulate morphotype) strongly suggest that C. gerrardi is a suction feeder adapted to engulfing larger prey. While the co-occurring and likewise commercially-fished Oplegnathus woodwardi also ingests substantial volumes of crabs and teleosts, its diet is distinguished from C. gerrardi by large volumes of poriferans and appreciable volumes of echinoderms, likewise reflecting feeding specialisations. Although differing in depth distributions and dietary compositions, berycid species in general are close to the apex of the food web.</t>
  </si>
  <si>
    <t>[Platell, M. E.; Maschette, D.; Coulson, P. G.; Tweedley, J. R.; Potter, I. C.] Murdoch Univ, Harry Butler Inst, Ctr Sustainable Aquat Ecosyst, South St, Murdoch, WA 6150, Australia; [Platell, M. E.] Univ Newcastle, Sch Environm &amp; Life Sci, Brush Rd, Ourimbah, NSW 2258, Australia; [Maschette, D.] Univ Tasmania, Inst Marine &amp; Antarctic Studies, Fisheries &amp; Aquaculture Ctr, Hobart, Tas 7001, Australia; [Coulson, P. G.; Potter, I. C.] Dept Primary Ind &amp; Reg Dev, POB 20, North Beach, WA 6920, Australia; [Tweedley, J. R.] Murdoch Univ, Environm &amp; Conservat Sci, South St, Murdoch, WA 6150, Australia</t>
  </si>
  <si>
    <t>Murdoch University; University of Newcastle; University of Tasmania; Murdoch University</t>
  </si>
  <si>
    <t>Platell, ME (corresponding author), Murdoch Univ, Harry Butler Inst, Ctr Sustainable Aquat Ecosyst, South St, Murdoch, WA 6150, Australia.</t>
  </si>
  <si>
    <t>margaret.platell@newcastle.edu.au</t>
  </si>
  <si>
    <t>Maschette, Dale/0000-0003-2590-8544; Tweedley, James/0000-0002-2749-1060</t>
  </si>
  <si>
    <t>Western Australian State Resource Management Office, DPIRD; Murdoch University</t>
  </si>
  <si>
    <t>Acknowledgments Gratitude is expressed to Sean Flynn (All Seas Fish Supply) , Adam and George Soumalidis (Great Southern Seafoods) , Esperance Deep Sea Angling Club, Albany Boating and Offshore Fishing Club, the Bremer Bay fishing competition and many anonymous recreational fishers for donating their catches. Thanks are also extended to Tim Leary (Western Australian Department of Primary Industries and Regional Development-DPIRD) for handling samples and to Dillon Newman for photography. All work was conducted in accordance with Murdoch University Animal Ethics Permit R2463/12. Financial support was provided by the Western Australian State Resource Management Office, DPIRD and Murdoch University.</t>
  </si>
  <si>
    <t>10.1016/j.ecss.2022.107975</t>
  </si>
  <si>
    <t>5K0UQ</t>
  </si>
  <si>
    <t>WOS:000869449900003</t>
  </si>
  <si>
    <t>McAfee, D; McLeod, IM; Alleway, HK; Bishop, MJ; Branigan, S; Connell, SD; Copeland, C; Crawford, CM; Diggles, B; Fitzsimons, JA; Gilby, B; Hamer, P; Hancock, B; Pearce, R; Russell, K; Gillies, CL</t>
  </si>
  <si>
    <t>McAfee, Dominic; McLeod, Ian M.; Alleway, Heidi K.; Bishop, Melanie J.; Branigan, Simon; Connell, Sean D.; Copeland, Craig; Crawford, Christine M.; Diggles, Ben K.; Fitzsimons, James A.; Gilby, Ben L.; Hamer, Paul; Hancock, Boze; Pearce, Robert; Russell, Kylie; Gillies, Chris L.</t>
  </si>
  <si>
    <t>Turning a lost reef ecosystem into a national restoration program</t>
  </si>
  <si>
    <t>CONSERVATION BIOLOGY</t>
  </si>
  <si>
    <t>ecosystem restoration; environmental management; marine policy; oyster reef; shellfish habitat; arrecife de ostras; gestion ambiental; habitat de conchas; politica marina; restauracion de ecosistemas</t>
  </si>
  <si>
    <t>MARINE RESTORATION; OYSTER FISHERIES; CONSERVATION; FUTURE</t>
  </si>
  <si>
    <t>Achieving a sustainable socioecological future now requires large-scale environmental repair across legislative borders. Yet, enabling large-scale conservation is complicated by policy-making processes that are disconnected from socioeconomic interests, multiple sources of knowledge, and differing applications of policy. We considered how a multidisciplinary approach to marine habitat restoration generated the scientific evidence base, community support, and funding needed to begin the restoration of a forgotten, functionally extinct shellfish reef ecosystem. The key actors came together as a multidisciplinary community of researchers, conservation practitioners, recreational fisher communities, and government bodies that collaborated across sectors to rediscover Australia's lost shellfish reefs and communicate the value of its restoration. Actions undertaken to build a case for large-scale marine restoration included synthesizing current knowledge on Australian shellfish reefs and their historical decline, using this history to tell a compelling story to spark public and political interest, integrating restoration into government policy, and rallying local support through community engagement. Clearly articulating the social, economic, and environmental business case for restoration led to state and national funding for reef restoration to meet diverse sustainability goals (e.g., enhanced biodiversity and fisheries productivity) and socioeconomic goals (e.g., job creation and recreational opportunities). A key lesson learned was the importance of aligning project goals with public and industry interests so that projects could address multiple political obligations. This process culminated in Australia's largest marine restoration initiative and shows that solutions for large-scale ecosystem repair can rapidly occur when socially valued science acts on political opportunities.</t>
  </si>
  <si>
    <t>[McAfee, Dominic; Connell, Sean D.] Univ Adelaide, Sch Biol Sci, Adelaide, SA, Australia; [McAfee, Dominic; Connell, Sean D.] Univ Adelaide, Environm Inst, Adelaide, SA, Australia; [McLeod, Ian M.; Gillies, Chris L.] James Cook Univ, Ctr Trop Water &amp; Aquat Ecosyst Res, TropWATER, Townsville, Qld, Australia; [Alleway, Heidi K.] Univ Adelaide, Adelaide, SA, Australia; [Alleway, Heidi K.] Nature Conservancy, Provide Food &amp; Water, 1815 N Lynn St, Arlington, VA USA; [Bishop, Melanie J.] Macquarie Univ, Sch Nat Sci, Sydney, NSW, Australia; [Branigan, Simon; Fitzsimons, James A.; Gillies, Chris L.] Nat Conservancy Australia, Carlton, Vic, Australia; [Copeland, Craig] OzFish Unltd, Ballina, NSW, Australia; [Crawford, Christine M.] Univ Tasmania, Inst Marine &amp; Antarctic Studies, Hobart, Tas, Australia; [Diggles, Ben K.] DigsFish Serv Pty Ltd, Brisbane, Qld, Australia; [Fitzsimons, James A.] Deakin Univ, Sch Life &amp; Environm Sci, Melbourne, Vic, Australia; [Gilby, Ben L.] Univ Sunshine Coast, Sch Sci &amp; Engn, Sunshine Coast, Qld, Australia; [Hamer, Paul] Victorian Fisheries Author, Melbourne, Vic, Australia; [Hancock, Boze] Univ Rhode Isl, Nat Conservancy, Grad Sch Oceanog, Kingston, RI 02881 USA; [Pearce, Robert] Albert Pk Yachting &amp; Angling Club, Albert Pk, Vic, Australia; [Russell, Kylie] NSW Dept Primary Ind, Taylors Beach, NSW, Australia</t>
  </si>
  <si>
    <t>University of Adelaide; University of Adelaide; James Cook University; University of Adelaide; Nature Conservancy; Macquarie University; University of Tasmania; DigsFish Services Pty Ltd; Deakin University; University of the Sunshine Coast; Melbourne Genomics Health Alliance; University of Rhode Island; Nature Conservancy; NSW Department of Primary Industries</t>
  </si>
  <si>
    <t>McAfee, D (corresponding author), Univ Adelaide, Sch Biol Sci, Adelaide, SA, Australia.</t>
  </si>
  <si>
    <t>dominic.mcafee@adelaide.edu.au</t>
  </si>
  <si>
    <t>Mcafee, Dominic/ABD-5585-2020; Copeland, Craig/GRO-4214-2022; Fitzsimons, James/W-2497-2019; Connell, Sean/A-8874-2008; McLeod, Ian/J-9062-2014</t>
  </si>
  <si>
    <t>Mcafee, Dominic/0000-0001-8278-8169; Fitzsimons, James/0000-0003-4277-8040; Bishop, Melanie/0000-0001-8210-6500; Connell, Sean/0000-0002-5350-6852; McLeod, Ian/0000-0001-5375-4402</t>
  </si>
  <si>
    <t>0888-8892</t>
  </si>
  <si>
    <t>1523-1739</t>
  </si>
  <si>
    <t>CONSERV BIOL</t>
  </si>
  <si>
    <t>Conserv. Biol.</t>
  </si>
  <si>
    <t>e13958</t>
  </si>
  <si>
    <t>10.1111/cobi.13958</t>
  </si>
  <si>
    <t>7B1YD</t>
  </si>
  <si>
    <t>WOS:000837008900001</t>
  </si>
  <si>
    <t>Sanchez, A; Carriquiry, D</t>
  </si>
  <si>
    <t>Sanchez, Alberto; Carriquiry, D.</t>
  </si>
  <si>
    <t>Millennial-scale marine productivity changes and the persistence of Antarctic intermediate water off Baja California, Mexico, during the last 6-60 kyr</t>
  </si>
  <si>
    <t>Oxygen and carbon stable isotopes; Foraminifera; Marine productivity; Eastern boundary upwelling system; Biogenic opal</t>
  </si>
  <si>
    <t>SANTA-BARBARA BASIN; OXYGEN-MINIMUM ZONE; GLACIAL-INTERGLACIAL VARIABILITY; WESTERN NORTH-AMERICA; SOUTHERN-OCEAN; PACIFIC-OCEAN; TROPICAL PACIFIC; CURRENT SYSTEM; RADIOCARBON ANOMALIES; CLIMATE-CHANGE</t>
  </si>
  <si>
    <t>A high-resolution record of 818O and 813C of Uvigerina peregrina (hereinafter: 818OU and 813CU) and biogenic opal was used to reconstruct water column conditions in the SW margin of the Baja California peninsula for the last 6-60 kyr. The core was collected from a depth of 700 m in the oxygen deficient zone of the Magdalena margin. Although the 818OU values showed a large change associated with the passage from glacial conditions to the Holocene, the MIS-3 and MIS-2 were characterized by a low variability. Our results indicated a rapid cooling and/or increase in salinity immediately after H5 that persisted until H1. However, the 813CU values showed significant variability associated to the incursions of the Antarctic Intermediate Water (AAIW) in the Magdalena margin during the MIS-3 and MIS-2. This agrees with the 813C composition of water mass end-members at intermediate depths in the Pacific Ocean. Enhanced ventilation during MIS-3 was inferred from the 813CU values, which were very similar to the 813C values of the AAIW end-members evidencing the persistence of the AAIW in the region. This conclusion is also supported by the trend of sedimentary 815N and other dissolved oxygen proxies in the area. A depletion of the 813CU at a millennial scale suggests intermittent pulses of a water mass richer in nutrients, which generated an increase in exported productivity, and thus, concomitantly depleted the dissolved oxygen levels at intermediate depths. Moreover, exported productivity showed a decreasing long-term trend during the second half of MIS-3, briefly punctuated by millennial-scale increases in exported productivity sustained by nutrient export from the Southern Ocean via the AAIW. (c) 2022 Elsevier Ltd. All rights reserved.</t>
  </si>
  <si>
    <t>[Sanchez, Alberto; Carriquiry, D.] Univ Autonoma Baja Calif, Inst Invest Oceanol, Km 107 Carretera Tijuana-Ensenada, Ensenada 22830, Baja California, Mexico; [Sanchez, Alberto] Inst Politecn Nacl, Ctr Interdisciplinario Ciencias Marinas, La Paz 23076, Baja California, Mexico</t>
  </si>
  <si>
    <t>Universidad Autonoma de Baja California; Instituto Politecnico Nacional - Mexico</t>
  </si>
  <si>
    <t>Carriquiry, D (corresponding author), Univ Autonoma Baja Calif, Inst Invest Oceanol, Km 107 Carretera Tijuana-Ensenada, Ensenada 22830, Baja California, Mexico.</t>
  </si>
  <si>
    <t>carriquiry@uabc.edu.mx</t>
  </si>
  <si>
    <t>Carriquiry, Jose D./0000-0003-3193-1302</t>
  </si>
  <si>
    <t>CONACYT [PN-2018/2916]; Universidad Autonoma de Baja California, Mexico; prior NSF [9809026]</t>
  </si>
  <si>
    <t>CONACYT(Consejo Nacional de Ciencia y Tecnologia (CONACyT)); Universidad Autonoma de Baja California, Mexico; prior NSF</t>
  </si>
  <si>
    <t>This research was financially supported by CONACYT (PN-2018/2916) and the Universidad Autonoma de Baja California, Mexico to JDC. We also gratefully thank Dr. Alexander van Geen (LDEO) for the financial support from a prior NSF-funded project (Award Abstract #9809026: Coring the Oxygen minimum zone off Baja California to reconstruct Holocene climate variability in the North Pacific) in which JDC participated as a Co-PI. We greatly thank Pedro Castro and Julio Villaescusa for their support in the laboratory, and in general solving problems during the course of the project. We thank Eduardo Ortiz for his support on board the cruise OXMZ01MV handling and processing the cores. Oxygen and carbon stable isotope data will be available in the Pangea and Mendeley databases.</t>
  </si>
  <si>
    <t>10.1016/j.quascirev.2022.107661</t>
  </si>
  <si>
    <t>4Y0NM</t>
  </si>
  <si>
    <t>WOS:000861231300006</t>
  </si>
  <si>
    <t>Alberello, A; Bennetts, LG; Onorato, M; Vichi, M; MacHutchon, K; Eayrs, C; Ntamba, BN; Benetazzo, A; Bergamasco, F; Nelli, F; Pattani, R; Clarke, H; Tersigni, I; Toffoli, A</t>
  </si>
  <si>
    <t>Alberello, Alberto; Bennetts, Luke G.; Onorato, Miguel; Vichi, Marcello; MacHutchon, Keith; Eayrs, Clare; Ntamba, Butteur Ntamba; Benetazzo, Alvise; Bergamasco, Filippo; Nelli, Filippo; Pattani, Rohinee; Clarke, Hans; Tersigni, Ippolita; Toffoli, Alessandro</t>
  </si>
  <si>
    <t>Three-dimensional imaging of waves and floes in the marginal ice zone during a cyclone</t>
  </si>
  <si>
    <t>ANTARCTIC SEA-ICE; SIZE DISTRIBUTION; OCEAN WAVES; ATTENUATION; PROPAGATION; MODEL; TRANSECTS; SPECTRA; BREAKUP</t>
  </si>
  <si>
    <t>Unprecedented 3D imaging of waves and sea ice floes from a moving icebreaker in the Antarctic marginal ice zone during a polar cyclone reveals a complex wind-plus-swell sea state, where contrasting ice-driven attenuation and wind forcing coexist. The marginal ice zone is the dynamic interface between the open ocean and consolidated inner pack ice. Surface gravity waves regulate marginal ice zone extent and properties, and, hence, atmosphere-ocean fluxes and ice advance/retreat. Over the past decade, seminal experimental campaigns have generated much needed measurements of wave evolution in the marginal ice zone, which, notwithstanding the prominent knowledge gaps that remain, are underpinning major advances in understanding the region's role in the climate system. Here, we report three-dimensional imaging of waves from a moving vessel and simultaneous imaging of floe sizes, with the potential to enhance the marginal ice zone database substantially. The images give the direction-frequency wave spectrum, which we combine with concurrent measurements of wind speeds and reanalysis products to reveal the complex multi-component wind-plus-swell nature of a cyclone-driven wave field, and quantify evolution of large-amplitude waves in sea ice.</t>
  </si>
  <si>
    <t>[Alberello, Alberto; Bennetts, Luke G.] Univ Adelaide, Adelaide, SA 5005, Australia; [Alberello, Alberto; Clarke, Hans; Tersigni, Ippolita; Toffoli, Alessandro] Univ Melbourne, Parkville, Vic 3010, Australia; [Onorato, Miguel] Univ Torino, I-10125 Turin, Italy; [Onorato, Miguel] Ist Nazl Fis Nucl, I-10125 Turin, Italy; [Vichi, Marcello] Univ Cape Town, Dept Oceanog, ZA-7701 Rondebosch, South Africa; [Vichi, Marcello] Univ Cape Town, Marine &amp; Antarctic Res Ctr Innovat &amp; Sustainabil, ZA-7701 Rondebosch, South Africa; [MacHutchon, Keith] Univ Cape Town, Dept Civil Engn, ZA-7701 Rondebosch, South Africa; [Eayrs, Clare] New York Univ Abu Dhabi, Abu Dhabi, U Arab Emirates; [Ntamba, Butteur Ntamba] Cape Peninsula Univ Technol, ZA-7535 Cape Town, South Africa; [Benetazzo, Alvise] CNR, Ist Sci Marine, I-30122 Venice, Italy; [Bergamasco, Filippo] Univ Ca Foscari, I-30123 Venice, Italy; [Nelli, Filippo] Swinburne Univ Technol, Hawthorn, Vic 3022, Australia; [Pattani, Rohinee] Atkins, London SW1E 5BY, England; [Alberello, Alberto] Univ East Anglia, Norwich NR4 7TJ, Norfolk, England</t>
  </si>
  <si>
    <t>University of Adelaide; University of Melbourne; University of Turin; Istituto Nazionale di Fisica Nucleare (INFN); University of Cape Town; University of Cape Town; University of Cape Town; New York University Abu Dhabi; Cape Peninsula University of Technology; Consiglio Nazionale delle Ricerche (CNR); Istituto di Scienze Marine (ISMAR-CNR); Universita Ca Foscari Venezia; Swinburne University of Technology; University of East Anglia</t>
  </si>
  <si>
    <t>Alberello, A (corresponding author), Univ Adelaide, Adelaide, SA 5005, Australia.;Alberello, A (corresponding author), Univ Melbourne, Parkville, Vic 3010, Australia.;Alberello, A (corresponding author), Univ East Anglia, Norwich NR4 7TJ, Norfolk, England.</t>
  </si>
  <si>
    <t>alberto.alberello@outlook.com</t>
  </si>
  <si>
    <t>Eayrs, Clare/T-7969-2019; Vichi, Marcello/GLR-9823-2022; Bennetts, Luke/F-1623-2010</t>
  </si>
  <si>
    <t>Eayrs, Clare/0000-0003-3129-7604; Vichi, Marcello/0000-0002-0686-9634; Toffoli, Alessandro/0000-0003-3112-6856; Ntamba Ntamba, Butteur Mulumba/0000-0002-8919-5347; Bennetts, Luke/0000-0001-9386-7882</t>
  </si>
  <si>
    <t>South African National Antarctic Programme through the National Research Foundation; Ferring Pharmaceuticals; Australian Antarctic Science Programme [4434]; Japanese Society for the Promotion of Science [PE19055]; Australian Research Council [FT190100404, DP200102828]; Simons Collaboration onWave Turbulence [617006]; Departments of Excellence 2018-2022 Grant - Italian Ministry of Education, University and Research (MIUR) [L.232/2016]; EU H2020 FET Open BOHEME [863179]; NRF SANAP [UID118745]; NYUAD Center for Global Sea Level Change project [G1204]; ACE Foundation; Australian Research Council [DP200102828, FT190100404] Funding Source: Australian Research Council</t>
  </si>
  <si>
    <t>South African National Antarctic Programme through the National Research Foundation; Ferring Pharmaceuticals(Ferring Pharmaceuticals); Australian Antarctic Science Programme; Japanese Society for the Promotion of Science(Ministry of Education, Culture, Sports, Science and Technology, Japan (MEXT)Japan Society for the Promotion of Science); Australian Research Council(Australian Research Council); Simons Collaboration onWave Turbulence; Departments of Excellence 2018-2022 Grant - Italian Ministry of Education, University and Research (MIUR)(Ministry of Education, Universities and Research (MIUR)); EU H2020 FET Open BOHEME; NRF SANAP; NYUAD Center for Global Sea Level Change project; ACE Foundation; Australian Research Council</t>
  </si>
  <si>
    <t>The expedition was funded by the South African National Antarctic Programme through the National Research Foundation. This work was motivated by the Antarctic Circumnavigation Expedition (ACE) and partially funded by the ACE Foundation and Ferring Pharmaceuticals. A.A., L.B. and A.T. were supported by the Australian Antarctic Science Programme (project 4434). A.A. acknowledges support from the Japanese Society for the Promotion of Science (PE19055). L.G.B. is supported by the Australian Research Council (FT190100404). L.G.B. and A.T. are supported by the Australian ResearchCouncil (DP200102828). M.O. was supported by the Simons Collaboration onWave Turbulence, Award No. 617006, and from the Departments of Excellence 2018-2022 Grant awarded by the Italian Ministry of Education, University and Research (MIUR, L.232/2016). M.O. acknowledges the EU H2020 FET Open BOHEME, Grant No. 863179. M.V. and K.M. were supported by the NRF SANAP contract UID118745. C.E. was supported under NYUAD Center for Global Sea Level Change project G1204. We are indebted to Captain Knowledge Bengu and the crew of the S.A. Agulhas II for their invaluable contribution to data collection. ERA5 reanalysis was obtained using Copernicus Climate Change Service Information. M.O. acknowledges B. GiuliNico for interesting discussions. A.A., A.T. and M.O. thank L. Fascette for technical support during the cruise.</t>
  </si>
  <si>
    <t>AUG 6</t>
  </si>
  <si>
    <t>10.1038/s41467-022-32036-2</t>
  </si>
  <si>
    <t>3O4WI</t>
  </si>
  <si>
    <t>Green Accepted, Green Submitted, gold, Green Published</t>
  </si>
  <si>
    <t>WOS:000836839500015</t>
  </si>
  <si>
    <t>Teschke, K; Kraan, C; Kloss, P; Andresen, H; Beermann, J; Fiorentino, D; Gusky, M; Hansen, MLS; Konijnenberg, R; Koppe, R; Pehlke, H; Piepenburg, D; Sabbagh, T; Wrede, A; Brey, T; Dannheim, J</t>
  </si>
  <si>
    <t>Teschke, Katharina; Kraan, Casper; Kloss, Paul; Andresen, Henrike; Beermann, Jan; Fiorentino, Dario; Gusky, Manuela; Hansen, Miriam L. S.; Konijnenberg, Rebecca; Koppe, Roland; Pehlke, Hendrik; Piepenburg, Dieter; Sabbagh, Tawfik; Wrede, Alexa; Brey, Thomas; Dannheim, Jennifer</t>
  </si>
  <si>
    <t>CRITTERBASE, a science-driven data warehouse for marine biota</t>
  </si>
  <si>
    <t>SCIENTIFIC DATA</t>
  </si>
  <si>
    <t>Data on marine biota exist in many formats and sources, such as published literature, data repositories, and unpublished material. Due to this heterogeneity, information is difficult to find, access and combine, severely impeding its reuse for further scientific analysis and its long-term availability for future generations. To address this challenge, we present CRITTERBASE, a publicly accessible data warehouse and interactive portal that currently hosts quality-controlled and taxonomically standardized presence/absence, abundance, and biomass data for 18,644 samples and 3,664 benthic taxa (2,824 of which at species level). These samples were collected by grabs, underwater imaging or trawls in Arctic, North Sea and Antarctic regions between the years 1800 and 2014. Data were collated from literature, unpublished data, own research and online repositories. All metadata and links to primary sources are included. We envision CRITTERBASE becoming a valuable and continuously expanding tool for a wide range of usages, such as studies of spatio-temporal biodiversity patterns, impacts and risks of climate change or the evidence-based design of marine protection policies.</t>
  </si>
  <si>
    <t>[Teschke, Katharina; Kraan, Casper; Kloss, Paul; Andresen, Henrike; Beermann, Jan; Fiorentino, Dario; Gusky, Manuela; Konijnenberg, Rebecca; Koppe, Roland; Pehlke, Hendrik; Piepenburg, Dieter; Sabbagh, Tawfik; Wrede, Alexa; Brey, Thomas; Dannheim, Jennifer] Helmholtz Ctr Polar &amp; Marine Res, Alfred Wegener Inst, Handelshafen 12, D-27570 Bremerhaven, Germany; [Teschke, Katharina; Kraan, Casper; Kloss, Paul; Andresen, Henrike; Beermann, Jan; Fiorentino, Dario; Gusky, Manuela; Pehlke, Hendrik; Piepenburg, Dieter; Sabbagh, Tawfik; Wrede, Alexa; Brey, Thomas; Dannheim, Jennifer] Carl von Ossietzky Univ Oldenburg, Helmholtz Inst Funct Marine Biodivers, Ammerlander Heerstr 231, D-23129 Oldenburg, Germany; [Hansen, Miriam L. S.; Piepenburg, Dieter] Univ Kiel, Inst Ecosyst Res, Olshausenstr 75, D-24118 Kiel, Germany; [Sabbagh, Tawfik] Hsch Bremerhaven, Karlstadt 8, D-27568 Bremerhaven, Germany; [Wrede, Alexa] Helmholtz Zentrum Hereon, Inst Carbon Cycles, Max Planck Str 1, D-21502 Geesthacht, Germany; [Brey, Thomas] Univ Bremen, Bibliothekstr 1, D-28359 Bremen, Germany; [Kraan, Casper; Andresen, Henrike; Fiorentino, Dario] Thunen Inst Sea Fisheries, Herwigstr 31, D-27572 Bremerhaven, Germany</t>
  </si>
  <si>
    <t>Helmholtz Association; Alfred Wegener Institute, Helmholtz Centre for Polar &amp; Marine Research; Carl von Ossietzky Universitat Oldenburg; University of Kiel; Helmholtz Association; Helmholtz-Zentrum Hereon; Max Planck Society; University of Bremen; Johann Heinrich von Thunen Institute</t>
  </si>
  <si>
    <t>Teschke, K (corresponding author), Helmholtz Ctr Polar &amp; Marine Res, Alfred Wegener Inst, Handelshafen 12, D-27570 Bremerhaven, Germany.;Teschke, K (corresponding author), Carl von Ossietzky Univ Oldenburg, Helmholtz Inst Funct Marine Biodivers, Ammerlander Heerstr 231, D-23129 Oldenburg, Germany.</t>
  </si>
  <si>
    <t>Katharina.Teschke@awi.de</t>
  </si>
  <si>
    <t>Andresen, Henrike/KBQ-4381-2024</t>
  </si>
  <si>
    <t>Andresen, Henrike/0000-0001-8836-6370; Koppe, Roland/0000-0002-2826-3932; Kloss, Paul/0000-0002-5587-0850; Hansen, Miriam/0000-0001-9567-5323; Kraan, Casper/0000-0003-2062-6222; Pehlke, Hendrik/0000-0003-1916-7831; Piepenburg, Dieter/0000-0003-3977-2860; Konijnenberg, Rebecca/0000-0002-3804-5365; Teschke, Katharina/0000-0001-9595-7443; Beermann, Jan/0000-0001-5894-6817</t>
  </si>
  <si>
    <t>2052-4463</t>
  </si>
  <si>
    <t>SCI DATA</t>
  </si>
  <si>
    <t>Sci. Data</t>
  </si>
  <si>
    <t>10.1038/s41597-022-01590-1</t>
  </si>
  <si>
    <t>3O4HR</t>
  </si>
  <si>
    <t>WOS:000836796800004</t>
  </si>
  <si>
    <t>Ray, AE; Zaugg, J; Benaud, N; Chelliah, DS; Bay, S; Wong, HL; Leung, PM; Ji, MK; Terauds, A; Montgomery, K; Greening, C; Cowan, DA; Kong, WD; Williams, TJ; Hugenholtz, P; Ferrari, BC</t>
  </si>
  <si>
    <t>Ray, Angelique E.; Zaugg, Julian; Benaud, Nicole; Chelliah, Devan S.; Bay, Sean; Wong, Hon Lun; Leung, Pok Man; Ji, Mukan; Terauds, Aleks; Montgomery, Kate; Greening, Chris; Cowan, Don A.; Kong, Weidong; Williams, Timothy J.; Hugenholtz, Philip; Ferrari, Belinda C.</t>
  </si>
  <si>
    <t>Atmospheric chemosynthesis is phylogenetically and geographically widespread and contributes significantly to carbon fixation throughout cold deserts</t>
  </si>
  <si>
    <t>ISME JOURNAL</t>
  </si>
  <si>
    <t>SP-NOV.; SOIL UPTAKE; X-RAY; PROTEIN; DIVERSITY; H-2; ABUNDANCE; LIFE; TREE; TOOL</t>
  </si>
  <si>
    <t>Cold desert soil microbiomes thrive despite severe moisture and nutrient limitations. In Eastern Antarctic soils, bacterial primary production is supported by trace gas oxidation and the light-independent RuBisCO form IE. This study aims to determine if atmospheric chemosynthesis is widespread within Antarctic, Arctic and Tibetan cold deserts, to identify the breadth of trace gas chemosynthetic taxa and to further characterize the genetic determinants of this process. H-2 oxidation was ubiquitous, far exceeding rates reported to fulfill the maintenance needs of similarly structured edaphic microbiomes. Atmospheric chemosynthesis occurred globally, contributing significantly (p &lt; 0.05) to carbon fixation in Antarctica and the high Arctic. Taxonomic and functional analyses were performed upon 18 cold desert metagenomes, 230 dereplicated medium-to-high-quality derived metagenome-assembled genomes (MAGs) and an additional 24,080 publicly available genomes. Hydrogenotrophic and carboxydotrophic growth markers were widespread. RuBisCO IE was discovered to co-occur alongside trace gas oxidation enzymes in representative Chloroflexota, Firmicutes, Deinococcota and Verrucomicrobiota genomes. We identify a novel group of high-affinity [NiFe]-hydrogenases, group 1m, through phylogenetics, gene structure analysis and homology modeling, and reveal substantial genetic diversity within RuBisCO form IE (rbcL1E), and high-affinity 1h and 1l [NiFe]-hydrogenase groups. We conclude that atmospheric chemosynthesis is a globally-distributed phenomenon, extending throughout cold deserts, with significant implications for the global carbon cycle and bacterial survival within environmental reservoirs.</t>
  </si>
  <si>
    <t>[Ray, Angelique E.; Benaud, Nicole; Chelliah, Devan S.; Wong, Hon Lun; Montgomery, Kate; Williams, Timothy J.; Ferrari, Belinda C.] UNSW, Sch Biotechnol &amp; Biomol Sci, Sydney, NSW 2052, Australia; [Zaugg, Julian; Hugenholtz, Philip] Univ Queensland, Australian Ctr Ecogen, Sch Chem &amp; Mol Biosci, St Lucia, Qld 4072, Australia; [Bay, Sean; Leung, Pok Man; Greening, Chris] Monash Univ, Sch Biol Sci, Clayton, Vic 3800, Australia; [Wong, Hon Lun] Acad Sci Czech Republ, Inst Hydrobiol, Dept Aquat Microbial Ecol, Biol Ctr, Ceske Budejovice, Czech Republic; [Ji, Mukan; Kong, Weidong] Chinese Acad Sci, Inst Tibetan Plateau Res, Key Lab Alpine Ecol, Beijing 100101, Peoples R China; [Ji, Mukan] Lanzhou Univ, Ctr Pan Third Pole Environm, Lanzhou 730000, Peoples R China; [Terauds, Aleks] Australian Antarctic Div, Antarctic Conservat &amp; Management, Dept Environm, Kingston, Tas, Australia; [Cowan, Don A.] Univ Pretoria, Ctr Microbial Ecol &amp; Genom, Dept Biochem Genet &amp; Microbiol, ZA-0002 Pretoria, South Africa</t>
  </si>
  <si>
    <t>University of New South Wales Sydney; University of Queensland; Monash University; Czech Academy of Sciences; Biology Centre of the Czech Academy of Sciences; Chinese Academy of Sciences; Institute of Tibetan Plateau Research, CAS; Lanzhou University; Australian Antarctic Division; University of Pretoria</t>
  </si>
  <si>
    <t>Ferrari, BC (corresponding author), UNSW, Sch Biotechnol &amp; Biomol Sci, Sydney, NSW 2052, Australia.</t>
  </si>
  <si>
    <t>b.ferrari@unsw.edu.au</t>
  </si>
  <si>
    <t>Ji, Mukan/GXV-2104-2022; Leung, Pok Man/AAT-8309-2021; Hugenholtz, Philip/AAD-9138-2019; Cowan, Donald A/E-3991-2012; Wong, Alan/ABH-7986-2020; Kong, Weidong/H-7432-2012; Bay, Sean K/HPD-1985-2023; Greening, Chris/J-4408-2019</t>
  </si>
  <si>
    <t>Leung, Pok Man/0000-0002-5382-827X; Hugenholtz, Philip/0000-0001-5386-7925; Cowan, Donald A/0000-0001-8059-861X; Wong, Alan/0000-0002-3801-0410; Kong, Weidong/0000-0001-9682-1484; Greening, Chris/0000-0001-7616-0594; Williams, Timothy/0000-0002-2738-3019; Zaugg, Julian/0000-0002-4919-1448; Chelliah, Devan/0000-0001-7769-9006; Ferrari, Belinda/0000-0001-5043-3726; Bay, Sean/0000-0003-4833-3106; Ray, Angelique/0000-0003-0051-1938</t>
  </si>
  <si>
    <t>Australian Government Research Training Program (RTP) Scholarship; Australian Research Council Future Fellowship [FT170100341]; Australian Antarctic Program [5097]; Australian Antarctic Science project [4406]; ARC DECRA Fellowship [DE170100310]; NHMRC New Investigator Grant [APP5191146]; Research Technology Services at UNSW Sydney; Australian Research Council [FT170100341] Funding Source: Australian Research Council</t>
  </si>
  <si>
    <t>Australian Government Research Training Program (RTP) Scholarship(Australian GovernmentDepartment of Industry, Innovation and Science); Australian Research Council Future Fellowship(Australian Research Council); Australian Antarctic Program; Australian Antarctic Science project; ARC DECRA Fellowship(Australian Research Council); NHMRC New Investigator Grant(National Health &amp; Medical Research Council (NHMRC) of Australia); Research Technology Services at UNSW Sydney; Australian Research Council(Australian Research Council)</t>
  </si>
  <si>
    <t>We thank the Australian Antarctic Program expedition teams between 2012 and 2019 for sampling of the Antarctic and Arctic soils used in this study, especially Dan Wilkins, Cath King and Mark Raymond. We thank J. Gao and G. Guo for assisting soil sampling of the Tibetan Plateau. This work was supported by the Australian Government Research Training Program (RTP) Scholarship (awarded to AER and DSC), the Australian Research Council Future Fellowship (FT170100341; awarded to BCF), the Australian Antarctic Program Project 5097, the Australian Antarctic Science project grant (4406; awarded to BCF), an ARC DECRA Fellowship (DE170100310; awarded to CG), and a NHMRC New Investigator Grant (APP5191146; awarded to CG). This research includes computations using the computational cluster Katana supported by Research Technology Services at UNSW Sydney.</t>
  </si>
  <si>
    <t>1751-7362</t>
  </si>
  <si>
    <t>1751-7370</t>
  </si>
  <si>
    <t>ISME J</t>
  </si>
  <si>
    <t>ISME J.</t>
  </si>
  <si>
    <t>10.1038/s41396-022-01298-5</t>
  </si>
  <si>
    <t>5H6LD</t>
  </si>
  <si>
    <t>WOS:000836772300001</t>
  </si>
  <si>
    <t>Abakumov, E; Yaneva, R; Polyakov, V; Zhiyanski, M</t>
  </si>
  <si>
    <t>Abakumov, Evgeny; Yaneva, Rositsa; Polyakov, Vyacheslav; Zhiyanski, Miglena</t>
  </si>
  <si>
    <t>Characterization of Humic Acids Isolated from Selected Soils of Livingston Island by CP/MAS 13C NMR and ESR Spectroscopy</t>
  </si>
  <si>
    <t>APPLIED AND ENVIRONMENTAL SOIL SCIENCE</t>
  </si>
  <si>
    <t>MOLECULAR COMPOSITION; TUNDRA SOILS; ORNITHOGENIC SOILS; EUROPEAN NORTHEAST; PERMAFROST; ANTARCTICA; SUBSTANCES; CRYOSOLS; HUMUS; PEAT</t>
  </si>
  <si>
    <t>The tundra and tundra barrens of the maritime Antarctica represent a unique type of terrestrial ecosystem, geographically confined to the region of the Antarctic Peninsula and a number of surrounding archipelagos. Antarctic soils are underestimated in the quantity of organic matter (OM) pools, organic remnant humification/mineralization rates, and biogenic-abiogenic interactions. The structure of reserves for humic substances within the permafrost zone, as well as the role of the molecular composition of organic substances, are still poorly understood. In this study, we investigate humic acids of selected sub-Antarctic soils in terms of elemental and structural composition to evaluate OM stabilization degree and to assess carbon distributions in the molecules by solid-state CP/MAS C-13 NMR and ESR spectroscopy. The results obtained show that the studied humic acids consist mainly of aliphatic structural fragments. According to ESR spectroscopy, it was noted that the most stable molecules by the data of ESR spectroscopy are formed in postornithogenic soils. In contrast, the average portion of the aromatic compounds is about 30% in humic acids, extracted from soils with evident ornithogenic effect.</t>
  </si>
  <si>
    <t>[Abakumov, Evgeny; Polyakov, Vyacheslav] St Petersburg State Univ, Univ Embankment,7-9, St Petersburg 199034, Russia; [Yaneva, Rositsa; Zhiyanski, Miglena] Bulgarian Acad Sci, Forest Res Inst, 132 St Kliment Ohridski Blvd, Sofia 1756, Bulgaria</t>
  </si>
  <si>
    <t>Saint Petersburg State University; Bulgarian Academy of Sciences; Forest Research Institute, Bulgaria</t>
  </si>
  <si>
    <t>Polyakov, V (corresponding author), St Petersburg State Univ, Univ Embankment,7-9, St Petersburg 199034, Russia.</t>
  </si>
  <si>
    <t>e_abakumov@mail.ru; r.s.yaneva@gmail.com; slavon6985@gmail.com; miglena.zhiyanski@gmail.com</t>
  </si>
  <si>
    <t>Abakumov, Evgeny/AAO-8580-2020; Abakumov, e_abakumov@mail.ru/ADJ-1297-2022; Polyakov, Vyacheslav/H-5483-2016</t>
  </si>
  <si>
    <t>Abakumov, Evgeny/0000-0002-5248-9018; Abakumov, e_abakumov@mail.ru/0000-0002-5248-9018; Polyakov, Vyacheslav/0000-0001-6171-3221; Zhiyanski, Miglena/0000-0003-4843-6770; Yaneva, Rositsa/0000-0003-4092-8340</t>
  </si>
  <si>
    <t>National Science Fund, Ministry of Education and Science [RP 06-Russia-29/28.09.2019 RFB bolg-a-19-54-18003]; Russian Foundation for Basic Research [19-05-50107]; Bulgarian Antarctic Institute [718/29.08.2016]</t>
  </si>
  <si>
    <t>National Science Fund, Ministry of Education and Science; Russian Foundation for Basic Research(Russian Foundation for Basic Research (RFBR)Spanish Government); Bulgarian Antarctic Institute</t>
  </si>
  <si>
    <t>This study was developed under the bilateral project assessment of the regional contribution of soils of maritime Antarctica islands to global carbon balance with an evaluation of stabilization and humification rate of organic matter (contract no. KP 06-Russia-29/28.09.2019 RFB bolg-a-19-54-18003) by the National Science Fund, Ministry of Education and Science, and the Russian Foundation for Basic Research. This work was supported by the grant of Russian Foundation for Basic Research (no. 19-05-50107). Special contribution to the collection of and analysis of the results has been realized within the project biomonitoring of polar ecosystem component's state in Livingston Island under global changes at the Bulgarian Antarctic Institute funded through the National Program for Polar Research 2017-2021 with CM decision no. 718/29.08.2016. The development of the projects would not be possible without the professional collaboration with the National Center for Polar Studies, Sofia University St. Kliment Ohridski (and Bulgarian Antarctic Institute), and the logistical support during the 27th and 28th Bulgarian Antarctic Expeditions.</t>
  </si>
  <si>
    <t>1687-7667</t>
  </si>
  <si>
    <t>1687-7675</t>
  </si>
  <si>
    <t>APPL ENVIRON SOIL SC</t>
  </si>
  <si>
    <t>Appl. Environ. Soil Sci.</t>
  </si>
  <si>
    <t>AUG 5</t>
  </si>
  <si>
    <t>10.1155/2022/7540077</t>
  </si>
  <si>
    <t>Environmental Sciences; Soil Science</t>
  </si>
  <si>
    <t>Environmental Sciences &amp; Ecology; Agriculture</t>
  </si>
  <si>
    <t>5Y6AW</t>
  </si>
  <si>
    <t>WOS:000879365000001</t>
  </si>
  <si>
    <t>Ejaz, T; Rahaman, W; Laluraj, CM; Mahalinganathan, K; Thamban, M</t>
  </si>
  <si>
    <t>Ejaz, Tariq; Rahaman, Waliur; Laluraj, C. M.; Mahalinganathan, K.; Thamban, Meloth</t>
  </si>
  <si>
    <t>Rapid Warming Over East Antarctica Since the 1940s Caused by Increasing Influence of El Nino Southern Oscillation and Southern Annular Mode</t>
  </si>
  <si>
    <t>Antarctica; ice core; SAM; ENSO; IPO</t>
  </si>
  <si>
    <t>ICE-CORE; CLIMATE VARIABILITY; ISOTOPIC COMPOSITION; DECADAL VARIABILITY; MAUD-LAND; TEMPERATURE; RECORDS; PENINSULA; ACCUMULATION; ENSO</t>
  </si>
  <si>
    <t>El Nino Southern Oscillation (ENSO), Interdecadal Pacific Oscillations (IPO), and their phase relation with the Southern Annular Mode (SAM) largely control Antarctic climate variability. The relative roles of these climate modes remain elusive, particularly in the backdrop of global warming. In this study, we present a seasonally resolved new ice core (IND33) record of oxygen isotope (delta O-18) for the past two centuries (1809-2013 CE) from coastal Dronning Maud Land (DML) to investigate the role of these climate modes in the Antarctic temperature variability and trend. Our investigation based on this record combined with available records from the DML region reveals that similar to 32% variability in delta O-18 records is related to late spring to summer (Nov-Dec-Jan) temperature rather than the mean annual temperature. This indicates that reconstructed annual temperature based on Antarctic ice core delta O-18 records could be biased toward the temperature of the months/seasons of higher precipitation with low-moderate wind speed, which are suitable for better preservation of the ice core signal. We have reconstructed the DML temperature record of the past two centuries (1809-2019 CE) at an annual resolution based on the delta O-18 ice core record (1809-1993 CE) combined with the recent ERA5 surface air temperature record (1994-2019 CE). The reconstructed temperature anomaly record reveals a significant cooling trend in the 19th century during 1809-1907 CE with a rate of -0.164 +/- 0.045 degrees C decade(-1) followed by a warming trend from the mid-20th to early 21st centuries (1942-2019 CE) with a rate of +0.452 +/- 0.056 degrees C decade(-1). This long-term warming trend since the 1940s coincides with the increase in ENSO events and its strong antiphase relation with SAM, suggesting an increasing influence of SAM-ENSO coupling in modulating the DML temperature in recent decades.</t>
  </si>
  <si>
    <t>[Ejaz, Tariq; Rahaman, Waliur; Laluraj, C. M.; Mahalinganathan, K.; Thamban, Meloth] Minist Earth Sci, Natl Ctr Polar &amp; Ocean Res, Vasco da Gama, India; [Ejaz, Tariq] Goa Univ, Sch Earth Ocean &amp; Atmospher Sci, Taleigao, India</t>
  </si>
  <si>
    <t>Ministry of Earth Sciences (MoES) - India; National Centre for Polar and Ocean Research (NCPOR); Goa University</t>
  </si>
  <si>
    <t>Ejaz, T (corresponding author), Minist Earth Sci, Natl Ctr Polar &amp; Ocean Res, Vasco da Gama, India.;Ejaz, T (corresponding author), Goa Univ, Sch Earth Ocean &amp; Atmospher Sci, Taleigao, India.</t>
  </si>
  <si>
    <t>tariq@ncpor.res.in</t>
  </si>
  <si>
    <t>Kanthanathan, Mahalinganathan/0000-0003-3407-3972; ejaz, Tariq/0000-0003-3926-5447</t>
  </si>
  <si>
    <t>Ministry of Earth Sciences (Government of India); CSIR; [J-27/2022-23]</t>
  </si>
  <si>
    <t>Ministry of Earth Sciences (Government of India)(Ministry of Earth Science (MoES), Government of India); CSIR(Council of Scientific &amp; Industrial Research (CSIR) - India);</t>
  </si>
  <si>
    <t>We thank the Director of the National Centre for Polar and Ocean Research for encouragement and the Ministry of Earth Sciences (Government of India) for the financial support for the project PACER-Cryosphere and Climate. We acknowledge B. L. Redkar for support to the ice core drilling and laboratory work and A. H. Paiguinkar for laboratory assistance. We gratefully acknowledge PAGES 2k for ice core data, C Torrence, GP Compo, A Grinsted, JC Moore, and S Jevrejeva, for wavelet software, Norwegian Polar Institute for Quantarctica software package, and Climate Reanalyzer (TM) software of Climate Change Institute, University of Maine. TE acknowledges CSIR for a research fellowship grant and Prof. Kotha Mahender (Goa University) for guidance. We thank the reviewers for their useful comments and suggestions. This is NCPOR contribution No. J-27/2022-23.</t>
  </si>
  <si>
    <t>10.3389/feart.2022.799613</t>
  </si>
  <si>
    <t>3X3BA</t>
  </si>
  <si>
    <t>WOS:000842914500001</t>
  </si>
  <si>
    <t>Rangel-Alvarado, R; Li, HJ; Ariya, PA</t>
  </si>
  <si>
    <t>Rangel-Alvarado, Rodrigo; Li, Houjie; Ariya, Parisa A.</t>
  </si>
  <si>
    <t>Snow particles physiochemistry: feedback on air quality, climate change, and human health</t>
  </si>
  <si>
    <t>ENVIRONMENTAL SCIENCE-ATMOSPHERES</t>
  </si>
  <si>
    <t>POLYCYCLIC AROMATIC-HYDROCARBONS; SEMIVOLATILE ORGANIC-COMPOUNDS; ICE NUCLEATION ACTIVITY; LIGHT-ABSORBING PARTICLES; OIL SANDS REGION; BROWN CARBON; ANTARCTIC SNOW; BLACK-CARBON; MINERAL DUST; ARCTIC SNOW</t>
  </si>
  <si>
    <t>During the last several decades, numerous researchers have provided evidence that physical and biogeochemical processes at air-snow/ice-water interfaces are very complex, and, in many cases, interlinked. This review focuses on the current state of knowledge regarding snow-borne particles. It integrates snow science from different angles: from the formation of snow and precipitation to transformations through natural and anthropogenic processes and impacts and snow management in urban areas sites. We discuss the physical, chemical, and biological characteristics of particles in snow, such as their composition, abundance, size distribution, ice nucleation properties, genomic features, and microphysical processes, in urban settings, remote areas of the Arctic, and remote industrial regions (oil sands). We explore physicochemical processes of snow particles: from microbial to emerging contaminants, like nano/microplastics, light-absorbing carbonaceous organics, halogenated and nanometals particles. We review the possible contributions of snow particles to atmospheric radiation and climate, biogeochemistry, human health, and urban snow management. We propose further research directions to improve understanding of air-snow feedback, and sustainable snow management in urban areas, in the age of emerging contaminants in a changing climate.</t>
  </si>
  <si>
    <t>[Rangel-Alvarado, Rodrigo; Li, Houjie; Ariya, Parisa A.] McGill Univ, Dept Chem, Dept Atmospher &amp; Ocean Sci, Montreal, PQ, Canada</t>
  </si>
  <si>
    <t>McGill University</t>
  </si>
  <si>
    <t>Ariya, PA (corresponding author), McGill Univ, Dept Chem, Dept Atmospher &amp; Ocean Sci, Montreal, PQ, Canada.</t>
  </si>
  <si>
    <t>parisa.ariya@mcgill.ca</t>
  </si>
  <si>
    <t>Li, Houjie/0000-0002-6033-4788</t>
  </si>
  <si>
    <t>Natural Science and Engineering Research Council of Canada; PRIMA Quebec</t>
  </si>
  <si>
    <t>Natural Science and Engineering Research Council of Canada(Natural Sciences and Engineering Research Council of Canada (NSERC)); PRIMA Quebec</t>
  </si>
  <si>
    <t>We would like to thank the Natural Science and Engineering Research Council of Canada for.nancial support, and PRIMA Quebec. We thank Mr Ryan Hall for proofreading. We are very grateful to Prof. Paul Shepson, Prof. Domin ' e and Prof. Grannas for valuable suggestions.</t>
  </si>
  <si>
    <t>2634-3606</t>
  </si>
  <si>
    <t>ENVIRON SCI-ATMOS</t>
  </si>
  <si>
    <t>Environ. Sci. - Atmospheres</t>
  </si>
  <si>
    <t>10.1039/d2ea00067a</t>
  </si>
  <si>
    <t>4U5CW</t>
  </si>
  <si>
    <t>WOS:000841137600001</t>
  </si>
  <si>
    <t>Windnagel, A; Hock, R; Maussion, F; Paul, F; Rastner, P; Raup, B; Zemp, M</t>
  </si>
  <si>
    <t>Windnagel, Ann; Hock, Regine; Maussion, Fabien; Paul, Frank; Rastner, Philipp; Raup, Bruce; Zemp, Michael</t>
  </si>
  <si>
    <t>Which glaciers are the largest in the world?</t>
  </si>
  <si>
    <t>Glacier delineation; glacier mapping; glacier monitoring; remote sensing</t>
  </si>
  <si>
    <t>COMPLETE INVENTORY; MODEL</t>
  </si>
  <si>
    <t>Glacier monitoring has been internationally coordinated for more than 125 years. Despite this long history, there is no authoritative answer to the popular question: 'Which glaciers are the largest in the world?' Here, we present the first systematic assessment of this question and identify the largest glaciers in the world - distinct from the two ice sheets in Greenland and Antarctica but including the glaciers on the Antarctic Peninsula. We identify the largest glaciers in two domains: on each of the seven geographical continents and in the 19 first-order glacier regions defined by the Global Terrestrial Network for Glaciers. Ranking glaciers by area is non-trivial. It depends on how a glacier is defined and mapped and also requires differentiating between a glacier and a glacier complex, i.e. glaciers that meet at ice divides such as ice caps and icefields. It also depends on the availability of a homogenized global glacier inventory. Using separate rankings for glaciers and glacier complexes, we find that the largest glacier complexes have areas on the order of tens of thousands of square kilometers whereas the largest glaciers are several thousands of square kilometers. The world's largest glaciers and glacier complexes are located in the Antarctic, Arctic and Patagonia.</t>
  </si>
  <si>
    <t>[Windnagel, Ann; Raup, Bruce] US Natl Snow &amp; Ice Data Ctr, Boulder, CO 80303 USA; [Hock, Regine] Univ Oslo, Dept Geosci, Oslo, Norway; [Hock, Regine] Univ Alaska Fairbanks, Inst Geophys, Fairbanks, AK 99775 USA; [Maussion, Fabien] Univ Innsbruck, Dept Atmospher &amp; Cryospher Sci, Innsbruck, Austria; [Paul, Frank; Rastner, Philipp; Zemp, Michael] Univ Zurich, Dept Geog, Zurich, Switzerland</t>
  </si>
  <si>
    <t>University of Oslo; University of Alaska System; University of Alaska Fairbanks; University of Innsbruck; University of Zurich</t>
  </si>
  <si>
    <t>Windnagel, A (corresponding author), US Natl Snow &amp; Ice Data Ctr, Boulder, CO 80303 USA.</t>
  </si>
  <si>
    <t>ann.windnagel@colorado.edu</t>
  </si>
  <si>
    <t>Maussion, Fabien/B-9814-2013; Hock, Regine/C-6179-2013</t>
  </si>
  <si>
    <t>Maussion, Fabien/0000-0002-3211-506X; Zemp, Michael/0000-0003-2391-7877</t>
  </si>
  <si>
    <t>US National Oceanic and Atmospheric Administration (NOAA); Cooperative Institute for Research in Environmental Sciences (CIRES) at the University of Colorado Boulder [NA17OAR4320101]; Federal Office of Meteorology and Climatology MeteoSwiss; European Centre for Medium-range Weather Forecasts (ECMWF) on behalf of the European Commission; European Space Agency (ESA) [4000127593/19/I-NB]; NASA [80NSSC20K1296, 80NSSC17K0566]; Research Council of Norway (RCN) [324131]</t>
  </si>
  <si>
    <t>US National Oceanic and Atmospheric Administration (NOAA)(National Oceanic Atmospheric Admin (NOAA) - USA); Cooperative Institute for Research in Environmental Sciences (CIRES) at the University of Colorado Boulder; Federal Office of Meteorology and Climatology MeteoSwiss; European Centre for Medium-range Weather Forecasts (ECMWF) on behalf of the European Commission; European Space Agency (ESA)(European Space Agency); NASA(National Aeronautics &amp; Space Administration (NASA)); Research Council of Norway (RCN)(Research Council of Norway)</t>
  </si>
  <si>
    <t>We thank Florentin Brendler, University of Innsbruck, for initial work on this topic as WGMS intern and Dorian Delnon, University of Zurich, for support with the design of Figures 2, 3, and 4. We also thank Florence Fetterer and Todd Johnston of NSIDC and the Journal of Glaciology reviewers and editors for reviewing the manuscript and providing valuable feedback. The present study was carried out as a joint project by the US National Snow and Ice Data Center (NSIDC) and the World Glacier Monitoring Service (WGMS) and is a contribution to the Working Group on the `RGI and its role in future glacier monitoring and GLIMS' of the International Association of Cryospheric Sciences (IACS). This work was enabled by support from the US National Oceanic and Atmospheric Administration (NOAA) cooperative agreement with the Cooperative Institute for Research in Environmental Sciences (CIRES) at the University of Colorado Boulder under grant number NA17OAR4320101, the Federal Office of Meteorology and Climatology MeteoSwiss within the framework of the Global Climate Observing System (GCOS) Switzerland, the Copernicus Climate Change Service (C3S) implemented by the European Centre for Medium-range Weather Forecasts (ECMWF) on behalf of the European Commission, the European Space Agency (ESA) projects Glaciers_cci (4000127593/19/I-NB), NASA (grants 80NSSC20K1296 and 80NSSC17K0566), and the Research Council of Norway (RCN, grant #324131).</t>
  </si>
  <si>
    <t>PII S0022143022000612</t>
  </si>
  <si>
    <t>10.1017/jog.2022.61</t>
  </si>
  <si>
    <t>WOS:000836624400001</t>
  </si>
  <si>
    <t>Nyboer, EA; Reid, AJ; Jeanson, AL; Kelly, R; Mackay, M; House, J; Arnold, SM; Simonin, PW; Sedanza, MGC; Rice, ED; Quiros, TEAL; Pierucci, A; Ortega-Cisneros, K; Nakamura, JN; Melli, V; Mbabazi, S; Martins, MSL; Ledesma, ABB; Obregón, C; Labatt, CK; Kadykalo, AN; Heldsinger, M; Green, ME; Fuller, JL; Franco-Meléndez, M; Burnett, MJ; Bolin, JA; Andrade-Vera, S; Cooke, SJ</t>
  </si>
  <si>
    <t>Nyboer, Elizabeth A.; Reid, Andrea J.; Jeanson, Amanda L.; Kelly, Rachel; Mackay, Mary; House, Jenny; Arnold, Sarah M.; Simonin, Paul W.; Sedanza, Mary Grace C.; Rice, Emma D.; Quiros, T. E. Angela L.; Pierucci, Andrea; Ortega-Cisneros, Kelly; Nakamura, Julia N.; Melli, Valentina; Mbabazi, Stella; Martins, Mariana S. L.; Ledesma, Anne Brigette B.; Obregon, Clara; Labatt, Chepkemboi K.; Kadykalo, Andrew N.; Heldsinger, Michael; Green, Madeline E.; Fuller, Jessica L.; Franco-Melendez, Milagros; Burnett, Matthew J.; Bolin, Jessica A.; Andrade-Vera, Solange; Cooke, Steven J.</t>
  </si>
  <si>
    <t>Goals, challenges, and next steps in transdisciplinary fisheries research: perspectives and experiences from early-career researchers</t>
  </si>
  <si>
    <t>REVIEWS IN FISH BIOLOGY AND FISHERIES</t>
  </si>
  <si>
    <t>Social-ecological systems; Sustainability; Knowledge transformation; Co-production; Institutions; Mentorship</t>
  </si>
  <si>
    <t>KNOWLEDGE EXCHANGE; ENVIRONMENTAL SCIENCE; SUSTAINABILITY; COLLABORATION; INTERFACE; EDUCATION; COMPLEX</t>
  </si>
  <si>
    <t>Fisheries are highly complex social-ecological systems that often face 'wicked' problems from unsustainable resource management to climate change. Addressing these challenges requires transdisciplinary approaches that integrate perspectives across scientific disciplines and knowledge systems. Despite widespread calls for transdisciplinary fisheries research (TFR), there are still limitations in personal and institutional capacity to conduct and support this work to the highest potential. The viewpoints of early career researchers (ECRs) in this field can illuminate challenges and promote systemic change within fisheries research. This paper presents the perspectives of ECRs from across the globe, gathered through a virtual workshop held during the 2021 World Fisheries Congress, on goals, challenges, and future potential for TFR. Big picture goals for TFR were guided by principles of co-production and included (i) integrating transdisciplinary thinking at all stages of the research process, (ii) ensuring that research is inclusive and equitable, (iii) co-creating knowledge that is credible, relevant, actionable, and impactful, and (iv) consistently communicating with partners. Institutional inertia, lack of recognition of the extra time and labour required for TFR, and lack of skill development opportunities were identified as three key barriers in conducting TFR. Several critical actions were identified to help ECRs, established researchers, and institutions reach these goals. We encourage ECRs to form peer-mentorship networks to guide each other along the way. We suggest that established researchers ensure consistent mentorship while also giving space to ECR voices. Actions for institutions include retooling education programs, developing and implementing new metrics of impact, and critically examining individualism and privilege in academia. We suggest that the opportunities and actions identified here, if widely embraced now, can enable research that addresses complex challenges facing fishery systems contributing to a healthier future for fish and humans alike.</t>
  </si>
  <si>
    <t>[Nyboer, Elizabeth A.; Jeanson, Amanda L.; Kadykalo, Andrew N.; Cooke, Steven J.] Carleton Univ, Dept Biol, Carleton Technol &amp; Training Ctr, Ottawa, ON K1S 5B6, Canada; [Nyboer, Elizabeth A.; Jeanson, Amanda L.; Kadykalo, Andrew N.; Cooke, Steven J.] Carleton Univ, Inst Environm &amp; Interdisciplinary Sci, Carleton Technol &amp; Training Ctr, Ottawa, ON K1S 5B6, Canada; [Reid, Andrea J.] Univ British Columbia, Ctr Indigenous Fisheries, Inst Oceans &amp; Fisheries, 2202 Main Mall, Vancouver, BC V6T 1Z4, Canada; [Kelly, Rachel; Mackay, Mary] Univ Tasmania, Ctr Marine Socioecol, Hobart, Tas 7005, Australia; [Kelly, Rachel; Mackay, Mary] Univ Tasmania, Inst Marine &amp; Antarctic Studies, Hobart, Tas 7000, Australia; [Mackay, Mary; Green, Madeline E.] CSIRO Oceans &amp; Atmosphere, Hobart, Tas 7001, Australia; [Mackay, Mary; Green, Madeline E.] Univ Tasmania, Ctr Marine Socioecol, Private Bag 49, Hobart, Tas 7001, Australia; [House, Jenny] Charles Darwin Univ, Res Inst Environm &amp; Livelihoods, Ellengowan Dr, Casuarina, NT 0810, Australia; [Simonin, Paul W.] Cornell Univ, Dept Ecol &amp; Evolutionary Biol, 215 Tower Rd, Ithaca, NY 14853 USA; [Sedanza, Mary Grace C.] Nagasaki Univ, Grad Sch Fisheries &amp; Environm Sci, Nagasaki 8528521, Japan; [Sedanza, Mary Grace C.] Univ Philippines Visayas, Coll Fisheries &amp; Ocean Sci, Inst Aquaculture, Iloilo 5023, Philippines; [Rice, Emma D.] Michigan State Univ, Dept Fisheries &amp; Wildlife, E Lansing, MI 48824 USA; [Quiros, T. E. Angela L.] Hokkaido Univ, Field Sci Ctr Northern Biosphere, Akkeshi Marine Stn, Sapporo, Hokkaido, Japan; [Pierucci, Andrea] COISPA Tecnol &amp; Ric, Stn Sperimentale Studio Risorse Mare, Bari, Italy; [Ortega-Cisneros, Kelly] Univ Cape Town, Dept Biol Sci, Cape Town, South Africa; [Nakamura, Julia N.] Univ Strathclyde Law Sch, Strathclyde Ctr Environm Law &amp; Governance SCELG, Glasgow, Lanark, Scotland; [Melli, Valentina] Natl Inst Aquat Resources, DTU Aqua, North Sea Sci Pk, DK-9850 Hirtshals, Denmark; [Mbabazi, Stella] Minist Agr Anim Ind &amp; Fisheries, Entebbe, Uganda; [Martins, Mariana S. L.] Univ Sao Paulo, Fisheries Ecosyst Lab LabPesq, Oceanog Inst, Brazil Praca Oceanog 11,Sala 107,Cidade Univ, Sao Paulo, SP, Brazil; [Ledesma, Anne Brigette B.] Univ Philippines Visayas, Inst Fisheries Policy &amp; Dev Studies, Coll Fisheries &amp; Ocean Sci, Iloilo 5023, Philippines; [Obregon, Clara] Murdoch Univ, Environm &amp; Conservat Sci, Coll Sci Hlth Engn &amp; Educ, 90 South St, Murdoch, WA 6150, Australia; [Obregon, Clara] Murdoch Univ, Harry Butler Inst, 90 South St, Murdoch, WA 6150, Australia; [Labatt, Chepkemboi K.] Ulster Univ, Sch Geog &amp; Environm Sci, Cromore Rd, Coleraine BT52 1SA, Londonderry, North Ireland; [Labatt, Chepkemboi K.] Kenya Marine &amp; Fisheries Res Inst KMFRI, Ocean &amp; Coastal Syst, POB 81651-80100, Mombasa, Kenya; [Heldsinger, Michael] Univ Otago, Dept Marine Sci, POB 56, Dunedin 9054, New Zealand; [Heldsinger, Michael] RPS Grp, Oceans &amp; Coastal Sect, Level 2-27-31 Troode St, Perth, WA 6005, Australia; [Fuller, Jessica L.] Univ Bergen, Dept Biol Sci, Bergen, Norway; [Franco-Melendez, Milagros] Univ Concepcion, Dept Oceanog, Programa Doctorado Ciencias Menc Manejo Recursos, Concepcion, Chile; [Franco-Melendez, Milagros] Univ Concepcion, Dept Oceanog, EPOMAR, Ctr Invest Oceanog COPAS Sur Austral, Concepcion, Chile; [Burnett, Matthew J.] Univ KwaZulu Natal, Ctr Funct Biodivers, Sch Life Sci, Pietermaritzburg, South Africa; [Bolin, Jessica A.] Univ Sunshine Coast, Sch Sci Technol &amp; Engn, Sippy Downs, Qld, Australia; [Andrade-Vera, Solange] Charles Darwin Fdn, Charles Darwin Res Stn, Puerto Ayora, Galapagos Islan, Ecuador</t>
  </si>
  <si>
    <t>Carleton University; Carleton University; University of British Columbia; University of Tasmania; University of Tasmania; Commonwealth Scientific &amp; Industrial Research Organisation (CSIRO); University of Tasmania; Charles Darwin University; Cornell University; Nagasaki University; University of the Philippines System; University of the Philippines Visayas; Michigan State University; Hokkaido University; University of Cape Town; Technical University of Denmark; Universidade de Sao Paulo; University of the Philippines System; University of the Philippines Visayas; Murdoch University; Murdoch University; Ulster University; University of Otago; University of Bergen; Universidad de Concepcion; Universidad de Concepcion; University of Kwazulu Natal; University of the Sunshine Coast</t>
  </si>
  <si>
    <t>Nyboer, EA (corresponding author), Carleton Univ, Dept Biol, Carleton Technol &amp; Training Ctr, Ottawa, ON K1S 5B6, Canada.;Nyboer, EA (corresponding author), Carleton Univ, Inst Environm &amp; Interdisciplinary Sci, Carleton Technol &amp; Training Ctr, Ottawa, ON K1S 5B6, Canada.</t>
  </si>
  <si>
    <t>b.a.nyboer@gmail.com</t>
  </si>
  <si>
    <t>Sedanza, Mary Grace/GRO-4822-2022; Pierucci, Andrea/GQA-4598-2022; Bolin, Jessica/GQZ-7263-2022; Cooke, Steven J/F-4193-2010; Ledesma, Anne Brigette/IXW-8997-2023; Ledesma, Anne Brigette/IXW-9640-2023; Franco-Meléndez, Milagros Teresa/IYJ-0682-2023</t>
  </si>
  <si>
    <t>Sedanza, Mary Grace/0000-0003-3037-4823; Pierucci, Andrea/0000-0002-4252-1184; Cooke, Steven J/0000-0002-5407-0659; Franco-Melendez, Milagros/0000-0001-8109-865X; Green, Madeline Elizabeth/0000-0002-5037-2043; Burnett, Matthew James/0000-0002-6237-1697; Rice, Emma/0000-0001-8812-2368; Ortega-Cisneros, Kelly/0000-0003-2511-5448; Nakamura, Julia/0000-0002-2558-1732</t>
  </si>
  <si>
    <t>World Fisheries Congress (WFC); Fonds de Recherche du Quebec - nature et technologie [295667]</t>
  </si>
  <si>
    <t>World Fisheries Congress (WFC); Fonds de Recherche du Quebec - nature et technologie</t>
  </si>
  <si>
    <t>We would like to thank Daniel Ten Veen for volunteering to provide live technical support during the Zoom event. We also thank the organizing board at the World Fisheries Congress (WFC) for supporting this workshop, and especially Jane Ham for all direct communication with WFC. We are grateful to our mentors who have encouraged and enabled our development as transdisciplinary researchers. Funding was provided to EAN by the Fonds de Recherche du Quebec - nature et technologie grant number 295667.</t>
  </si>
  <si>
    <t>0960-3166</t>
  </si>
  <si>
    <t>1573-5184</t>
  </si>
  <si>
    <t>REV FISH BIOL FISHER</t>
  </si>
  <si>
    <t>Rev. Fish. Biol. Fish.</t>
  </si>
  <si>
    <t>10.1007/s11160-022-09719-6</t>
  </si>
  <si>
    <t>G9QB4</t>
  </si>
  <si>
    <t>Green Accepted, Bronze, Green Published</t>
  </si>
  <si>
    <t>WOS:000836494600001</t>
  </si>
  <si>
    <t>Guo, JYA; Strzepek, R; Willis, A; Ferderer, A; Bach, LT</t>
  </si>
  <si>
    <t>Guo, Jiaying Abby; Strzepek, Robert; Willis, Anusuya; Ferderer, Aaron; Bach, Lennart Thomas</t>
  </si>
  <si>
    <t>Investigating the effect of nickel concentration on phytoplankton growth to assess potential side-effects of ocean alkalinity enhancement</t>
  </si>
  <si>
    <t>CARBON-DIOXIDE; SPECIATION; LIMITATION; UREA; FLUORESCENCE; SEAWATER; COPPER; IRON; COMPLEXATION; TOXICITY</t>
  </si>
  <si>
    <t>Ocean alkalinity enhancement (OAE) is a proposed method for removing carbon dioxide (CO2) from the atmosphere by the accelerated weathering of (ultra-)basic minerals to increase alkalinity - the chemical capacity of seawater to store CO2. During the weathering of OAE-relevant minerals relatively large amounts of trace metals will be released and may perturb pelagic ecosystems. Nickel (Ni) is of particular concern as it is abundant in olivine, one of the most widely considered minerals for OAE. However, so far there is limited knowledge about the impact of Ni on marine biota including phytoplankton. To fill this knowledge gap, this study tested the growth and photo-physiological response of 11 marine phytoplankton species to a wide range of dissolved Ni concentrations (from 0.07 to 50 000 nmol L-1). We found that the phytoplankton species were not very sensitive to Ni concentrations under the culturing conditions established in our experiments, but the responses were species-specific. The growth rates of 6 of the 11 tested species showed generally limited but still significant responses to changing Ni concentrations (36 % maximum change). Photosynthetic performance, assessed by measuring the maximum quantum yield (F-v /F-m) and the functional absorption cross-section (sigma(PSII)) of photosystem II (PSII), was sensitive to changing Ni in 3 out of 11 species (35 % maximum change) and 4 out of 11 species (16 % maximum change), respectively. The limited effect of Ni may be partly due to the provision of nitrate as the nitrogen source for growth as previous studies suggest higher sensitivities when urea is the nitrogen source. Furthermore, the limited influence may be due to the relatively high concentrations of synthetic organic ligands added to the growth media in our experiments. These ligands are commonly added to control trace metal bioavailability and therefore for example free Ni2+ concentrations by binding the majority of the dissolved Ni. Our data suggest that dissolved Ni does not have a strong effect on phytoplankton under our experimental conditions, but we emphasize that a deeper understanding of nitrogen sources, ligand concentrations, and phytoplankton composition is needed when assessing the influence of Ni release associated with OAE.</t>
  </si>
  <si>
    <t>[Guo, Jiaying Abby; Ferderer, Aaron; Bach, Lennart Thomas] Univ Tasmania, Inst Marine &amp; Antarctic Studies, Ecol &amp; Biodivers, Hobart, Tas, Australia; [Strzepek, Robert] Univ Tasmania, Inst Marine &amp; Antarctic Studies, Australian Antarctic Program Partnership AAPP, Hobart, Tas, Australia; [Willis, Anusuya] CSIRO, Natl Collect &amp; Marine Infrastruct, Hobart, Tas, Australia</t>
  </si>
  <si>
    <t>Guo, JYA (corresponding author), Univ Tasmania, Inst Marine &amp; Antarctic Studies, Ecol &amp; Biodivers, Hobart, Tas, Australia.</t>
  </si>
  <si>
    <t>jiaying.guo@utas.edu.au</t>
  </si>
  <si>
    <t>Strzepek, Robert Francis/GQH-8703-2022; Wilis, Anusuya/AAV-6917-2020</t>
  </si>
  <si>
    <t>Strzepek, Robert Francis/0000-0002-6442-7121; Wilis, Anusuya/0000-0003-0829-7446; Bach, Lennart/0000-0003-0202-3671; Ferderer, Aaron/0000-0002-2191-515X; Guo, Jiaying/0000-0002-0837-8951</t>
  </si>
  <si>
    <t>Australian Research Council through a Future Fellowship awarded to Lennart Thomas Bach [FT200100846]; Australian Research Council [FT200100846] Funding Source: Australian Research Council</t>
  </si>
  <si>
    <t>Australian Research Council through a Future Fellowship awarded to Lennart Thomas Bach(Australian Research Council); Australian Research Council(Australian Research Council)</t>
  </si>
  <si>
    <t>This research has been supported by the Australian Research Council through a Future Fellowship awarded to Lennart Thomas Bach (project FT200100846).</t>
  </si>
  <si>
    <t>10.5194/bg-19-3683-2022</t>
  </si>
  <si>
    <t>3N7LC</t>
  </si>
  <si>
    <t>WOS:000836326600001</t>
  </si>
  <si>
    <t>Rocchi, A; Sotomayor-Garcia, A; Cabrera-Brufau, M; Berdalet, E; Dall'Osto, M; Vaqué, D</t>
  </si>
  <si>
    <t>Rocchi, Arianna; Sotomayor-Garcia, Ana; Cabrera-Brufau, Miguel; Berdalet, Elisa; Dall'Osto, Manuel; Vaque, Dolors</t>
  </si>
  <si>
    <t>Abundance and activity of sympagic viruses near the Western Antarctic Peninsula</t>
  </si>
  <si>
    <t>Virus; Prokaryotes; Protists; Sea ice; Viral activity; Antarctic Ocean</t>
  </si>
  <si>
    <t>TRANSPARENT EXOPOLYMER PARTICLES; LYSOGENIC VIRAL-INFECTION; ARCTIC SEA-ICE; PHAEOCYSTIS-POUCHETII; PLANKTONIC BACTERIA; FLOW-CYTOMETRY; SOUTHERN-OCEAN; MARINE; COMMUNITY; DYNAMICS</t>
  </si>
  <si>
    <t>The Western Antarctic Peninsula (WAP) has experienced significant changes in seawater temperature over the past 50 years. This warming affects seawater and sea ice microbial cycling of organic matter, where viral features could play a crucial role in sympagic sea ice melting environments. However, there is a lack of information about the sea ice viral abundances and processes (e.g. lysis rates and carbon release from microorganisms). To gain knowledge of sea ice viral, microbial, and chemical characteristics, we collected four different sea ice samples and their surrounding surface seawater during the Austral summer of 2019 north of the WAP. In each sample, we assessed viral and microbial abundances and environmental parameters. In the sea ice, we also measured viral-driven mortality rates on prokaryotes and protists and the consequent release of organic carbon. The viral and microorganism abundances in the sea ice were higher (4.5 +/- 1.9 x 10(6) viruses mL(-1); 1.5 +/- 0.7 x 10(6) prokaryotes mL(-1), 9.4 +/- 5.0 x 10(2) protists mL(-1)) than in the surrounding surface seawater (1.7 x 10(6) viruses mL(-1), 0.4 x 10(6) prokaryotes mL(-1), 7.1 x 10(2) protists mL(-1)). Furthermore, viral lytic production on prokaryotes (4.5 +/- 0.8 x 10(5) mL(-1)day(-1)) and protists (1.9 +/- 1.0 x 10(4) mL(-1) day(-1)) in sympagic environments had a higher viral impact on carbon release by protist (1.5 +/- 1.1 mu g C L-1 day(-1)) than by prokaryotes (0.3 +/- 0.1 mu g C L-1 day(-1)). Our results suggest that, after sea ice melting, viral abundances and activities may influence the functioning of the microbial food web by increasing the release of dissolved organic matter, affecting biogeochemical cycles and microbial communities in the underlying surface waters.</t>
  </si>
  <si>
    <t>[Rocchi, Arianna; Sotomayor-Garcia, Ana; Cabrera-Brufau, Miguel; Berdalet, Elisa; Dall'Osto, Manuel; Vaque, Dolors] Inst Marine Sci CSIC, Dept Marine Biol &amp; Oceanog, Pg Maritim Barceloneta 37-49, Barcelona 08003, Spain</t>
  </si>
  <si>
    <t>Consejo Superior de Investigaciones Cientificas (CSIC); CSIC - Centro Mediterraneo de Investigaciones Marinas y Ambientales (CMIMA); CSIC - Instituto de Ciencias del Mar (ICM)</t>
  </si>
  <si>
    <t>Rocchi, A; Vaqué, D (corresponding author), Inst Marine Sci CSIC, Dept Marine Biol &amp; Oceanog, Pg Maritim Barceloneta 37-49, Barcelona 08003, Spain.</t>
  </si>
  <si>
    <t>rocchi@icm.csic.es</t>
  </si>
  <si>
    <t>Cabrera-Brufau, Miguel/G-4391-2015; dallosto, manuel/G-3584-2016; Vaque, Dolors/H-6973-2018</t>
  </si>
  <si>
    <t>Cabrera-Brufau, Miguel/0000-0002-0740-9306; ROCCHI, ARIANNA/0000-0002-1193-2562; dallosto, manuel/0000-0003-4203-894X; Vaque, Dolors/0000-0002-0420-5914</t>
  </si>
  <si>
    <t>PI- ICE (Polar atmosphere-ice-ocean Interactions: Impact on Climate and Ecology) - Ministerio de Economia y Competitividad (MINECO) of Spain [CTM2017-89117- R]</t>
  </si>
  <si>
    <t>PI- ICE (Polar atmosphere-ice-ocean Interactions: Impact on Climate and Ecology) - Ministerio de Economia y Competitividad (MINECO) of Spain</t>
  </si>
  <si>
    <t>This study was supported by the project PI- ICE (Polar atmosphere-ice-ocean Interactions: Impact on Climate and Ecology. CTM2017-89117- R) funded by the Ministerio de Economia y Competitividad (MINECO) of Spain.</t>
  </si>
  <si>
    <t>10.1007/s00300-022-03073-w</t>
  </si>
  <si>
    <t>WOS:000836697900001</t>
  </si>
  <si>
    <t>Houstin, A; Zitterbart, DP; Winterl, A; Richter, S; Planas-Bielsa, V; Chevallier, D; Ancel, A; Fournier, J; Fabry, B; Le Bohec, C</t>
  </si>
  <si>
    <t>Houstin, Aymeric; Zitterbart, Daniel P.; Winterl, Alexander; Richter, Sebastian; Planas-Bielsa, Victor; Chevallier, Damien; Ancel, Andre; Fournier, Jerome; Fabry, Ben; Le Bohec, Celine</t>
  </si>
  <si>
    <t>Biologging of emperor penguins-Attachment techniques and associated deployment performance</t>
  </si>
  <si>
    <t>ADELIE PENGUINS; APTENODYTES FORSTERI; FORAGING BEHAVIOR; FLIPPER-BANDS; PRE-MOLT; HABITAT; SEA; DEVICES; WINTER; GEOLOCATION</t>
  </si>
  <si>
    <t>An increasing number of marine animals are equipped with biologgers, to study their physiology, behaviour and ecology, often for conservation purposes. To minimise the impacts of biologgers on the animals' welfare, the Refinement principle from the Three Rs framework (Replacement, Reduction, Refinement) urges to continuously test and evaluate new and updated biologging protocols. Here, we propose alternative and promising techniques for emperor penguin (Aptenodytes forsten) capture and on-site logger deployment that aim to mitigate the potential negative impacts of logger deployment on these birds. We equipped adult emperor penguins for short-term (GPS, Time-Depth Recorder (TDR)) and long-term (i.e. planned for one year) deployments (ARGOS platforms, TDR), as well as juvenile emperor penguins for long-term deployments (ARGOS platforms) in the Weddell Sea area where they had not yet been studied. We describe and qualitatively evaluate our protocols for the attachment of biologgers on-site at the colony, the capture of the animals and the recovery of the devices after deployment. We report unprecedented recaptures of long-term equipped adult emperor penguins (50% of equipped individuals recaptured after 290 days). Our data demonstrate that the traditional technique of long-term attachment by gluing the biologgers directly to the back feathers causes excessive feather breakage and the loss of the devices after a few months. We therefore propose an alternative method of attachment for back-mounted devices. This technique led to successful year-round deployments on 37.5% of the equipped juveniles. Finally, we also disclose the first deployments of leg-bracelet mounted TDRs on emperor penguins. Our findings highlight the importance of monitoring potential impacts of biologger deployments on the animals and the need to continue to improve methods to minimize disturbance and enhance performance and results.</t>
  </si>
  <si>
    <t>[Houstin, Aymeric; Planas-Bielsa, Victor; Le Bohec, Celine] Ctr Sci Monaco, Dept Biol Polaire, Monaco, Monaco; [Houstin, Aymeric; Chevallier, Damien; Ancel, Andre; Le Bohec, Celine] Univ Strasbourg, IPHC, CNRS UMR 7178, Strasbourg, France; [Houstin, Aymeric; Zitterbart, Daniel P.; Winterl, Alexander; Richter, Sebastian; Fabry, Ben] Friedrich Alexander Univ Erlangen Nurnberg, Dept Phys, Erlangen, Germany; [Zitterbart, Daniel P.; Winterl, Alexander; Richter, Sebastian] Woods Hole Oceanog Inst, Appl Ocean Phys &amp; Engn Woods Hole, Woods Hole, MA USA; [Zitterbart, Daniel P.] Kumamoto Univ, Int Res Org Adv Sci &amp; Technol IROAST, Kumamoto, Japan; [Fournier, Jerome] Museum Natl Hist Nat, Stn Biol Marine, CNRS UMR 7204 CESCO, Concarneau, France; [Fournier, Jerome] Museum Natl Hist Nat, Ctr Rech Biol Populat Oiseaux, Paris, France</t>
  </si>
  <si>
    <t>Universites de Strasbourg Etablissements Associes; Universite de Strasbourg; Centre National de la Recherche Scientifique (CNRS); CNRS - National Institute of Nuclear and Particle Physics (IN2P3); University of Erlangen Nuremberg; Woods Hole Oceanographic Institution; Kumamoto University; Museum National d'Histoire Naturelle (MNHN); Museum National d'Histoire Naturelle (MNHN)</t>
  </si>
  <si>
    <t>Houstin, A; Le Bohec, C (corresponding author), Ctr Sci Monaco, Dept Biol Polaire, Monaco, Monaco.;Houstin, A; Le Bohec, C (corresponding author), Univ Strasbourg, IPHC, CNRS UMR 7178, Strasbourg, France.;Houstin, A (corresponding author), Friedrich Alexander Univ Erlangen Nurnberg, Dept Phys, Erlangen, Germany.</t>
  </si>
  <si>
    <t>houstina@gmail.com; celine.lebohec@iphc.cnrs.fr</t>
  </si>
  <si>
    <t>Fournier, Jérôme/B-7456-2008; DAMIEN, CHEVALLIER/N-6532-2013; Zitterbart, Daniel P/N-7489-2013; Fabry, Ben/C-5496-2013</t>
  </si>
  <si>
    <t>DAMIEN, CHEVALLIER/0000-0002-2232-6787; Fabry, Ben/0000-0003-1737-0465; Houstin, Aymeric/0000-0001-8676-819X; Zitterbart, Daniel/0000-0001-9429-4350</t>
  </si>
  <si>
    <t>Centre Scientifique de Monaco; RTPI-NUTRESS (CSM/CNRSnotsign-University of Strasbourg); Penzance Endowed Fund; Grayce B. Kerr Fund in Support of Assistant Scientists; Deutsche Forschungsgemeinschaft (DFG) [ZI1525/3-1]; Alfred Wegener Institute (AWI); [LIA-647]</t>
  </si>
  <si>
    <t>Centre Scientifique de Monaco; RTPI-NUTRESS (CSM/CNRSnotsign-University of Strasbourg); Penzance Endowed Fund; Grayce B. Kerr Fund in Support of Assistant Scientists; Deutsche Forschungsgemeinschaft (DFG)(German Research Foundation (DFG)); Alfred Wegener Institute (AWI);</t>
  </si>
  <si>
    <t>This study was funded by the Centre Scientifique de Monaco with additional support from the LIA-647 and RTPI-NUTRESS (CSM/CNRSnotsign -University of Strasbourg), by The Penzance Endowed Fund and The Grayce B. Kerr Fund in Support of Assistant Scientists and by the Deutsche Forschungsgemeinschaft (DFG) grants ZI1525/3-1 in the framework of the priority program Antarctic research with comparative investigations in Arctic ice areas. Logistics and field efforts were supported by the Alfred Wegener Institute (AWI) within the framework of the program MARE.</t>
  </si>
  <si>
    <t>AUG 4</t>
  </si>
  <si>
    <t>e0265849</t>
  </si>
  <si>
    <t>10.1371/journal.pone.0265849</t>
  </si>
  <si>
    <t>4E8NP</t>
  </si>
  <si>
    <t>WOS:000848077100002</t>
  </si>
  <si>
    <t>Phillips, HE; Patel, RS; Benthuysen, JA; Duran, ER; Marin, M</t>
  </si>
  <si>
    <t>Phillips, Helen E.; Patel, Ramkrushnbhai S.; Benthuysen, Jessica A.; Duran, Earl R.; Marin, Maxime</t>
  </si>
  <si>
    <t>Watermass characteristics and circulation near 110°E in the southeast Indian Ocean</t>
  </si>
  <si>
    <t>Watermasses; Currents; Sea surface height; Mesoscale eddies; T-S properties; Overturning circulation; Physical oceanography; Nutrients</t>
  </si>
  <si>
    <t>LEEUWIN CURRENT SYSTEM; EASTERN BOUNDARY CURRENT; HOLLOWAY CURRENT; EDDIES; DYNAMICS; PACIFIC; IMPACTS; DENSITY; DRIVEN; FLOWS</t>
  </si>
  <si>
    <t>We present a description of the large-scale physical oceanography of the southeast Indian Ocean to provide context for this special issue, revisiting 110 degrees E as part of the Second International Indian Ocean Expedition. Full watermass properties and circulation are introduced based on the hydrographic observations, as well as underway systems and satellite sea surface height measurements. The 110 degrees E line provides a window into the global meridional overturning circulation and the shallow overturning of the Indian Ocean. Measurements of change along this line provide valuable insight into the pulse of the climate system. The full depth hydrographic transects of 1963 and 2019 will provide invaluable calibration points for investigation of climate variability using the diverse observations that contribute to the Indian and global ocean observing systems.</t>
  </si>
  <si>
    <t>[Phillips, Helen E.; Patel, Ramkrushnbhai S.; Marin, Maxime] Univ Tasmania, Inst Marine &amp; Antarctic Studies, Hobart, Tas, Australia; [Phillips, Helen E.] Univ Tasmania, Australian Antarctic Program Partnership, Inst Marine &amp; Antarctic Studies, Hobart, Tas, Australia; [Phillips, Helen E.] Univ Tasmania, Australian Res Council Ctr Excellence Antarctic S, Hobart, Tas, Australia; [Patel, Ramkrushnbhai S.] Univ Tasmania, Australian Res Council Ctr Excellence Climate Ext, Hobart, Tas, Australia; [Benthuysen, Jessica A.] Australian Inst Marine Sci, Crawley, WA, Australia; [Duran, Earl R.] Global Sustainable Energy Solut Pty Ltd, Sydney, NSW, Australia; [Marin, Maxime] Indian Ocean Marine Res Ctr, CSIRO Oceans &amp; Atmosphere, Crawley, WA, Australia; [Marin, Maxime] Now Risk Frontiers, St Leonards, NSW, Australia</t>
  </si>
  <si>
    <t>University of Tasmania; University of Tasmania; University of Tasmania; University of Tasmania; Australian Institute of Marine Science; Commonwealth Scientific &amp; Industrial Research Organisation (CSIRO); University of Western Australia</t>
  </si>
  <si>
    <t>Phillips, HE (corresponding author), Univ Tasmania, Inst Marine &amp; Antarctic Studies, Hobart, Tas, Australia.</t>
  </si>
  <si>
    <t>h.e.phillips@utas.edu.au</t>
  </si>
  <si>
    <t>Phillips, Helen/I-3761-2013</t>
  </si>
  <si>
    <t>Phillips, Helen/0000-0002-2941-7577; Benthuysen, Jessica/0000-0001-7615-6587</t>
  </si>
  <si>
    <t>Australian Government's National Environmental Science Program Earth Systems Climate Change and Climate Systems Hubs; Australian Government as part of the Antarctic Science Collaboration Initiative; Australian Centre for Excellence in Antarctic Science [SR200100008]; ARC Centre of Excellence for Climate Extremes; Australian Research Council [SR200100008] Funding Source: Australian Research Council</t>
  </si>
  <si>
    <t>Australian Government's National Environmental Science Program Earth Systems Climate Change and Climate Systems Hubs(Australian Government); Australian Government as part of the Antarctic Science Collaboration Initiative(Australian Government); Australian Centre for Excellence in Antarctic Science; ARC Centre of Excellence for Climate Extremes; Australian Research Council(Australian Research Council)</t>
  </si>
  <si>
    <t>This research was supported by ship time from Australia's Marine National Facility. HP acknowledges funding from the Australian Government's National Environmental Science Program Earth Systems Climate Change and Climate Systems Hubs and support from the Australian Government as part of the Antarctic Science Collaboration Initiative and the Australian Centre for Excellence in Antarctic Science (Project Number SR200100008). MM and ED are grateful for support received from the ARC Centre of Excellence for Climate Extremes.</t>
  </si>
  <si>
    <t>10.1016/j.dsr2.2022.105149</t>
  </si>
  <si>
    <t>3W1PE</t>
  </si>
  <si>
    <t>WOS:000842124900004</t>
  </si>
  <si>
    <t>Smith, AJR; Nelson, T; Ratnarajah, L; Genovese, C; Westwood, K; Holmes, TM; Corkill, M; Townsend, AT; Bell, E; Wuttig, K; Lannuzel, D</t>
  </si>
  <si>
    <t>Smith, Abigail J. R.; Nelson, Talitha; Ratnarajah, Lavenia; Genovese, Cristina; Westwood, Karen; Holmes, Thomas M.; Corkill, Matthew; Townsend, Ashley T.; Bell, Elanor; Wuttig, Kathrin; Lannuzel, Delphine</t>
  </si>
  <si>
    <t>Identifying potential sources of iron-binding ligands in coastal Antarctic environments and the wider Southern Ocean</t>
  </si>
  <si>
    <t>Fe availability; microbial productivity; benthic nepheloid layers; SOLt collection; complexation</t>
  </si>
  <si>
    <t>CATHODIC STRIPPING VOLTAMMETRY; MERTZ GLACIER REGION; ORGANIC COMPLEXATION; DISSOLVED IRON; HUMIC SUBSTANCES; ATLANTIC SECTOR; COLLOIDAL IRON; NORTH-ATLANTIC; WATER-COLUMN; WEDDELL SEA</t>
  </si>
  <si>
    <t>The availability of iron (Fe) to marine microbial communities is enhanced through complexation by ligands. In Fe limited environments, measuring the distribution and identifying the likely sources of ligands is therefore central to understanding the drivers of marine productivity. Antarctic coastal marine environments support highly productive ecosystems and are influenced by numerous sources of ligands, the magnitude of which varies both spatially and seasonally. Using competitive ligand exchange adsorptive cathodic stripping voltammetry (CLE-AdCSV) with 2-(2-thiazolylazo)-p-cresol (TAC) as a competing artificial ligand, this study investigates Fe-binding ligands (FeL) across the continental shelf break in the Mertz Glacier Region, East Antarctica (64 - 67 degrees S; 138 - 154 degrees E) during austral summer of 2019. The average FeL concentration was 0.86 +/- 0.5 nM Eq Fe, with strong conditional stability constants (Log K-FeL) averaging 23.1 +/- 1.0. The strongest binding ligands were observed in modified circumpolar deep water (CDW), thought to be linked to bacterial Fe remineralisation and potential siderophore release. High proportions of excess unbound ligands (L') were observed in surface waters, as a result of phytoplankton Fe uptake in the mixed layer and euphotic zone. However, FeL and L' concentrations were greater at depth, suggesting ligands were supplied with dissolved Fe from upwelled CDW and particle remineralisation in benthic nepheloid layers over the shelf. Recent sea-ice melt appeared to support bacterial production in areas where Fe and ligands were exhausted. This study is included within our newly compiled Southern Ocean Ligand (SOLt) Collection, a database of publicly available Fe-binding ligand surveys performed south of 50 degrees S. A review of the SOLt Collection brings attention to the paucity of ligand data collected along the East Antarctic coast and the difficulties in pinpointing sources of Fe and ligands in coastal environments. Elucidating poorly understood ligand sources is essential to predicting future Fe availability for microbial populations under rapid environmental change.</t>
  </si>
  <si>
    <t>[Smith, Abigail J. R.; Nelson, Talitha; Corkill, Matthew; Lannuzel, Delphine] Univ Tasmania, Inst Marine &amp; Antarctic Studies, Hobart, Tas, Australia; [Ratnarajah, Lavenia] Univ Liverpool, Dept Earth Ocean &amp; Ecol Sci, Liverpool, England; [Genovese, Cristina] Univ Libre Bruxelles, Dept Geosci Environm &amp; Soc, Brussels, Belgium; [Westwood, Karen; Bell, Elanor] Dept Agr Water &amp; Environm, Australian Antarctic Div, Kingston, Tas, Australia; [Westwood, Karen; Holmes, Thomas M.] Univ Tasmania, Australian Antarctic Program Partnership, Hobart, Tas, Australia; [Townsend, Ashley T.] Univ Tasmania, Cent Sci Lab, Hobart, Tas, Australia; [Wuttig, Kathrin] Antarctic Climate &amp; Ecosyst Cooperat Res Ctr, Hobart, Tas, Australia</t>
  </si>
  <si>
    <t>University of Tasmania; University of Liverpool; Universite Libre de Bruxelles; Australian Antarctic Division; University of Tasmania; University of Tasmania; Antarctic Climate &amp; Ecosystems Cooperative Research Centre (ACE CRC)</t>
  </si>
  <si>
    <t>Smith, AJR (corresponding author), Univ Tasmania, Inst Marine &amp; Antarctic Studies, Hobart, Tas, Australia.</t>
  </si>
  <si>
    <t>Abigail.Smith@utas.edu.au</t>
  </si>
  <si>
    <t>Townsend, Ashley/J-7445-2014; Lannuzel, Delphine/J-7937-2014; Holmes, Thomas/J-4950-2015</t>
  </si>
  <si>
    <t>Townsend, Ashley/0000-0002-2972-2678; Westwood, Karen/0000-0003-1060-7140; Nelson, Talitha/0009-0003-2098-0261; Holmes, Thomas/0000-0001-8061-4325; Smith, Abigail/0000-0003-4408-2290</t>
  </si>
  <si>
    <t>Australian Research Council (ARC Future Fellowship) [L0026677]; Australian Research Council [LE0989539]; BYONIC (ERC) [724289]; Australian Research Council [LE0989539] Funding Source: Australian Research Council</t>
  </si>
  <si>
    <t>Australian Research Council (ARC Future Fellowship)(Australian Research Council); Australian Research Council(Australian Research Council); BYONIC (ERC); Australian Research Council</t>
  </si>
  <si>
    <t>Antarctic research on the ENRICH voyage was permitted under the Notice of Determination and Authorization for the Antarctic Treaty (Environment Protection) Act 1980 issued by the Australian Antarctic Division (AAD) on 27 September 2018. This work was conducted as part of the Australian Antarctic Program under Australian Antarctic Science (AAS) Project 4101-Antarctic baleen whale habitat utilization and linkages to environmental characteristics and/or AAS Project 4102-Population abundance, trend, structure and distribution of the endangered Antarctic blue whale, and/or AAS Project 4600-Conservation and management of Australian and Antarctic whales - post-exploitation status, distribution, foraging ecology and their role in the Southern Ocean ecosystem and/or AAS Project 4512-Ensuring sustainable management of the krill fishery in waters off the Australian Antarctic Territory. LR received support from BYONIC (ERC award number 724289). DL is funded by the Australian Research Council (ARC Future Fellowship L0026677). Access to SF-ICP-MS instrumentation was made possible by an Australian Research Council grant (LE0989539).</t>
  </si>
  <si>
    <t>10.3389/fmars.2022.948772</t>
  </si>
  <si>
    <t>3X7KZ</t>
  </si>
  <si>
    <t>WOS:000843217100001</t>
  </si>
  <si>
    <t>Huang, DY; Wang, JJ; Tian, P; Niu, WT</t>
  </si>
  <si>
    <t>Huang, Dingyong; Wang, Jianjia; Tian, Peng; Niu, Wentao</t>
  </si>
  <si>
    <t>The distribution and controlling factors of meiofaunal community in Prydz Bay, Antarctica</t>
  </si>
  <si>
    <t>Prydz bay; Meiofauna; Distribution; Food supply</t>
  </si>
  <si>
    <t>DEEP-SEA MEIOFAUNA; ORGANIC-MATTER; NEMATODE COMMUNITIES; WEDDELL SEA; ICE-SHELF; TRENCH; BIODIVERSITY; SEDIMENTS; TRANSECT; BENTHOS</t>
  </si>
  <si>
    <t>Meiofauna are important components of marine benthic communities. However, knowledge of meiofauna in Antarctica is limited, especially in East Antarctica. Samples of meiofauna from sixteen stations were collected in Prydz Bay and its neighboring area from February to March 2013, and could be divided into three regions by depth: Bay area (BA), continental Shelf area (SA), and Deep-sea area (DA). Up to twelve taxa were identified. Nematodes were the dominant taxon, accounting for 97% of the abundance. The average abundance of meio-fauna were 1181 ?? 1137 ind???10 cm-2 and decreased with increasing distance from coast, as did the number of meiofauna taxa. More than a half of meiofauna individuals occupied the upper 2 cm of sediments. Many in-dividuals (41.5%) were 65???125 ??m, but there were differences among the four dominant taxa. Cluster analysis at the taxon level showed that the sixteen stations could be separated into three clusters, which were nearly strongly associated with geographic location. Large differences in abundance were found in the three regions, and environmental factors such as food availability, grain size of surface sediments, and depth greatly shaped the distribution. It was unusual that abundance of meiofauna was significantly and positively correlated with depth in Prydz Bay, which was likely resulted from food supply, topography and circulation, as well as relatively suitable sediment size and reduced disturbance from icebergs.</t>
  </si>
  <si>
    <t>[Huang, Dingyong; Wang, Jianjia; Tian, Peng; Niu, Wentao] Minist Nat Resources, Inst Oceanog 3, Xiamen, Fujian, Peoples R China</t>
  </si>
  <si>
    <t>Ministry of Natural Resources of the People's Republic of China; Third Institute of Oceanography, Ministry of Natural Resources</t>
  </si>
  <si>
    <t>Niu, WT (corresponding author), Minist Nat Resources, Inst Oceanog 3, Xiamen, Fujian, Peoples R China.</t>
  </si>
  <si>
    <t>wentaoniu@tio.org.cn</t>
  </si>
  <si>
    <t>TIAN, PENG/HDM-6436-2022; liu, sha/JXL-6600-2024</t>
  </si>
  <si>
    <t>Chinese Arctic and Antarctic Administration [IRASCC2020-2022, CHINARE2013-03-05]; National Natural Science Foundation of China [41876176, 41606207]</t>
  </si>
  <si>
    <t>Chinese Arctic and Antarctic Administration; National Natural Science Foundation of China(National Natural Science Foundation of China (NSFC))</t>
  </si>
  <si>
    <t>This work was supported by Chinese Arctic and Antarctic Administration [grant numbers IRASCC2020-2022, CHINARE2013-03-05]; National Natural Science Foundation of China [grant numbers 41876176, 41606207].</t>
  </si>
  <si>
    <t>10.1016/j.dsr2.2022.105107</t>
  </si>
  <si>
    <t>3U2HT</t>
  </si>
  <si>
    <t>WOS:000840796200003</t>
  </si>
  <si>
    <t>Li, H; Cao, S; Li, Y; Song, PQ; Zhang, R; Wang, R; Liu, SG; Miao, X; Lin, LS</t>
  </si>
  <si>
    <t>Li, Hai; Cao, Shuai; Li, Yuan; Song, Puqing; Zhang, Ran; Wang, Rui; Liu, Shigang; Miao, Xing; Lin, Longshan</t>
  </si>
  <si>
    <t>Molecular assessment of demersal fish diversity in Prydz Bay using DNA taxonomy</t>
  </si>
  <si>
    <t>Prydz bay; Fish diversity; DNA barcoding; COI gene; Barcoding gap</t>
  </si>
  <si>
    <t>SOUTHERN-OCEAN; SPECIES IDENTIFICATION; CLIMATE-CHANGE; ICHTHYOPLANKTON; MITOCHONDRIAL; TELEOSTEI; SUMMER</t>
  </si>
  <si>
    <t>Our knowledge regarding the taxonomy and diversity of demersal fish in Prydz Bay is insufficient; however, DNA barcoding can discriminate and identify species and has emerged as a promising tool for the molecular taxonomy and systematics of various fish groups. We analyzed cytochrome oxidase I (COI) barcodes for 102 fish specimens collected in Prydz Bay. Twenty-four species representing 19 genera and the 6 families Rajidae, Artedidraconidae, Bathydraconidae, Channichthyidae, Nototheniidae and Zoarcidae were characterized, which was consistent with the demersal ichthyofauna pattern at other high latitudes of Antarctica. No overlap between intraspecific variability and interspecific variability was observed and supported the existence of a barcoding gap. Phylogenetic signals of the tree topology inferred from the maximum-likelihood method and Bayesian inference analysis implied that Bathydraconidae and Nototheniidae were paraphyletic. DNA barcoding is a highly effective and reliable tool for the identification of Antarctic fish species and might provide significant phylogenetic signals for Antarctic fish fauna.</t>
  </si>
  <si>
    <t>[Li, Hai; Cao, Shuai; Li, Yuan; Song, Puqing; Zhang, Ran; Wang, Rui; Liu, Shigang; Miao, Xing; Lin, Longshan] Minist Nat Resources, Lab Marine Biodivers Res, Inst Oceanog 3, Xiamen 361005, Peoples R China; [Cao, Shuai; Li, Yuan; Lin, Longshan] Shanghai Ocean Univ, Coll Marine Sci, Shanghai 201306, Peoples R China</t>
  </si>
  <si>
    <t>Ministry of Natural Resources of the People's Republic of China; Third Institute of Oceanography, Ministry of Natural Resources; Shanghai Ocean University</t>
  </si>
  <si>
    <t>Lin, LS (corresponding author), Minist Nat Resources, Lab Marine Biodivers Res, Inst Oceanog 3, Xiamen 361005, Peoples R China.</t>
  </si>
  <si>
    <t>linlsh@tio.org.cn</t>
  </si>
  <si>
    <t>Yu, Shicheng/KHU-3059-2024</t>
  </si>
  <si>
    <t>Lin, Longshan/0000-0002-3646-0426</t>
  </si>
  <si>
    <t>Impact and Response of Antarctic Seas to Climate Change program, Chinese Arctic and Antarctic Administration, Ministry of Natural Resources of the People's Republic of China [01-02-02B, 02-03]; Chinese Polar Environment Comprehensive Investigation &amp; Assessment Program [CHINARE 2012-2016-01-05, CHINARE 2012-2016-04-01]</t>
  </si>
  <si>
    <t>Impact and Response of Antarctic Seas to Climate Change program, Chinese Arctic and Antarctic Administration, Ministry of Natural Resources of the People's Republic of China; Chinese Polar Environment Comprehensive Investigation &amp; Assessment Program</t>
  </si>
  <si>
    <t>This work was supported by the Impact and Response of Antarctic Seas to Climate Change program (IRASCC 2020-2022-NO.01-02-02B &amp; 02-03), Chinese Arctic and Antarctic Administration, Ministry of Natural Resources of the People's Republic of China and the Chinese Polar Environment Comprehensive Investigation &amp; Assessment Program (CHINARE 2012-2016-01-05, CHINARE 2012-2016-04-01). We thank all the teammates and crew of R/V XUELONG for their efforts in collecting specimens during the CHINARE-29 and CHINARE-31 cruises.</t>
  </si>
  <si>
    <t>10.1016/j.dsr2.2022.105140</t>
  </si>
  <si>
    <t>WOS:000840796200001</t>
  </si>
  <si>
    <t>Udy, DG; Vance, TR; Kiem, AS; Holbrook, NJ</t>
  </si>
  <si>
    <t>Udy, Danielle G.; Vance, Tessa R.; Kiem, Anthony S.; Holbrook, Neil J.</t>
  </si>
  <si>
    <t>A synoptic bridge linking sea salt aerosol concentrations in East Antarctic snowfall to Australian rainfall</t>
  </si>
  <si>
    <t>DOME ICE CORE; LAW DOME; CLIMATE VARIABILITY; COASTAL; RECORD; DROUGHT; RECONSTRUCTIONS; PATTERNS; SEABOARD; TRENDS</t>
  </si>
  <si>
    <t>Rainfall in subtropical Australia and sea salt deposited in snowfall at the Law Dome ice core site in East Antarctica are linked through a synoptic weather pattern that bridges the two regions, according to a synoptic typing data analysis. Previous research has shown that aerosol sea salt concentrations (Southern Ocean wind proxy) preserved in the Law Dome ice core (East Antarctica) correlate significantly with subtropical eastern Australian rainfall. However, physical mechanisms underpinning this connection have not been established. Here we use synoptic typing to show that an atmospheric bridge links East Antarctica to subtropical eastern Australia. Increased ice core sea salt concentrations and wetter conditions in eastern Australia are associated with a regional, asymmetric contraction of the mid-latitude westerlies. Decreased ice core sea salt concentrations and drier eastern Australia conditions are associated with an equatorward shift in the mid-latitude westerlies, suggesting greater broad-scale control of eastern Australia climate by southern hemisphere variability than previously assumed. This relationship explains double the rainfall variance compared to El Nino-Southern Oscillation during late spring-summer, highlighting the importance of the Law Dome ice core record as a 2000-year proxy of eastern Australia rainfall variability.</t>
  </si>
  <si>
    <t>[Udy, Danielle G.; Holbrook, Neil J.] Univ Tasmania, Inst Marine &amp; Antarctic Studies, Hobart, Tas 7004, Australia; [Udy, Danielle G.; Holbrook, Neil J.] Univ Tasmania, ARC Ctr Excellence Climate Extremes, Hobart, Tas 7004, Australia; [Udy, Danielle G.; Vance, Tessa R.] Univ Tasmania, Inst Marine &amp; Antarctic Studies, Australian Antarctic Program Partnership, Hobart, Tas 7004, Australia; [Kiem, Anthony S.] Univ Newcastle, Coll Engn Sci &amp; Environm, Ctr Water Climate &amp; Land, Callaghan, NSW 2308, Australia</t>
  </si>
  <si>
    <t>University of Tasmania; University of Tasmania; University of Tasmania; University of Newcastle</t>
  </si>
  <si>
    <t>Udy, DG (corresponding author), Univ Tasmania, Inst Marine &amp; Antarctic Studies, Hobart, Tas 7004, Australia.;Udy, DG (corresponding author), Univ Tasmania, ARC Ctr Excellence Climate Extremes, Hobart, Tas 7004, Australia.;Udy, DG (corresponding author), Univ Tasmania, Inst Marine &amp; Antarctic Studies, Australian Antarctic Program Partnership, Hobart, Tas 7004, Australia.</t>
  </si>
  <si>
    <t>danielle.udy@utas.edu.au</t>
  </si>
  <si>
    <t>; Kiem, Anthony/D-9307-2013; Holbrook, Neil/M-7544-2013</t>
  </si>
  <si>
    <t>Vance, Tessa/0000-0001-6970-8646; Kiem, Anthony/0000-0002-3994-6958; Holbrook, Neil/0000-0002-3523-6254; Udy, Danielle/0000-0002-7422-1469</t>
  </si>
  <si>
    <t>Australian Research Training Program scholarship; Australian Research Council (ARC) Centre of Excellence for Climate Extremes top-up scholarship; ARC Discovery Project [DP180102522]; Australian Antarctic Program Partnership [ASCI000002]; ARC Centre of Excellence for Climate Extremes [CE170100023]; Australian Government; Australian Antarctic Science projects [4061, 4062, 4537, 4414]</t>
  </si>
  <si>
    <t>Australian Research Training Program scholarship; Australian Research Council (ARC) Centre of Excellence for Climate Extremes top-up scholarship(Australian Research Council); ARC Discovery Project(Australian Research Council); Australian Antarctic Program Partnership; ARC Centre of Excellence for Climate Extremes; Australian Government(Australian Government); Australian Antarctic Science projects</t>
  </si>
  <si>
    <t>We thank Mark Curran for helpful discussions and the Australian Antarctic Program Partnership ice core researchers for the Law Dome datasets. D.U. is supported by an Australian Research Training Program scholarship and an Australian Research Council (ARC) Centre of Excellence for Climate Extremes top-up scholarship. T.V. and A.K. acknowledge support from an ARC Discovery Project (DP180102522). T.V. also acknowledges support from the Australian Antarctic Program Partnership (ASCI000002). N.H. acknowledges support from the ARC Centre of Excellence for Climate Extremes (CE170100023). Analysis was undertaken with assistance from the National Computational Infrastructure (NCI), supported by the Australian Government. This work contributes to Australian Antarctic Science projects 4061, 4062, 4537 and 4414.</t>
  </si>
  <si>
    <t>10.1038/s43247-022-00502-w</t>
  </si>
  <si>
    <t>3N6CD</t>
  </si>
  <si>
    <t>WOS:000836233600002</t>
  </si>
  <si>
    <t>Pascoe, P; Raymond, B; Carmichael, N; McInnes, J</t>
  </si>
  <si>
    <t>Pascoe, Penelope; Raymond, Ben; Carmichael, Noel; McInnes, Julie</t>
  </si>
  <si>
    <t>The current trajectory of king penguin (Aptenodytes patagonicus) chick numbers on Macquarie Island in relation to environmental conditions</t>
  </si>
  <si>
    <t>population-estimates; rainfall; seabirds; sea surface temperature; Southern Ocean</t>
  </si>
  <si>
    <t>POPULATION-DYNAMICS; CLIMATE-CHANGE; EXPLOITATION; PREDATION; HABITAT; TRENDS; VARIABILITY; RESPONSES; SUMMER; GROWTH</t>
  </si>
  <si>
    <t>Macquarie Island's king penguin (Aptenodytes patagonicus) population has changed dramatically over recent centuries. Following near decimation from commercial exploitation during the 19th and early 20th centuries, chick numbers increased rapidly from 1930-1980. Since then, the population's trajectory has remained unreported, and environmental factors potentially influencing the population are poorly understood. From 2007-2020, king penguin chicks were censused annually. Chick numbers fluctuated between years, ranging from 33,513-78,714. Overall, the numbers decreased at 1.06 +/- 0.03% per annum. While further studies are required to infer causality, annual chick numbers were negatively correlated with environmental conditions on land and at sea. Heavy rainfall, total rainfall, and maximum east coast wave height during incubation correlated with fewer chicks that year. Warmer sea surface temperatures in the foraging region of adult king penguins during incubation and early chick-rearing also correlated with lower chick numbers. While interannual variability and the long generation time of king penguins makes it unclear if the decrease in chick numbers represent a decrease in the breeding population, it is clear the late 20th century rapid increase in Macquarie Island's breeding population has ceased. Ongoing monitoring will establish if this is indicative of the population stabilising or an ongoing population decline.</t>
  </si>
  <si>
    <t>[Pascoe, Penelope; Raymond, Ben; McInnes, Julie] Univ Tasmania, Inst Marine &amp; Antarctic Studies, 20 Castray Esplanade, Battery Point, Tas 7004, Australia; [Raymond, Ben; McInnes, Julie] Australian Antarctic Div, Dept Agr Water &amp; Environm, Kingston, Tas 7050, Australia; [Carmichael, Noel] Dept Primary Ind Pk Water &amp; Environm Tasmania Pk, Hobart, Tas 7001, Australia</t>
  </si>
  <si>
    <t>University of Tasmania; Australian Antarctic Division</t>
  </si>
  <si>
    <t>McInnes, Julie C/C-2865-2014</t>
  </si>
  <si>
    <t>10.1093/icesjms/fsac139</t>
  </si>
  <si>
    <t>4X4YA</t>
  </si>
  <si>
    <t>WOS:000836110100001</t>
  </si>
  <si>
    <t>Shutler, JD; Yan, XY; Cnossen, I; Schulz, L; Watson, AJ; Glassmeier, KH; Hawkins, N; Nasu, H</t>
  </si>
  <si>
    <t>Shutler, Jamie D.; Yan, Xiaoyu; Cnossen, Ingrid; Schulz, Leonard; Watson, Andrew J.; Glassmeier, Karl-Heinz; Hawkins, Naomi; Nasu, Hitoshi</t>
  </si>
  <si>
    <t>Atmospheric impacts of the space industry require oversight</t>
  </si>
  <si>
    <t>Rocket emissions and debris from spacecraft falling out of orbit are having increasingly detrimental effects on global atmospheric chemistry. Improved monitoring and regulation are urgently needed to create an environmentally sustainable space industry.</t>
  </si>
  <si>
    <t>[Shutler, Jamie D.] Univ Exeter, Coll Life &amp; Environm Sci, Ctr Geog &amp; Environm Sci, Exeter, Devon, England; [Yan, Xiaoyu] Univ Exeter, Environm &amp; Sustainabil Inst, Coll Engn Math &amp; Phys Sci, Exeter, Devon, England; [Cnossen, Ingrid] British Antarctic Survey, Cambridge, England; [Schulz, Leonard; Glassmeier, Karl-Heinz] Tech Univ Carolo Wilhelmina Braunschweig, Inst Geophys &amp; extraterrestr Phys, Braunschweig, Germany; [Watson, Andrew J.] Univ Exeter, Global Syst Inst, Exeter, Devon, England; [Nasu, Hitoshi] US Mil Acad, Lieber Inst &amp; Robot Res Ctr, West Point, PA USA; [Hawkins, Naomi] Univ Sheffield, Sch Law, Sheffield, S Yorkshire, England</t>
  </si>
  <si>
    <t>University of Exeter; University of Exeter; UK Research &amp; Innovation (UKRI); Natural Environment Research Council (NERC); NERC British Antarctic Survey; Braunschweig University of Technology; University of Exeter; United States Department of Defense; United States Army; University of Sheffield</t>
  </si>
  <si>
    <t>Shutler, JD (corresponding author), Univ Exeter, Coll Life &amp; Environm Sci, Ctr Geog &amp; Environm Sci, Exeter, Devon, England.</t>
  </si>
  <si>
    <t>j.d.shutler@exeter.ac.uk</t>
  </si>
  <si>
    <t>Nasu, Hitoshi/ABA-4978-2021; Cnossen, Ingrid/E-5809-2010; Yan, Xiaoyu/C-4178-2008</t>
  </si>
  <si>
    <t>Nasu, Hitoshi/0000-0002-7628-1596; Cnossen, Ingrid/0000-0001-6469-7861; Yan, Xiaoyu/0000-0003-3165-5870; Glassmeier, Karl-Heinz/0000-0003-4327-5576; Hawkins, Naomi/0000-0002-8290-7233; Schulz, Leonard/0000-0001-9262-3253</t>
  </si>
  <si>
    <t>NERC [NE/R015651/1] Funding Source: UKRI</t>
  </si>
  <si>
    <t>s41561-022-01001-5</t>
  </si>
  <si>
    <t>10.1038/s41561-022-01001-5</t>
  </si>
  <si>
    <t>3V1CB</t>
  </si>
  <si>
    <t>WOS:000836097300006</t>
  </si>
  <si>
    <t>Phillips, JA; Fayet, AL; Guilford, T; Manco, F; Warwick-Evans, V; Trathan, P</t>
  </si>
  <si>
    <t>Phillips, Jessica Ann; Fayet, Annette L.; Guilford, Tim; Manco, Fabrizio; Warwick-Evans, Victoria; Trathan, Phil</t>
  </si>
  <si>
    <t>Foraging conditions for breeding penguins improve with distance from colony and progression of the breeding season at the South Orkney Islands (vol 9, 22, 2021)</t>
  </si>
  <si>
    <t>MOVEMENT ECOLOGY</t>
  </si>
  <si>
    <t>[Phillips, Jessica Ann; Fayet, Annette L.; Guilford, Tim] Univ Oxford, Dept Zool, 11a Mansfield Rd, Oxford OX1 3SZ, England; [Manco, Fabrizio] Anglia Ruskin Univ, Cambridge Campus,East Rd, Cambridge CB1 1PT, England; [Warwick-Evans, Victoria; Trathan, Phil] British Antarctic Survey, High Cross,Madingley Rd, Cambridge CB3 0ET, England</t>
  </si>
  <si>
    <t>University of Oxford; Anglia Ruskin University; UK Research &amp; Innovation (UKRI); Natural Environment Research Council (NERC); NERC British Antarctic Survey</t>
  </si>
  <si>
    <t>Phillips, JA (corresponding author), Univ Oxford, Dept Zool, 11a Mansfield Rd, Oxford OX1 3SZ, England.;Trathan, P (corresponding author), British Antarctic Survey, High Cross,Madingley Rd, Cambridge CB3 0ET, England.</t>
  </si>
  <si>
    <t>jessy.a.phillips@gmail.com; pnt@bas.ac.uk</t>
  </si>
  <si>
    <t>BMC</t>
  </si>
  <si>
    <t>CAMPUS, 4 CRINAN ST, LONDON N1 9XW, ENGLAND</t>
  </si>
  <si>
    <t>2051-3933</t>
  </si>
  <si>
    <t>MOV ECOL</t>
  </si>
  <si>
    <t>Mov. Ecol.</t>
  </si>
  <si>
    <t>10.1186/s40462-022-00330-9</t>
  </si>
  <si>
    <t>3N6CO</t>
  </si>
  <si>
    <t>WOS:000836234700001</t>
  </si>
  <si>
    <t>Borghi, A</t>
  </si>
  <si>
    <t>Borghi, Alessandra</t>
  </si>
  <si>
    <t>Moho depths for Antarctica Region by the inversion of ground-based gravity data</t>
  </si>
  <si>
    <t>Antarctica; Moho; Gravity inversion; Collocation; ANTGG2015</t>
  </si>
  <si>
    <t>CRUSTAL THICKNESS; MODEL; TOPOGRAPHY; BENEATH</t>
  </si>
  <si>
    <t>In the last years the scientific literature has been enriched with new models of the Moho depth in the Antarctica Continent derived by the seismic reflection technique and refraction profiles, receiver functions and seismic surface waves, but also by gravimetric observations over the continent. In particular, the gravity satellite missions of the last two decades have provided data in this remote region of the Earth and have allowed the investigation of the crust properties. Meanwhile, other important contributions in this direction has been given by the fourth International Polar Year (IPY, 2007-2008) which started seismographic and geodetic networks of unprecedented duration and scale, including airborne gravimetry over largely unexplored Antarctic frontiers. In this study, a new model for the Antarctica Moho depths is proposed. This new estimation is based on no satellite gravity measures, thanks to the availability of the gravity database ANTGG2015, that collects gravity data from ground-base, airborne and shipborne campaigns. In this new estimate of the Moho depths the contribution of the gravity measures has been maximized reducing any correction of the gravity measures and avoiding constraints of the solution to seismological observations and to geological evidence. With this approach a pure gravimetric solution has been determined. The model obtained is pretty in agreement with other Moho models and thanks to the use of independent data it can be exploited also for cross-validating different Moho depths solutions.</t>
  </si>
  <si>
    <t>[Borghi, Alessandra] INGV Sez Bologna, Via Donato Creti 12, I-40100 Bologna, Italy</t>
  </si>
  <si>
    <t>Borghi, A (corresponding author), INGV Sez Bologna, Via Donato Creti 12, I-40100 Bologna, Italy.</t>
  </si>
  <si>
    <t>alessandra.borghi@ingv.it</t>
  </si>
  <si>
    <t>Borghi, Alessandra/F-8582-2010</t>
  </si>
  <si>
    <t>Borghi, Alessandra/0000-0001-6088-0386</t>
  </si>
  <si>
    <t>Italian National Antarctic program (Programma Nazionale di Ricerche in Antartide) [PNRA 2013/B2.06]; project INGV Pianeta Dinamico 2021-2022 Tema 4 KINDLE - Italian Ministry of University and Research [CUP D53J19000170001]</t>
  </si>
  <si>
    <t>Italian National Antarctic program (Programma Nazionale di Ricerche in Antartide); project INGV Pianeta Dinamico 2021-2022 Tema 4 KINDLE - Italian Ministry of University and Research</t>
  </si>
  <si>
    <t>The author would like to thank the Italian National Antarctic program (Programma Nazionale di Ricerche in Antartide), because the idea of the presented work was born in the context of the project PNRA 2013/B2.06, the Editor and Reviewers for their contributions that helped improve this work. This work has been supported by the project INGV Pianeta Dinamico 2021-2022 Tema 4 KINDLE (grant no. CUP D53J19000170001) funded by the Italian Ministry of University and Research Fondo finalizzato al rilancio degli investimenti delle amministrazioni centrali dello Stato e allo sviluppo del Paese, legge 145/2018</t>
  </si>
  <si>
    <t>AUG 3</t>
  </si>
  <si>
    <t>10.1093/gji/ggac249</t>
  </si>
  <si>
    <t>3N0YW</t>
  </si>
  <si>
    <t>WOS:000835882600002</t>
  </si>
  <si>
    <t>RUDOLPH, EM; HEDDING, DW; NEL, W</t>
  </si>
  <si>
    <t>RUDOLPH, E. L. I. Z. A. B. E. T. H. M.; HEDDING, D. A. V. I. D. W.; NEL, W. E. R. N. E. R.</t>
  </si>
  <si>
    <t>A spatial model of Marion Island's palaeo-ice extent</t>
  </si>
  <si>
    <t>conceptual reconstruction; glacial geomorphology; last glaciation; Marion Island; palaeo-ice extent; sub-Antarctic</t>
  </si>
  <si>
    <t>GLACIAL MAXIMUM</t>
  </si>
  <si>
    <t>Sub-Antarctic Marion Island's glacial history has acted as a control on abiotic terrestrial processes and the colonization and distribution of biotic species found on the island today. Recent chronological studies have shown an early deglaciation of the island and identified new geomorphological features associated with past ice dynamics. These permit a reassessment of ice extent during and after the island's last local glacial maximum. In this paper, we provide a revised reconstruction of the island's palaeo-ice extent by using a geomorphology-based approach to delineate palaeo-ice margins and demarcate possible glacial basins. The model presented here provides the needed spatial context for future studies on the variations in the distribution of species (e.g. microorganisms and plant species) and abiotic processes and forms (e.g. soil development and periglacial landforms). In addition, it highlights areas that require improved geophysical assessment in order to produce a more complete island-scale reconstruction of former ice extents (e.g. the west coast).</t>
  </si>
  <si>
    <t>[RUDOLPH, E. L. I. Z. A. B. E. T. H. M.] Univ Free State, Dept Geog, Afromontane Res Unit, 205 Nelson Mandela Ave, ZA-9300 Bloemfontein, South Africa; [HEDDING, D. A. V. I. D. W.] Univ South Africa, Dept Geog, POB 392, ZA-0003 Unisa, South Africa; [NEL, W. E. R. N. E. R.] Univ Ft Hare, Dept Geog &amp; Environm Sci, 1 King Williamstown Rd, ZA-5700 Alice, South Africa</t>
  </si>
  <si>
    <t>University of the Free State; University of South Africa; University of Fort Hare</t>
  </si>
  <si>
    <t>RUDOLPH, EM (corresponding author), Univ Free State, Dept Geog, Afromontane Res Unit, 205 Nelson Mandela Ave, ZA-9300 Bloemfontein, South Africa.</t>
  </si>
  <si>
    <t>Nel, Werner/0000-0002-3769-4937; Rudolph, Elizabeth M./0000-0002-3823-3278</t>
  </si>
  <si>
    <t>South African National Research Foundation [129235]</t>
  </si>
  <si>
    <t>The authors would like to thank the South African National Antarctic Programme and the Department of Forestry, Fisheries and Environment for their logistical support and the South African National Research Foundation (grant under SANAP-NRF: 129235) for financial support throughout this study. We thank our colleagues from the Southern African Association of Geomorphologists for their insights and comments on earlier versions of this manuscript. Lastly, we thank two anonymous reviewers for the inputs towards improving this manuscript.</t>
  </si>
  <si>
    <t>PII S0954102022000293</t>
  </si>
  <si>
    <t>10.1017/S0954102022000293</t>
  </si>
  <si>
    <t>WOS:000835997000001</t>
  </si>
  <si>
    <t>Martin, JRV; Thorndycraft, VR; Davies, BJ; Rodés, A</t>
  </si>
  <si>
    <t>Martin, Julian R. V.; Thorndycraft, Varyl R.; Davies, Bethan J.; Rodes, Angel</t>
  </si>
  <si>
    <t>Rapid glacier recession at Monte San Lorenzo (Patagonia) in response to abrupt Southern Hemisphere warming 13.0-12.0 ka BP</t>
  </si>
  <si>
    <t>JOURNAL OF QUATERNARY SCIENCE</t>
  </si>
  <si>
    <t>Antarctic Cold Reversal; cosmogenic nuclide surface exposure dating; glacial geomorphology; Late Pleistocene; Southern Hemisphere palaeoclimate</t>
  </si>
  <si>
    <t>ANTARCTIC COLD REVERSAL; NEW-ZEALAND; YOUNGER DRYAS; ANNULAR MODE; CHRONOLOGY; CLIMATE; DYNAMICS; MAXIMUM; DEGLACIATION; PLEISTOCENE</t>
  </si>
  <si>
    <t>Mid-latitude Patagonian glaciers are sensitive to changes in the complex coupled ocean-atmospheric climate system of the Southern Hemisphere. Here, we investigate glacier response to a period of rapid climate warming immediately post-dating the Antarctic Cold Reversal (ACR). We analyse a sequence of 13 ice margins, four of them dated, from an outlet valley of the Monte San Lorenzo ice cap (47.3 degrees S). We constrain glacier recession of 31.7 km over a period of similar to 1 kyr from 13.2 +/- 0.4 to 12.1 +/- 0.4 ka. The average rate of recession was 35.2 m a(-1) over this 1-kyr period, increasing from 12.75 m a(-1) at the start of the record (moraines M1 to M4) to 50 m a(-1) from M9 to M12. This recession occurred during a period of rapid warming when the austral westerlies shifted polewards. It is likely that ice extent stabilized during the Holocene, with ice occupying the M13 moraine during repeated Holocene neoglacials, before anthropogenic warming caused recession at a rate of 55.5 m a(-1) from 1985 to 2016. We conclude that 20th century rates of recession were higher than those during post-ACR warming, though of a similar order of magnitude. (C) 2022 The Authors. Journal of Quaternary Science Published by John Wiley &amp; Sons Ltd.</t>
  </si>
  <si>
    <t>[Martin, Julian R. V.; Thorndycraft, Varyl R.; Davies, Bethan J.] Royal Holloway Univ London, Dept Geog, Egham, Surrey, England; [Rodes, Angel] Cosmogen Isotope Anal Facil, Nat Environm Res Councils, E Kilbride, Lanark, Scotland; [Martin, Julian R. V.] Royal Geog Soc IBG, Res &amp; Higher Educ Div, London, England; [Rodes, Angel] Univ Santiago de Compostela, Dept Geog, Santiago De Compostela, Spain</t>
  </si>
  <si>
    <t>University of London; Royal Holloway University London; Scottish Universities Research &amp; Reactor Center; UK Research &amp; Innovation (UKRI); Natural Environment Research Council (NERC); NERC British Geological Survey; Universidade de Santiago de Compostela</t>
  </si>
  <si>
    <t>Thorndycraft, VR (corresponding author), Royal Holloway Univ London, Dept Geog, Egham, Surrey, England.</t>
  </si>
  <si>
    <t>Varyl.Thorndycraft@rhul.ac.uk</t>
  </si>
  <si>
    <t>Rodes, Angel/C-9228-2011; Davies, Bethan/KFR-3266-2024</t>
  </si>
  <si>
    <t>Rodes, Angel/0000-0001-8488-7689; Davies, Bethan/0000-0002-8636-1813</t>
  </si>
  <si>
    <t>Natural Environment Research Council [NE/L002485/1, CIAF/9174/0417]; Quaternary Research Association</t>
  </si>
  <si>
    <t>Natural Environment Research Council(UK Research &amp; Innovation (UKRI)Natural Environment Research Council (NERC)); Quaternary Research Association</t>
  </si>
  <si>
    <t>J.R.V.M. was in receipt of a PhD studentship funded by the Natural Environment Research Council (award number NE/L002485/1). Cosmogenic nuclide ages were supported by funding (grant number CIAF/9174/0417) by the Natural Environment Research Council's Cosmogenic Isotope Analysis Facility (CIAF). Additional support for fieldwork was provided by the Quaternary Research Association. We thank three anonymous reviewers for their comments that helped improve the original manuscript.</t>
  </si>
  <si>
    <t>0267-8179</t>
  </si>
  <si>
    <t>1099-1417</t>
  </si>
  <si>
    <t>J QUATERNARY SCI</t>
  </si>
  <si>
    <t>J. Quat. Sci.</t>
  </si>
  <si>
    <t>10.1002/jqs.3463</t>
  </si>
  <si>
    <t>8S8SM</t>
  </si>
  <si>
    <t>WOS:000835822700001</t>
  </si>
  <si>
    <t>Câmara, PEAS; Convey, P; Ferreira, VA; Togni, PHB; Pujol-Luz, JR</t>
  </si>
  <si>
    <t>Camara, Paulo E. A. S.; Convey, Peter; Ferreira, Vinicius Alves; Brum Togni, Pedro Henrique; Pujol-Luz, Jose Roberto</t>
  </si>
  <si>
    <t>First record of the Indian meal moth Plodia interpunctella (Lepidoptera: Pyralidae) at a research station in Antarctica</t>
  </si>
  <si>
    <t>Antarctic Lepidoptera; Antarctic Peninsula; Ferraz Station; invasive insect</t>
  </si>
  <si>
    <t>INVASIONS; ECOLOGY; DIPTERA</t>
  </si>
  <si>
    <t>We report the first formal record of the Indian meal moth Plodia interpunctella from a location within the Antarctic Treaty area, with the capture of a live adult male within the Brazilian Comandante Ferraz research station on King George Island, South Shetland Islands. This species is a well-known pest of stored products and is widely recorded in synanthropic situations such as food stores globally. No other adults or immature stages have been observed on the station. While there is no suggestion that P. interpunctella could survive or establish in the natural environment beyond the station, this observation highlights the ever-present threat of unintended anthropogenically assisted transfer of non-Antarctic species into human facilities on the continent, with some such species proving extremely difficult to eradicate if they successfully establish within these facilities.</t>
  </si>
  <si>
    <t>[Camara, Paulo E. A. S.] Univ Brasilia, Dept Botdn, Brasilia, DF, Brazil; [Camara, Paulo E. A. S.] Univ Fed Santa Catarina, Florianopolis, SC, Brazil; [Convey, Peter] British Antarctic Survey, Madingley Rd, Cambridge, England; [Convey, Peter] Univ Johannesburg, Dept Zool, Auckland Pk, South Africa; [Ferreira, Vinicius Alves] Lab Diagnost Fitossanitario &amp; Consultoria, Agron, Porto Alegre, RS, Brazil; [Brum Togni, Pedro Henrique] Univ Brasilia, Dept Ecol, Brasilia, DF, Brazil; [Pujol-Luz, Jose Roberto] Univ Brasilia, Dept Zool, Brasilia, DF, Brazil</t>
  </si>
  <si>
    <t>Universidade de Brasilia; Universidade Federal de Santa Catarina (UFSC); UK Research &amp; Innovation (UKRI); Natural Environment Research Council (NERC); NERC British Antarctic Survey; University of Johannesburg; Universidade de Brasilia; Universidade de Brasilia</t>
  </si>
  <si>
    <t>Câmara, PEAS (corresponding author), Univ Brasilia, Dept Botdn, Brasilia, DF, Brazil.;Câmara, PEAS (corresponding author), Univ Fed Santa Catarina, Florianopolis, SC, Brazil.</t>
  </si>
  <si>
    <t>paducamara@gmail.com</t>
  </si>
  <si>
    <t>Camara, Paulo/GPP-2054-2022; Togni, Pedro Henrique Brum/A-3328-2017; Convey, Peter/AAV-5728-2020; Luz, José Roberto Pujol/N-3865-2013</t>
  </si>
  <si>
    <t>Camara, Paulo/0000-0002-3944-996X; Togni, Pedro Henrique Brum/0000-0003-3488-0694; Convey, Peter/0000-0001-8497-9903;</t>
  </si>
  <si>
    <t>CNPq; PROANTAR; NERC</t>
  </si>
  <si>
    <t>CNPq(Conselho Nacional de Desenvolvimento Cientifico e Tecnologico (CNPQ)); PROANTAR; NERC(UK Research &amp; Innovation (UKRI)Natural Environment Research Council (NERC))</t>
  </si>
  <si>
    <t>This study received financial support from CNPq and PROANTAR. P. Convey is supported by NERC core funding to the BAS 'Biodiversity, Evolution and Adaptation' Team. Thanks are also given to congresswoman Jo Moraes, the Biological Sciences Institute at University of Brasilia, the Brazilian Navy and two anonymous reviewers for their feedback.</t>
  </si>
  <si>
    <t>PII S0954102022000281</t>
  </si>
  <si>
    <t>10.1017/S0954102022000281</t>
  </si>
  <si>
    <t>WOS:000836018400001</t>
  </si>
  <si>
    <t>Robinson, BO; Morley, SA; Rizouli, A; Sarantopoulou, J; Gkafas, GA; Exadactylos, A; Küpper, FC</t>
  </si>
  <si>
    <t>Robinson, Ben Jamie Owen; Morley, Simon A.; Rizouli, Anastasia; Sarantopoulou, Joanne; Gkafas, George A.; Exadactylos, Athanasios; Kupper, Frithjof C.</t>
  </si>
  <si>
    <t>New confirmed depth limit of Antarctic macroalgae: Palmaria decipiens found at 100 m depth in the Southern Ocean</t>
  </si>
  <si>
    <t>Macrophytobenthos; Molecular phylogeny; Rhodophyta; ROV; Depth limit; Algae; Benthos</t>
  </si>
  <si>
    <t>SEA-ICE; MARINE MACROALGAE; PHOTOSYNTHESIS; PENINSULA; LIGHT; RED; COMMUNITIES; COVER</t>
  </si>
  <si>
    <t>Living specimens of the macroalga Palmaria decipiens were collected from 100 m depth, representing a new confirmed depth record, considerably exceeding the previous record of 42 m depth. Previous deeper collections (below conventional SCUBA depths) have relied on dredge/grab samples or drop camera surveys. Remote techniques cannot conclusively prove that macroalgae are living at these depths, as algae detach from shallower substrata, e.g., through ice scouring, and drift to depths below their growth limit. This, combined with a low rate of decay of macroalgae around Antarctica, requires validation that algal samples from depth have grown in situ. Estimates of macroalgal biomass, energy fluxes, and the potential energy fixation may need adjusting to consider the deeper growing depths particularly with glacial retreat along the Antarctic Peninsula revealing areas of rocky substrata for macroalgal colonisation. The confirmed extension of depth where macroalgae can grow will have implications for assessments of benthic productivity and food webs in Antarctica.</t>
  </si>
  <si>
    <t>[Robinson, Ben Jamie Owen; Morley, Simon A.] British Antarctic Survey, Nat Environm Res Council, Madingley Rd, Cambridge CB3 0ET, England; [Rizouli, Anastasia; Sarantopoulou, Joanne; Gkafas, George A.; Exadactylos, Athanasios] Univ Thessaly, Dept Ichthyol &amp; Aquat Sci, Fytokou St, Volos 38446, Greece; [Kupper, Frithjof C.] Univ Aberdeen, Sch Biol Sci, Cruickshank Bldg,St Machar Dr, Aberdeen AB24 3UU, Scotland; [Kupper, Frithjof C.] Univ Aberdeen, Marine Biodiscovery Ctr, Dept Chem, Aberdeen AB24 3UE, Scotland; [Kupper, Frithjof C.] San Diego State Univ, Dept Chem &amp; Biochem, San Diego, CA 92182 USA</t>
  </si>
  <si>
    <t>UK Research &amp; Innovation (UKRI); Natural Environment Research Council (NERC); NERC British Antarctic Survey; University of Thessaly; University of Aberdeen; University of Aberdeen; California State University System; San Diego State University</t>
  </si>
  <si>
    <t>Robinson, BO (corresponding author), British Antarctic Survey, Nat Environm Res Council, Madingley Rd, Cambridge CB3 0ET, England.</t>
  </si>
  <si>
    <t>benrobinson@live.co.uk</t>
  </si>
  <si>
    <t>Exadactylos, Athanasios/G-9233-2014</t>
  </si>
  <si>
    <t>Exadactylos, Athanasios/0000-0003-3858-1958; Robinson, Ben/0000-0002-7450-686X; Gkafas, Georgios/0000-0002-6410-682X; Sarantopoulou, Joanne/0000-0002-8463-6019</t>
  </si>
  <si>
    <t>Natural Environmental Research Council (NERC); Marine Alliance for Science and Technology for Scotland pooling initiative (MASTS); UK NERC [CASS-134]</t>
  </si>
  <si>
    <t>Natural Environmental Research Council (NERC)(UK Research &amp; Innovation (UKRI)Natural Environment Research Council (NERC)); Marine Alliance for Science and Technology for Scotland pooling initiative (MASTS); UK NERC(UK Research &amp; Innovation (UKRI)Natural Environment Research Council (NERC))</t>
  </si>
  <si>
    <t>This study was funded by the Natural Environmental Research Council (NERC) core funding to the funding to the Biodiversity, Evolution and Adaptations Team of the British Antarctic Survey. FCK was also supported by the Marine Alliance for Science and Technology for Scotland pooling initiative (MASTS), the latter funded by the Scottish Funding Council (Grant reference HR09011) and contributing institutions. We are also grateful to the UK NERC for funding FCK through the Collaborative Antarctic Science Scheme (Grant CASS-134, 2017).</t>
  </si>
  <si>
    <t>10.1007/s00300-022-03071-y</t>
  </si>
  <si>
    <t>WOS:000835608200001</t>
  </si>
  <si>
    <t>Jiang, Q; Jourdan, F; Olierook, HKH; Merle, RE; Bourdet, J; Fougerouse, D; Godel, B; Walker, AT</t>
  </si>
  <si>
    <t>Jiang, Qiang; Jourdan, Fred; Olierook, Hugo K. H.; Merle, Renaud E.; Bourdet, Julien; Fougerouse, Denis; Godel, Belinda; Walker, Alex T.</t>
  </si>
  <si>
    <t>Volume and rate of volcanic CO2 emissions governed the severity of past environmental crises</t>
  </si>
  <si>
    <t>large igneous province; CO2 emission; 40Ar/39Ar geochronology; Kerguelen Plateau; oceanic anoxic event</t>
  </si>
  <si>
    <t>LARGE IGNEOUS PROVINCE; OCEANIC ANOXIC EVENTS; ONTONG JAVA PLATEAU; MASS EXTINCTION; MELT INCLUSIONS; 40AR/39AR GEOCHRONOLOGY; MERCURY ENRICHMENTS; KERGUELEN PLATEAU; DECCAN VOLCANISM; CARBON</t>
  </si>
  <si>
    <t>The emplacement of large igneous provinces (LIPs) has been linked to catastrophic mass extinctions in Earth's history, but some LIPs are only associated with less severe oceanic anoxic events, and others have negligible environmental effects. Although it is widely accepted that massive magma outpouring can affect the environment through volatile degassing, it remains debated what controls the severity of environmental crises. Here, we demonstrate that the second-most-voluminous Phanerozoic LIP, the Kerguelen LIP, may have contributed to the early Aptian oceanic anoxic event 1a, a global event previously believed to have been caused by the Ontong Java LIP. Geochronological data show that the earliest eruptions of the Kerguelen LIP preceded the onset of oceanic anoxic event 1a by at least similar to 5 million years. Analyses of CO2 abundances in melt inclusions combined with Monte Carlo simulations reveal that the volume and degassing rate of CO2 emissions from the Kerguelen LIP are an order of magnitude lower compared to LIPs that caused severe mass extinctions. We propose that the severity of volcanism-related environmental and biotic perturbations is positively correlated with the volume and rate of CO2 emissions. Our results highlight the significant importance of reducing and slowing down CO2 emission in preventing future disastrous environmental consequences.</t>
  </si>
  <si>
    <t>[Jiang, Qiang; Jourdan, Fred] Curtin Univ, Western Australian Argon Isotope Facil, Bentley, WA 6102, Australia; [Jiang, Qiang; Jourdan, Fred; Olierook, Hugo K. H.; Fougerouse, Denis] Curtin Univ, Inst Geosci Res, Sch Earth &amp; Planetary Sci, Bentley, WA 6102, Australia; [Jiang, Qiang; Jourdan, Fred; Olierook, Hugo K. H.; Fougerouse, Denis; Walker, Alex T.] Curtin Univ, John Laeter Ctr, Bentley, WA 6102, Australia; [Olierook, Hugo K. H.] Curtin Univ, Timesc Mineral Syst Grp, Bentley, WA 6102, Australia; [Merle, Renaud E.] Uppsala Univ, Dept Earth Sci, Nat Resources &amp; Sustainable Dev, S-75236 Uppsala, Sweden; [Bourdet, Julien] CSIRO Energy Resources, Kensington, WA 6151, Australia; [Fougerouse, Denis] Curtin Univ, Geosci Atom Probe, Bentley, WA 6102, Australia; [Godel, Belinda] CSIRO Mineral Resources, Kensington, WA 6151, Australia</t>
  </si>
  <si>
    <t>Curtin University; Curtin University; Curtin University; Curtin University; Uppsala University; Curtin University; Commonwealth Scientific &amp; Industrial Research Organisation (CSIRO)</t>
  </si>
  <si>
    <t>Jiang, Q (corresponding author), Curtin Univ, Western Australian Argon Isotope Facil, Bentley, WA 6102, Australia.;Jiang, Q (corresponding author), Curtin Univ, Inst Geosci Res, Sch Earth &amp; Planetary Sci, Bentley, WA 6102, Australia.;Jiang, Q (corresponding author), Curtin Univ, John Laeter Ctr, Bentley, WA 6102, Australia.</t>
  </si>
  <si>
    <t>q.jiang@cup.edu.cn</t>
  </si>
  <si>
    <t>Jiang, Qiang/HMD-5605-2023; Olierook, Hugo/AAQ-3657-2021; Fougerouse, Denis/AAV-4909-2021; merle, renaud e./ABG-7421-2020; Godel, Belinda/L-8644-2018; bourdet, julien/D-9232-2018</t>
  </si>
  <si>
    <t>Jiang, Qiang/0000-0003-3381-9592; Olierook, Hugo/0000-0001-5961-4304; merle, renaud e./0000-0001-9018-6862; Fougerouse, Denis/0000-0003-3346-1121; bourdet, julien/0000-0002-2360-3838; Jourdan, Fred/0000-0001-5626-4521</t>
  </si>
  <si>
    <t>Australian Antarctic Division Science Project [4446]; China Scholarship Council-Curtin International Postgraduate Research scholarship; Curtin Publication Grant; AuScope</t>
  </si>
  <si>
    <t>Australian Antarctic Division Science Project; China Scholarship Council-Curtin International Postgraduate Research scholarship; Curtin Publication Grant; AuScope</t>
  </si>
  <si>
    <t>We acknowledge funding from Australian Antarctic Division Science Project 4446. The Kochi Core Center is thanked for the ease of acquiring samples. Q.J. was supported by the China Scholarship Council-Curtin International Postgraduate Research scholarship and a Curtin Publication Grant. AuScope is thanked for financial support toward the Western Australian Argon Isotope Facility. We thank the constructive comments from four anonymous reviewers.</t>
  </si>
  <si>
    <t>AUG 2</t>
  </si>
  <si>
    <t>e2202039119</t>
  </si>
  <si>
    <t>10.1073/pnas.2202039119</t>
  </si>
  <si>
    <t>6R2FT</t>
  </si>
  <si>
    <t>WOS:000892124300010</t>
  </si>
  <si>
    <t>Rattanasriampaipong, R; Zhang, YG; Pearson, A; Hedlund, BP; Zhang, S</t>
  </si>
  <si>
    <t>Rattanasriampaipong, Ronnakrit; Zhang, Yi Ge; Pearson, Ann; Hedlund, Brian P.; Zhang, Shuang</t>
  </si>
  <si>
    <t>Archaeal lipids trace ecology and evolution of marine ammonia-oxidizing archaea</t>
  </si>
  <si>
    <t>tetraether lipids; ammonia-oxidizing archaea; marine archaeal ecology; archaea evolution</t>
  </si>
  <si>
    <t>SEA-SURFACE TEMPERATURES; ISOPRENOID TETRAETHER LIPIDS; DIALKYL GLYCEROL TETRAETHERS; SOUTH CHINA SEA; WATER-COLUMN; MEMBRANE-LIPIDS; BIOMARKER PALEOTHERMOMETRY; ANTARCTIC GLACIATION; NITRIFYING ARCHAEA; PARTICULATE MATTER</t>
  </si>
  <si>
    <t>Archaeal membrane lipids are widely used for paleotemperature reconstructions, yet these molecular fossils also bear rich information about ecology and evolution of marine ammonia-oxidizing archaea (AOA). Here we identified thermal and nonthermal behaviors of archaeal glycerol dialkyl glycerol tetraethers (GDGTs) by comparing the GDGT-based temperature index (TEX86) to the ratio of GDGTs with two and three cyclopentane rings (GDGT-2/GDGT-3). Thermal-dependent biosynthesis should increase TEX86 and decrease GDGT-2/GDGT-3 when the ambient temperature increases. This presumed temperature-dependent (PTD) trend is observed in GDGTs derived from cultures of thermophilic and mesophilic AOA. The distribution of GDGTs in suspended particulate matter (SPM) and sediments collected from above the pycnocline-shallow water samples-also follows the PTD trend. These similar GDGT distributions between AOA cultures and shallow water environmental samples reflect shallow ecotypes of marine AOA. While there are currently no cultures of deep AOA clades, GDGTs derived from deep water SPM and marine sediment samples exhibit nonthermal behavior deviating from the PTD trend. The presence of deep AOA increases the GDGT-2/GDGT-3 ratio and distorts the temperature-controlled correlation between GDGT-2/GDGT-3 and TEX86. We then used Gaussian mixture models to statistically characterize these diagnostic patterns of modern AOA ecology from paleo-GDGT records to infer the evolution of marine AOA from the Mid-Mesozoic to the present. Long-term GDGT-2/GDGT-3 trends suggest a suppression of today's deep water marine AOA during the Mesozoic-early Cenozoic greenhouse climates. Our analysis provides invaluable insights into the evolutionary timeline and the expansion of AOA niches associated with major oceanographic and climate changes.</t>
  </si>
  <si>
    <t>[Rattanasriampaipong, Ronnakrit; Zhang, Yi Ge; Zhang, Shuang] Texas A&amp;M Univ, Dept Oceanog, College Stn, TX 77843 USA; [Pearson, Ann] Harvard Univ, Dept Earth &amp; Planetary Sci, Cambridge, MA 02138 USA; [Zhang, Shuang] Univ Nevada, Sch Life Sci, Las Vegas, NV 89154 USA</t>
  </si>
  <si>
    <t>Texas A&amp;M University System; Texas A&amp;M University College Station; Harvard University; Nevada System of Higher Education (NSHE); University of Nevada Las Vegas</t>
  </si>
  <si>
    <t>Rattanasriampaipong, R; Zhang, YG (corresponding author), Texas A&amp;M Univ, Dept Oceanog, College Stn, TX 77843 USA.</t>
  </si>
  <si>
    <t>rrattan@tamu.edu; yige.zhang@tamu.edu</t>
  </si>
  <si>
    <t>Hedlund, Brian/HJY-8944-2023; Zhang, Yige/R-6330-2018; Zhang, Shuang/AAL-2122-2021; Rattanasriampaipong, Ronnakrit/HNT-0738-2023</t>
  </si>
  <si>
    <t>Zhang, Shuang/0000-0003-1745-4642; Rattanasriampaipong, Ronnakrit/0000-0002-1425-8737; Hedlund, Brian/0000-0001-8530-0448; Zhang, Yi Ge/0000-0001-7331-1246</t>
  </si>
  <si>
    <t>Schlanger Ocean Drilling Fellowship - US Science Support Program for the International Ocean Discovery Program [26G[GG009393-04]]; NSF [NSF-1843285]; NASA Exobiology [80NSSC17K0548]</t>
  </si>
  <si>
    <t>Schlanger Ocean Drilling Fellowship - US Science Support Program for the International Ocean Discovery Program; NSF(National Science Foundation (NSF)); NASA Exobiology(National Aeronautics &amp; Space Administration (NASA))</t>
  </si>
  <si>
    <t>We thank Dr. Christopher Scotese for providing input files from the PaleoDEM project for pyGplates analysis and insightful suggestions on paleogeographic reconstructions. We also thankDr. Gordon Inglis for validating sources of GDGT data from Ocean Drilling Program (ODP) Site 913, Dr. Guangsheng Zhuang for providing raw GDGT data for ODP sites 722B and 730A, Dr. Daniel Thornton for invaluable discussions on ecological niches, and Dr. Marike Palmer for technical assistance and thoughtful discussions on archaeal phylogenomic studies. We thank the three anonymous reviewers whose comments helped improve and clarify this manuscript. R.R. was supported by the Schlanger Ocean Drilling Fellowship (Grant number: 26G[GG009393-04]), funded by the US Science Support Programfor the International Ocean Discovery Program. A.P. was supported by the NSF (grant number: NSF-1843285). B.H. was funded by NASA Exobiology (grant number: 80NSSC17K0548).</t>
  </si>
  <si>
    <t>e2123193119</t>
  </si>
  <si>
    <t>10.1073/pnas.2123193119</t>
  </si>
  <si>
    <t>6B7GI</t>
  </si>
  <si>
    <t>WOS:000881496900010</t>
  </si>
  <si>
    <t>Kim, S; McKay, RM; Lee, JI; Yoo, KC; Lee, MK; Moon, HS</t>
  </si>
  <si>
    <t>Kim, Sunghan; McKay, Robert M.; Lee, Jae Il; Yoo, Kyu-Cheul; Lee, Min Kyung; Moon, Heung Soo</t>
  </si>
  <si>
    <t>Bioturbation supplying young carbon into West Antarctic continental margin sediment</t>
  </si>
  <si>
    <t>Radiocarbon age; Young carbon; Bioturbation; Antarctica; Acid insoluble organic matter</t>
  </si>
  <si>
    <t>ROSS-SEA; RADIOCARBON; RETREAT; SHELF; BASIN; AGE; CHRONOLOGY; PENINSULA; RECORDS; SCOTIA</t>
  </si>
  <si>
    <t>Accelerator Mass Spectrometry (AMS) C-14 dating is a widely applied method for establishing high-precision chronologies used to underpin late Quaternary paleoclimatic studies. Feedbacks associated with Antarctic Ice Sheets (AIS) and Southern Ocean variance are thought to have played a critical role in regulating past global climate changes since the Last Glacial Maximum. However, determining the exact role of the AIS and Southern Ocean in these changes has proven difficult because of the sparse occurrence of biogenic carbonate suitable for AMS C-14 dating in Antarctica. Consequently, AMS C-14 dating is often measured on acid insoluble organic matter (AIOM) from bulk sediment samples, which are often biased towards ages that are older than the depositional age, due to pervasive reworking of old carbon. In this scenario, ages can still potentially provide maximum deposition ages, but such interpretations need to be assessed carefully. Here, we document AIOM and foraminifer AMS C-14 dates at the same depth intervals from Antarctic continental margin cores, and we find AIOM AMS C-14 dates can range between 2000 and 16,000 years younger than those of foraminifera samples. The younger AIOM C-14 dates were found in bioturbated sedimentary facies, which often have extremely low sedimentation rates in Antarctica. In cores with low sedimentation rates, the down sediment contribution of organic carbon from macro-benthos can be quite significant in the sediment column with low organic carbon concentration. After consid-ering possibilities of contamination, foraminifer reworking, and remineralization of secondary carbonate to explain this offset, we conclude that bioturbation plays an important role in the Antarctic carbon cycle as a young carbon supplier to depth into the sediment column. This has clear implications for using condensed sedimentary sections to date post-LGM records in Antarctica. These bioturbation processes also have implications for novel radiocarbon dating methods that have recently been developed to overcome sediment reworking processes and more accurately constrain timing of past AIS retreat, including ramped pyrolysis and compound specific isotopes methods.</t>
  </si>
  <si>
    <t>[Kim, Sunghan; Lee, Jae Il; Yoo, Kyu-Cheul; Lee, Min Kyung; Moon, Heung Soo] Korea Polar Res Inst, Incheon 21990, South Korea; [Kim, Sunghan] Univ Sci &amp; Technol UST, Dept Polar Sci, Incheon 21990, South Korea; [McKay, Robert M.] Victoria Univ Wellington, Antarctic Res Ctr, Wellington 6140, New Zealand</t>
  </si>
  <si>
    <t>Korea Polar Research Institute (KOPRI); University of Science &amp; Technology (UST); Victoria University Wellington</t>
  </si>
  <si>
    <t>Kim, S (corresponding author), Korea Polar Res Inst, Incheon 21990, South Korea.</t>
  </si>
  <si>
    <t>delongksh@kopri.re.kr</t>
  </si>
  <si>
    <t>McKay, Robert/0000-0002-5602-6985</t>
  </si>
  <si>
    <t>KOPRI - Ministry of Oceans and Fisheries [KOPRI PE22090]; Royal Society of New Zealand Te Aparangi Marsden Fund [18-VUW-089]</t>
  </si>
  <si>
    <t>KOPRI - Ministry of Oceans and Fisheries; Royal Society of New Zealand Te Aparangi Marsden Fund(Royal Society of New Zealand)</t>
  </si>
  <si>
    <t>We would like to thank the crew and scientific party of the IBR/V Araon and R/V Yuzhmorgeologiya for all their help during the coring on board. We would like to thank KOPRI laboratory members for all their help during experimental measurements. This work was supported by KOPRI grant funded by the Ministry of Oceans and Fisheries (KOPRI PE22090) . RMM was funded by the Royal Society of New Zealand Te Aparangi Marsden Fund (grant 18-VUW-089) .</t>
  </si>
  <si>
    <t>10.1016/j.palaeo.2022.111161</t>
  </si>
  <si>
    <t>3X3YL</t>
  </si>
  <si>
    <t>WOS:000842979300002</t>
  </si>
  <si>
    <t>Couldrey, MP; Gregory, JM; Dong, X; Garuba, O; Haak, H; Hu, AX; Hurlin, WJ; Jin, JB; Jungclaus, J; Köhl, A; Liu, HL; Ojha, S; Saenko, OA; Savita, A; Suzuki, T; Yu, ZP; Zanna, L</t>
  </si>
  <si>
    <t>Couldrey, Matthew P.; Gregory, Jonathan M.; Dong, Xiao; Garuba, Oluwayemi; Haak, Helmuth; Hu, Aixue; Hurlin, William J.; Jin, Jiangbo; Jungclaus, Johann; Koehl, Armin; Liu, Hailong; Ojha, Sayantani; Saenko, Oleg A.; Savita, Abhishek; Suzuki, Tatsuo; Yu, Zipeng; Zanna, Laure</t>
  </si>
  <si>
    <t>Greenhouse-gas forced changes in the Atlantic meridional overturning circulation and related worldwide sea-level change</t>
  </si>
  <si>
    <t>AMOC; Sea-level rise; Climate modelling</t>
  </si>
  <si>
    <t>OCEAN HEAT UPTAKE; CLIMATE-CHANGE; COUPLED MODEL; ICE MODEL; PROJECTIONS; UNCERTAINTY; VARIABILITY; SIMULATION; RESPONSES; VERSION</t>
  </si>
  <si>
    <t>The effect of anthropogenic climate change in the ocean is challenging to project because atmosphere-ocean general circulation models (AOGCMs) respond differently to forcing. This study focuses on changes in the Atlantic Meridional Overturning Circulation (AMOC), ocean heat content (Delta OHC), and the spatial pattern of ocean dynamic sea level (Delta zeta). We analyse experiments following the FAFMIP protocol, in which AOGCMs are forced at the ocean surface with standardised heat, freshwater and momentum flux perturbations, typical of those produced by doubling CO2. Using two new heat-flux-forced experiments, we find that the AMOC weakening is mainly caused by and linearly related to the North Atlantic heat flux perturbation, and further weakened by a positive coupled heat flux feedback. The quantitative relationships are model-dependent, but few models show significant AMOC change due to freshwater or momentum forcing, or to heat flux forcing outside the North Atlantic. AMOC decline causes warming at the South Atlantic-Southern Ocean interface. It does not strongly affect the global-mean vertical distribution of Delta OHC, which is dominated by the Southern Ocean. AMOC decline strongly affects Delta zeta in the North Atlantic, with smaller effects in the Southern Ocean and North Pacific. The ensemble-mean Delta zeta and Delta OHC patterns are mostly attributable to the heat added by the flux perturbation, with smaller effects from ocean heat and salinity redistribution. The ensemble spread, on the other hand, is largely due to redistribution, with pronounced disagreement among the AOGCMs.</t>
  </si>
  <si>
    <t>[Couldrey, Matthew P.; Gregory, Jonathan M.] Univ Reading, Natl Ctr Atmospher Sci, Reading, Berks, England; [Gregory, Jonathan M.] Met Off Hadley Ctr, Exeter, Devon, England; [Dong, Xiao; Jin, Jiangbo] Chinese Acad Sci, Int Ctr Climate &amp; Environm Sci, Inst Atmospher Phys, Beijing 100029, Peoples R China; [Garuba, Oluwayemi] Pacific Northwest Natl Lab, Richland, WA 99352 USA; [Haak, Helmuth; Jungclaus, Johann] Max Plank Inst Meteorol, Hamburg, Germany; [Hu, Aixue] Natl Ctr Atmospher Res, POB 3000, Boulder, CO 80307 USA; [Hurlin, William J.] NOAA, Geophys Fluid Dynam Lab, Princeton, NJ USA; [Koehl, Armin] Univ Hamburg, Ctr Erdsyst Forsch &amp; Nachhaltigkeit, Hamburg, Germany; [Liu, Hailong; Yu, Zipeng] Chinese Acad Sci, Inst Atmospher Phys, LASG, Beijing, Peoples R China; [Ojha, Sayantani] Indian Inst Space Sci &amp; Technol, Thiruvananthapuram, Kerala, India; [Saenko, Oleg A.] Univ Victoria, SEOS, Victoria, BC, Canada; [Savita, Abhishek] GEOMAR Helmholtz Ctr Ocean Res Kiel, Kiel, Germany; [Savita, Abhishek] Univ Tasmania, Inst Marine &amp; Antarctic Studies, Hobart, Tas, Australia; [Savita, Abhishek] CSIRO, Oceans &amp; Atmosphere, Aspendale, Vic, Australia; [Savita, Abhishek] ARC Ctr Excellence Climate Extremes, Sydney, NSW, Australia; [Suzuki, Tatsuo] Japan Agcy Marine Earth Sci &amp; Technol, Yokohama, Kanagawa, Japan; [Zanna, Laure] NYU, Courant Inst, New York, NY USA</t>
  </si>
  <si>
    <t>UK Research &amp; Innovation (UKRI); Natural Environment Research Council (NERC); NERC National Centre for Atmospheric Science; University of Reading; Met Office - UK; Hadley Centre; Chinese Academy of Sciences; Institute of Atmospheric Physics, CAS; United States Department of Energy (DOE); Pacific Northwest National Laboratory; Max Planck Society; National Center Atmospheric Research (NCAR) - USA; National Oceanic Atmospheric Admin (NOAA) - USA; University of Hamburg; Chinese Academy of Sciences; Institute of Atmospheric Physics, CAS; Department of Space (DoS), Government of India; Indian Institute of Space Science &amp; Technology; University of Victoria; Helmholtz Association; GEOMAR Helmholtz Center for Ocean Research Kiel; University of Tasmania; Commonwealth Scientific &amp; Industrial Research Organisation (CSIRO); Japan Agency for Marine-Earth Science &amp; Technology (JAMSTEC); New York University</t>
  </si>
  <si>
    <t>Couldrey, MP; Gregory, JM (corresponding author), Univ Reading, Natl Ctr Atmospher Sci, Reading, Berks, England.;Gregory, JM (corresponding author), Met Off Hadley Ctr, Exeter, Devon, England.</t>
  </si>
  <si>
    <t>m.p.couldrey@reading.ac.uk; jonathan.gregory@ncas.ac.uk</t>
  </si>
  <si>
    <t>Hu, Aixue/E-1063-2013; Garuba, Oluwayemi/U-9688-2019; Kohl, Armin/I-9378-2014; Zanna, Laure/HPG-1772-2023; Liu, Hailong/C-9566-2013; Zanna, Laure/L-3169-2019; Gregory, Jonathan/J-2939-2016; Dong, Xiao/B-8426-2017</t>
  </si>
  <si>
    <t>Hu, Aixue/0000-0002-1337-287X; Garuba, Oluwayemi/0000-0001-7931-7788; Kohl, Armin/0000-0002-9777-674X; Zanna, Laure/0000-0002-8472-4828; Liu, Hailong/0000-0002-8780-0398; Zanna, Laure/0000-0002-8472-4828; Gregory, Jonathan/0000-0003-1296-8644; Ojha, Sayantani/0009-0002-2171-2683; Dong, Xiao/0000-0003-2634-2132</t>
  </si>
  <si>
    <t>UK Natural Environment Research Council [NE/R000727/1]; National Natural Science Foundation of China [41991282, 41931183]; DOE Office of Science Biological and Environmental Research (BER); Max Planck Society for the Advancement of Science; Regional and Global Model Analysis (RGMA) component of the Earth and Environmental System Modeling (EESM) program of the U.S. Department of Energy's Office of Science Biological and Environmental Research (BER); Deutsche Forschungs Gemeinschaft (DFG) [SPP 1889]; NCMAS; National Computing Infrastructure National Facility at the Australian National University [NCI-STRESS2020]; Tasmanian Graduate Research Scholarship; CSIRO-UTAS Quantitative Marine Science top-up; Australian Research Council (ARC) [CE170100023, DP160103130]; CSIRO; Earth Systems and Climate Change Hub of the Australian Government's National Environmental Science Programme; Consortium for Ocean-Sea Ice Modelling in Australia (COSIMA); Integrated Research Program for Advancing Climate Models (TOUGOU) [JPMXD0717935457]; Natural Environment Research Council (NERC) [NE/R000727/1, NE/P019218/1]; NSF [GEO 2048576]; NERC [NE/P019218/1] Funding Source: UKRI</t>
  </si>
  <si>
    <t>UK Natural Environment Research Council(UK Research &amp; Innovation (UKRI)Natural Environment Research Council (NERC)); National Natural Science Foundation of China(National Natural Science Foundation of China (NSFC)); DOE Office of Science Biological and Environmental Research (BER)(United States Department of Energy (DOE)); Max Planck Society for the Advancement of Science(Max Planck Society); Regional and Global Model Analysis (RGMA) component of the Earth and Environmental System Modeling (EESM) program of the U.S. Department of Energy's Office of Science Biological and Environmental Research (BER); Deutsche Forschungs Gemeinschaft (DFG)(German Research Foundation (DFG)); NCMAS; National Computing Infrastructure National Facility at the Australian National University; Tasmanian Graduate Research Scholarship; CSIRO-UTAS Quantitative Marine Science top-up; Australian Research Council (ARC)(Australian Research Council); CSIRO(Commonwealth Scientific &amp; Industrial Research Organisation (CSIRO)); Earth Systems and Climate Change Hub of the Australian Government's National Environmental Science Programme; Consortium for Ocean-Sea Ice Modelling in Australia (COSIMA); Integrated Research Program for Advancing Climate Models (TOUGOU); Natural Environment Research Council (NERC)(UK Research &amp; Innovation (UKRI)Natural Environment Research Council (NERC)); NSF(National Science Foundation (NSF)); NERC(UK Research &amp; Innovation (UKRI)Natural Environment Research Council (NERC))</t>
  </si>
  <si>
    <t>We acknowledge the World Climate Research Programme's Working Group on Coupled Modelling, which is responsible for CMIP, and we thank the climate modelling groups for producing and making available their model output. We thank the Earth System Grid Federation (ESGF) for archiving the data and providing access, and the multiple funding agencies who support CMIP6 and ESGF. This work was supported in part by Grant NE/R000727/1 from the UK Natural Environment Research Council as a contribution to the WCRP's Grand Challenge on Regional Sea Level Change and Coastal Impacts. XD and J. Jin were supported by Grant 41991282 from the National Natural Science Foundation of China. OG was supported by the DOE Office of Science Biological and Environmental Research (BER), as a contribution to the HiLAT-RASM project. Contribution from HH was supported by Max Planck Society for the Advancement of Science. AH was supported by the Regional and Global Model Analysis (RGMA) component of the Earth and Environmental System Modeling (EESM) program of the U.S. Department of Energy's Office of Science Biological and Environmental Research (BER), as a contribution to the CATALYST project. Contributions from J. Jungclaus, AK and SO were supported in part through the Deutsche Forschungs Gemeinschaft (DFG) as part of the SPP 1889 on Regional sea level change and society. HL and ZY were supported by Grant 41931183 from the National Natural Science Foundation of China. ACCESS-CM2 simulations were supported by NCMAS and NCI-STRESS2020 grants through the National Computing Infrastructure National Facility at the Australian National University. AS was supported by a Tasmanian Graduate Research Scholarship and CSIRO-UTAS Quantitative Marine Science top-up and by the Australian Research Council (ARC) (CE170100023; DP160103130) and by projects jointly funded through CSIRO and the Earth Systems and Climate Change Hub of the Australian Government's National Environmental Science Programme. AS is thankful for the support from the Consortium for Ocean-Sea Ice Modelling in Australia (COSIMA). TS was supported by the Integrated Research Program for Advancing Climate Models (TOUGOU) Grant Number JPMXD0717935457. LZ was supported by the Natural Environment Research Council (NERC) Grant NE/R000727/1 (UKFAFMIP), NE/P019218/1 (TICTOC), and NSF GEO 2048576. The authors gratefully acknowledge the input of the anonymous reviewers and Quran Wu, whose feedback improved the quality and clarity of this work.</t>
  </si>
  <si>
    <t>7-8</t>
  </si>
  <si>
    <t>10.1007/s00382-022-06386-y</t>
  </si>
  <si>
    <t>Y5LJ0</t>
  </si>
  <si>
    <t>WOS:000836361100002</t>
  </si>
  <si>
    <t>Ciner, A; Sarikaya, MA; Yildirim, C; Girault, I; Todisco, D; Martin, F; Borrero, L; Fabel, D</t>
  </si>
  <si>
    <t>ciner, Attila; Sarikaya, Mehmet Akif; Yildirim, Cengiz; Girault, Igor; Todisco, Dominique; Martin, Fabiana; Borrero, Luis; Fabel, Derek</t>
  </si>
  <si>
    <t>Terrestrial cosmogenic 10Be dating of the Ultima Esperanza ice lobe moraines (52°S, Patagonia) indicates the global Last Glacial Maximum (LGM) extent was half of the local LGM</t>
  </si>
  <si>
    <t>Anibal Pinto moraine; Ultima Esperanza ice lobe; Patagonia; Cosmogenic surface exposure dating; Glacial asynchronicity</t>
  </si>
  <si>
    <t>SOUTHERNMOST SOUTH-AMERICA; TORRES DEL PAINE; LATE PLEISTOCENE GLACIATIONS; ANTARCTIC PENINSULA REGION; NUCLIDE PRODUCTION-RATES; SIERRA-NEVADA; EXPOSURE AGES; ATMOSPHERIC CIRCULATION; QUATERNARY GLACIATION; CHILEAN PATAGONIA</t>
  </si>
  <si>
    <t>Whether glaciers in the southern hemisphere were asynchronous to those in the north during the global Last Glacial Maximum (gLGM; 26.5-19 ka) is still debated. In Patagonia (South America), numerous ice lobes attained their maximum extents during diverse episodes of the last glacial cycle. To understand the variations in the gLGM vs local LGM record, we studied the Lago Anibal Pinto area (52 degrees 00' S, 72 degrees 40' E; Chile), where several moraine belts were deposited by one of the eastward-flowing southern Patagonian Ice Sheet (PIS) outlet ice lobes; the Ultima Esperanza. We report eight Be-10 terrestrial cosmogenic nuclides (TCN) surface ages from granitic moraine boulders. Our weighted average age obtained from the southern part of the Rio Turbio moraine belt yields 50.7 +/- 2.4 ka (oldest boulder age; 53.8 +/- 5.3 ka) and confirms the greatest extent of the local Last Glacial Maximum (lLGM) during Marine Isotope Stage 3 (MIS 3) in the previously dated northern moraines from the same belt. Our Be-10 TCN age (32.6 +/- 2.2 ka) derived from the Dos Lagunas moraine, which makes up the northernmost margin of the Ultima Esperanza ice lobe's Arauco advance, also validates the MIS 3 timing. Following the formation of Arauco moraines, the Ultima Esperanza ice lobe was split into three main tributaries in the south, which formed three restricted and previously undated moraine complexes. We dated one of them, the Anibal Pinto moraine complex. Whereas the highest moraine yielded the oldest age (28.3 +/- 2.2 ka), lower moraine's surface that was later truncated as a lacustrine erosional platform, yielded younger boulder ages (weighted average age = 18.9 +/- 1.0 ka; oldest boulder age = 19.0 +/- 1.5 ka), indicating they were deposited under the Pinto Lake level. Our new age data allow us to propose a new chronology for the Anibal Pinto moraine complex and consolidate previously published ages from other moraine belts. We attribute the Anibal Pinto moraine complex to early gLGM (MIS 2), emphasising that the gLGM was half the extent of lLGM in the Ultima Esperanza ice lobe that underpins its interhemispheric asynchronous character.</t>
  </si>
  <si>
    <t>[ciner, Attila; Sarikaya, Mehmet Akif; Yildirim, Cengiz] Istanbul Tech Univ, Eurasia Inst Earth Sci, TR-34469 Maslak, I?stanbul, Turkey; [Girault, Igor; Todisco, Dominique] Univ Rouen, Dept Geog, CNRS, UMR 6266, Rouen, France; [Martin, Fabiana] Univ Magallanes, Ctr Estudios Hombre Austral, Inst Patagonia, Punta Arenas, Chile; [Borrero, Luis] Univ Buenos Aires, Inst Multidisciplinario Hist &amp; Ciencias Humanas, CONICET, Buenos Aires, Argentina; [Fabel, Derek] Scottish Univ Environm Res Ctr, Glasgow City, Scotland</t>
  </si>
  <si>
    <t>Istanbul Technical University; Centre National de la Recherche Scientifique (CNRS); CNRS - Institute for Humanities &amp; Social Sciences (INSHS); Universite de Rouen Normandie; Universidad de Magallanes; Consejo Nacional de Investigaciones Cientificas y Tecnicas (CONICET); University of Buenos Aires</t>
  </si>
  <si>
    <t>Ciner, A (corresponding author), Istanbul Tech Univ, Eurasia Inst Earth Sci, TR-34469 Maslak, I?stanbul, Turkey.</t>
  </si>
  <si>
    <t>cinert@itu.edu.tr</t>
  </si>
  <si>
    <t>Fabel, Derek/A-2999-2010</t>
  </si>
  <si>
    <t>FONDE- CYT (Chile) [TGA-2017-40610]; FONDE-CYT (Chile); CNRS PICS project GEOCEBE; Istanbul Technical University [TGA-2017-40610]; Istanbul Technical University BAP [TGA-2017-40610, 40610]; Chilean FONDECYT [41612, 1150845]; French CNRS PICS project GEOCEBE; [1180272]</t>
  </si>
  <si>
    <t>FONDE- CYT (Chile)(Comision Nacional de Investigacion Cientifica y Tecnologica (CONICYT)CONICYT FONDECYT); FONDE-CYT (Chile)(Comision Nacional de Investigacion Cientifica y Tecnologica (CONICYT)CONICYT FONDECYT); CNRS PICS project GEOCEBE; Istanbul Technical University(Istanbul Technical University); Istanbul Technical University BAP(Istanbul Technical University); Chilean FONDECYT(Comision Nacional de Investigacion Cientifica y Tecnologica (CONICYT)CONICYT FONDECYT); French CNRS PICS project GEOCEBE;</t>
  </si>
  <si>
    <t>The authors declare the following financial interests/personal relationships which may be considered as potential competing interests: Fabiana Martin reports financial support was provided by FONDE-CYT (Chile) . Dominique Todisco reports financial support was provided by CNRS PICS project GEOCEBE. Attila Ciner reports financial support was provided by Istanbul Technical University TGA-2017-40610. Attila Ciner reports a relationship with Istanbul Technical University that includes: employment. This work was funded by the Istanbul Technical University BAP research projects 40610 and 41612, the Chilean FONDECYT projects 1150845 and 1180272, the French CNRS PICS project GEOCEBE, and a PhD grant from the &amp; quot;Institut des Ameriques &amp; quot;. We appreciate the help provided by the National Forest Corporation (CONAF) and the rangers of the Park &amp; quot;Monumento Natural Cueva del Milodon &amp; quot;. We greatly appreciate the very detailed and helpful reviews by Juan -Luis Garc?a and Bradley William Goodfellow, who increased the quality of this work.</t>
  </si>
  <si>
    <t>10.1016/j.geomorph.2022.108381</t>
  </si>
  <si>
    <t>3P3DD</t>
  </si>
  <si>
    <t>WOS:000837417300002</t>
  </si>
  <si>
    <t>Fernandes, M; Rasouli, K; Golubkin, P; Dolatshah, A; Radchenko, I; Prokhorova, U; Dixit, A; Prakash, AE; Arunkarthik, A; Acharya, A; Senapati, B; Nela, B; Shah, C; Chitra, MC; Kumar, D; Neelam, J; Midhuna, TM; Behera, P; Thind, PS; Pradhan, PK; Riju; Kumar, R; Choudhary, S; Yu, S; Chandra, V; Sun, Y; Liu, Y; Sofi, ZA; Davy, R; Shalina, E</t>
  </si>
  <si>
    <t>Fernandes, Michelle; Rasouli, Kabir; Golubkin, Pavel; Dolatshah, Azam; Radchenko, Iuliia; Prokhorova, Uliana; Dixit, Abhilasha; Prakash, Akhil E.; Arunkarthik, Arun; Acharya, Asutosh; Senapati, Balaji; Nela, Balaraju; Shah, Chinmay; Chitra, M. C.; Kumar, Deepak; Neelam, Jaishree; Midhuna, T. M.; Behera, Padmasini; Thind, Parteek Singh; Pradhan, Prabodha Kumar; Riju; Kumar, Rohit; Choudhary, Shabnam; Yu, Shui; Chandra, Varunesh; Sun, Yue; Liu, Yong; Sofi, Zubair Ahmad; Davy, Richard; Shalina, Elena</t>
  </si>
  <si>
    <t>Comparing recent changes in the Arctic and the Third Pole: linking science and policy</t>
  </si>
  <si>
    <t>POLAR GEOGRAPHY</t>
  </si>
  <si>
    <t>The Arctic ocean; the Third pole; sea ice; glaciers; Himalayas; policy</t>
  </si>
  <si>
    <t>PERSISTENT ORGANIC POLLUTANTS; LIGHT-ABSORBING IMPURITIES; NORTHERN MOUNTAIN BASIN; SEA-ICE VARIABILITY; CLIMATE-CHANGE; COLD WINTERS; OCEAN; SNOW; AMPLIFICATION; IMPACT</t>
  </si>
  <si>
    <t>The rapid evolution of science compels renewal of a knowledge-based policy, particularly in cold regions. In the Arctic and Himalayas, which have undergone a significant climate change, there is a disconnect between scientific knowledge and the practices of policy. The rising air temperatures, decreasing ice and snow, increasing precipitation and plastic waste pollutants and the Atlantification of the Arctic Ocean by receiving warmer and saltier water from the Atlantic Ocean call for scientific research questions to strengthen the linkage between science and policy. The Arctic amplification can have remote impacts on other parts of the globe through oceanic and atmospheric teleconnections. Hence, researchers need to push the frontiers of scientific discoveries through multidisciplinary and collaborative approaches in the Arctic Ocean along with connections to the Third Pole - Himalayas. The overall objectives of this paper are to explore how a comparison of the Arctic and the Third Pole is valuable for understanding the Arctic and global biogeophysical processes in this epoch of anthropogenic climate change; provide a strong linkage between the Arctic scientific research and its relevance to society; and help advance a more sustainable future for the Arctic, the Third Pole and the globe.</t>
  </si>
  <si>
    <t>[Fernandes, Michelle; Acharya, Asutosh; Behera, Padmasini] Minist Earth Sci, Natl Ctr Polar &amp; Ocean Res, Goa, India; [Rasouli, Kabir] Environm &amp; Climate Change Canada, Montreal, PQ, Canada; [Rasouli, Kabir] Univ British Columbia, Dept Geog, Vancouver, BC, Canada; [Golubkin, Pavel; Radchenko, Iuliia; Shalina, Elena] Nansen Int Environm &amp; Remote Sensing Ctr, St Petersburg, Russia; [Dolatshah, Azam] Swinburne Univ Technol, Dept Mech &amp; Product Design Engn, Melbourne, Vic, Australia; [Dolatshah, Azam] Univ Melbourne, Dept Infrastruct Engn, Melbourne, Vic, Australia; [Prokhorova, Uliana] Arctic &amp; Antarctic Res Inst, St Petersburg, Russia; [Dixit, Abhilasha] Indian Inst Technol, Roorkee, Uttar Pradesh, India; [Prakash, Akhil E.] Cochin Univ Sci &amp; Technol, Cochin, Kerala, India; [Arunkarthik, Arun] Bharathidasan Univ Tiruchirappalli, Tiruchirappalli, Tamil Nadu, India; [Senapati, Balaji] Indian Inst Technol Kharagpur, Kharagpur, W Bengal, India; [Senapati, Balaji] Indian Inst Technol, Bombay, Maharashtra, India; [Shah, Chinmay] Gujarat Univ, Sch Sci, Dept Chem, Ahmadabad, Gujarat, India; [Chitra, M. C.] Kerala Univ Fisheries &amp; Ocean Studies, Kochi, Kerala, India; [Kumar, Deepak] Kurukshetra Univ, Thanesar, Haryana, India; [Neelam, Jaishree] Indian Inst Technol, Delhi, India; [Midhuna, T. M.] Jawaharlal Nehru Univ, Delhi, India; [Thind, Parteek Singh] Punjab Engn Coll, Chandigarh, India; [Pradhan, Prabodha Kumar] Sri Venkateswara Univ, Dept Phys, Tirupati, Andhra Pradesh, India; [Riju] Panjab Univ, Dept Environm Studies, Chandigarh, India; [Choudhary, Shabnam] Goa Univ, Goa, India; [Yu, Shui; Sun, Yue; Liu, Yong] Chinese Acad Sci, Inst Atmospher Phys, Nansen Zhu Int Res Ctr, Beijing, Peoples R China; [Sofi, Zubair Ahmad] Chinese Acad Sci, Inst Tibetan Plateau Res, Beijing, Peoples R China; [Davy, Richard] Nansen Environm &amp; Remote Sensing Ctr, Bergen, Norway</t>
  </si>
  <si>
    <t>Ministry of Earth Sciences (MoES) - India; National Centre for Polar and Ocean Research (NCPOR); Environment &amp; Climate Change Canada; University of British Columbia; Nansen Environmental &amp; Remote Sensing Center (NERSC); Swinburne University of Technology; Melbourne Genomics Health Alliance; University of Melbourne; Melbourne Genomics Health Alliance; Arctic &amp; Antarctic Research Institute; Indian Institute of Technology System (IIT System); Indian Institute of Technology (IIT) - Roorkee; Cochin University Science &amp; Technology; Bharathidasan University; Indian Institute of Technology System (IIT System); Indian Institute of Technology (IIT) - Kharagpur; Indian Institute of Technology System (IIT System); Indian Institute of Technology (IIT) - Bombay; Gujarat University; Kerala University of Fisheries &amp; Ocean Studies; Kurukshetra University; Indian Institute of Technology System (IIT System); Indian Institute of Technology (IIT) - Delhi; Jawaharlal Nehru University, New Delhi; Punjab Engineering College (Deemed University); Sri Venkateswara University; Panjab University; Goa University; Chinese Academy of Sciences; Institute of Atmospheric Physics, CAS; Chinese Academy of Sciences; Institute of Tibetan Plateau Research, CAS; Nansen Environmental &amp; Remote Sensing Center (NERSC)</t>
  </si>
  <si>
    <t>Rasouli, K (corresponding author), Environm &amp; Climate Change Canada, Montreal, PQ, Canada.</t>
  </si>
  <si>
    <t>kabir.rasouli@usask.ca</t>
  </si>
  <si>
    <t>Acharya, Asutosh/HZH-7958-2023; Radchenko, Iuliia/AAF-4852-2019; Kumar, Rohit/X-7975-2019; MC, Chitra/JMB-3892-2023; Yu, Shui/JJE-8350-2023; Rasouli, Kabir/ABD-5190-2020; Shalina, Elena V./C-6735-2014; Golubkin, Pavel/J-7813-2016</t>
  </si>
  <si>
    <t>Kumar, Rohit/0000-0003-4399-7595; MC, Chitra/0000-0003-2643-5929; Yu, Shui/0000-0003-3775-5960; KUMAR, DEEPAK/0000-0002-7165-3936; Golubkin, Pavel/0000-0002-1782-4677; Chandra, Varunesh/0000-0002-2380-0292; Radchenko, Iuliia/0000-0002-8290-5043; Pradhan, Dr. Prabodha Kumar/0000-0001-9651-3342; Senapati, Balaji/0000-0001-5029-9731</t>
  </si>
  <si>
    <t>Ministry of Earth Sciences, Government of India; Nansen Environmental and Remote Sensing Center (NERSC) [261743]; Nansen Scientific Society, Bergen, Norway [29]</t>
  </si>
  <si>
    <t>Ministry of Earth Sciences, Government of India(Ministry of Earth Science (MoES), Government of India); Nansen Environmental and Remote Sensing Center (NERSC); Nansen Scientific Society, Bergen, Norway</t>
  </si>
  <si>
    <t>This work was supported by Ministry of Earth Sciences, Government of India; Nansen Environmental and Remote Sensing Center (NERSC): [Grant Number RCN#261743]; Nansen Scientific Society, Bergen, Norway: [Grant Number 29].</t>
  </si>
  <si>
    <t>1088-937X</t>
  </si>
  <si>
    <t>1939-0513</t>
  </si>
  <si>
    <t>POLAR GEOGR</t>
  </si>
  <si>
    <t>Polar Geogr.</t>
  </si>
  <si>
    <t>JUL 3</t>
  </si>
  <si>
    <t>10.1080/1088937X.2022.2105969</t>
  </si>
  <si>
    <t>Geography, Physical</t>
  </si>
  <si>
    <t>Physical Geography</t>
  </si>
  <si>
    <t>3Z4ZJ</t>
  </si>
  <si>
    <t>WOS:000836719300001</t>
  </si>
  <si>
    <t>Shero, MR; Kirkham, AL; Costa, DP; Burns, JM</t>
  </si>
  <si>
    <t>Shero, Michelle R.; Kirkham, Amy L.; Costa, Daniel P.; Burns, Jennifer M.</t>
  </si>
  <si>
    <t>Iron mobilization during lactation reduces oxygen stores in a diving mammal</t>
  </si>
  <si>
    <t>SEAL LEPTONYCHOTES-WEDDELLII; AEROBIC DIVE LIMIT; EREBUS BAY; PAGOPHILUS-GROENLANDICUS; TRANSFERRIN SATURATION; SKELETAL-MUSCLES; SURVIVAL RATES; MILK; SERUM; METABOLISM</t>
  </si>
  <si>
    <t>Here, the authors show that Weddell seal mothers mobilize endogenous iron stores during lactation to provide to pups, resulting in iron concentrations in milk 100x higher than terrestrial mammals. This was associated with reduced dive durations in the mother, a cost of reproduction. The profound impacts that maternal provisioning of finite energy resources has on offspring survival have been extensively studied across mammals. This study shows that in addition to calories, high hemoprotein concentrations in diving mammals necessitates exceptional female-to-pup iron transfer. Numerous indices of iron mobilization (ferritin, serum iron, total-iron-binding-capacity, transferrin saturation) were significantly elevated during lactation in adult female Weddell seals (Leptonychotes weddellii), but not in skip-breeders. Iron was mobilized from endogenous stores for incorporation into the Weddell seal's milk at concentrations up to 100x higher than terrestrial mammals. Such high rates of iron offload to offspring drew from the female's own heme stores and led to compromised physiologic dive capacities (hemoglobin, myoglobin, and total body oxygen stores) after weaning their pups, which was further reflected in shorter dive durations. We demonstrate that lactational iron transfer shapes physiologic dive thresholds, identifying a cost of reproduction to a marine mammal.</t>
  </si>
  <si>
    <t>[Shero, Michelle R.] Woods Hole Oceanog Inst, Biol Dept, 266 Woods Hole Rd, Woods Hole, MA 02543 USA; [Kirkham, Amy L.] Univ Alaska Anchorage, Dept Biol Sci, 3101 Sci Circle, Anchorage, AK 99508 USA; [Kirkham, Amy L.] Univ Alaska Fairbanks, Coll Fisheries &amp; Ocean Sci, 17101 Point Lena Loop Rd, Juneau, AK 99801 USA; [Costa, Daniel P.] Univ Calif Santa Cruz, Inst Marine Sci Ecol &amp; Evolutionary Biol, Santa Cruz, CA 95060 USA; [Burns, Jennifer M.] Texas Tech Univ, Dept Biol Sci, Lubbock, TX 79409 USA</t>
  </si>
  <si>
    <t>Woods Hole Oceanographic Institution; University of Alaska System; University of Alaska Anchorage; University of Alaska System; University of Alaska Fairbanks; University of California System; University of California Santa Cruz; Texas Tech University System; Texas Tech University</t>
  </si>
  <si>
    <t>Shero, MR (corresponding author), Woods Hole Oceanog Inst, Biol Dept, 266 Woods Hole Rd, Woods Hole, MA 02543 USA.</t>
  </si>
  <si>
    <t>mshero@whoi.edu</t>
  </si>
  <si>
    <t>Burns, Jennifer M/C-4159-2013; Kirkham, Amy/GWQ-6306-2022</t>
  </si>
  <si>
    <t>Burns, Jennifer/0000-0001-9652-2943; Shero, Michelle/0000-0003-4633-5351</t>
  </si>
  <si>
    <t>NSF [ANT-0838892, ANT-0838937, ANT-1246463]; Investment in Science Fund at WHOI</t>
  </si>
  <si>
    <t>NSF(National Science Foundation (NSF)); Investment in Science Fund at WHOI</t>
  </si>
  <si>
    <t>We thank field team members: (B-292-M) Dr. Roxanne Beltran, Dr. Rachel Berngartt, Dr. Greg Frankfurter, Dr. Patrick Robinson and Skyla Walcott; (B-232-M) Drs. Kimberly Goetz, Luis Huckstadt, and Linnea Pearson for sample collection. Group B-009-M led by Dr. Jay Rotella provided information regarding animal reproductive status and provided invaluable assistance in locating study animals. Logistical support was provided by the National Science Foundation (NSF) U.S. Antarctic Program, Raytheon Polar Services, and Lockheed Martin ASC; we thank all the support staff in Christchurch NZ and McMurdo Station. This research was conducted with support from NSF ANT-0838892 to DPC; ANT-0838937 and ANT-1246463 to JMB (which also supported ALK and MRS); and The Investment in Science Fund at WHOI to MRS.</t>
  </si>
  <si>
    <t>10.1038/s41467-022-31863-7</t>
  </si>
  <si>
    <t>3O2YT</t>
  </si>
  <si>
    <t>WOS:000836703600018</t>
  </si>
  <si>
    <t>Herraiz-Borreguero, L; Garabato, ACN</t>
  </si>
  <si>
    <t>Herraiz-Borreguero, Laura; Garabato, Alberto C. Naveira</t>
  </si>
  <si>
    <t>Poleward shift of Circumpolar Deep Water threatens the East Antarctic Ice Sheet</t>
  </si>
  <si>
    <t>SOUTHERN ANNULAR MODE; SHELF; VARIABILITY; RETREAT; TRENDS; OCEAN</t>
  </si>
  <si>
    <t>Ocean changes could affect the East Antarctic Ice Sheet and its contribution to sea level rise. Oceanographic observations off East Antarctica show substantial warming of mid-depth Circumpolar Deep Water, linked to poleward wind shifts, with implications for glacial melt and ice sheet stability. Future sea-level rise projections carry large uncertainties, mainly driven by the unknown response of the Antarctic Ice Sheet to climate change. During the past four decades, the contribution of the East Antarctic Ice Sheet to sea-level rise has increased. However, unlike for West Antarctica, the causes of East Antarctic ice-mass loss are largely unexplored. Here, using oceanographic observations off East Antarctica (80-160 degrees E) we show that mid-depth Circumpolar Deep Water has warmed by 0.8-2.0 degrees C along the continental slope between 1930-1990 and 2010-2018. Our results indicate that this warming may be implicated in East Antarctic ice-mass loss and coastal water-mass reorganization. Further, it is associated with an interdecadal, summer-focused poleward shift of the westerlies over the Southern Ocean. Since this shift is predicted to persist into the twenty-first century, the oceanic heat supply to East Antarctica may continue to intensify, threatening the ice sheet's future stability.</t>
  </si>
  <si>
    <t>[Herraiz-Borreguero, Laura] CSIRO, Oceans &amp; Atmosphere, Hobart, Tas, Australia; [Herraiz-Borreguero, Laura] Ctr Southern Hemisphere Oceans Res, Hobart, Tas, Australia; [Herraiz-Borreguero, Laura] Univ Tasmania, Inst Marine &amp; Antarctic Studies, Australian Antarctic Program Partnership, Hobart, Tas, Australia; [Garabato, Alberto C. Naveira] Univ Southampton, Ocean &amp; Earth Sci, Southampton, Hants, England</t>
  </si>
  <si>
    <t>Commonwealth Scientific &amp; Industrial Research Organisation (CSIRO); University of Tasmania; University of Southampton</t>
  </si>
  <si>
    <t>Herraiz-Borreguero, L (corresponding author), CSIRO, Oceans &amp; Atmosphere, Hobart, Tas, Australia.;Herraiz-Borreguero, L (corresponding author), Ctr Southern Hemisphere Oceans Res, Hobart, Tas, Australia.;Herraiz-Borreguero, L (corresponding author), Univ Tasmania, Inst Marine &amp; Antarctic Studies, Australian Antarctic Program Partnership, Hobart, Tas, Australia.</t>
  </si>
  <si>
    <t>Laura.HerraizBorreguero@csiro.au</t>
  </si>
  <si>
    <t>Herraiz-Borreguero, Laura/D-5795-2015</t>
  </si>
  <si>
    <t>Herraiz-Borreguero, Laura/0000-0002-4455-801X</t>
  </si>
  <si>
    <t>European Research Council Horizon 2020 Marie Sklodowska-Curie Individual Fellowship [661015]; Centre for Southern Hemisphere Oceans Research; Royal Society; Wolfson Foundation; Marie Curie Actions (MSCA) [661015] Funding Source: Marie Curie Actions (MSCA)</t>
  </si>
  <si>
    <t>European Research Council Horizon 2020 Marie Sklodowska-Curie Individual Fellowship(European Research Council (ERC)); Centre for Southern Hemisphere Oceans Research(Commonwealth Scientific &amp; Industrial Research Organisation (CSIRO)); Royal Society(Royal Society); Wolfson Foundation; Marie Curie Actions (MSCA)(Marie Curie Actions)</t>
  </si>
  <si>
    <t>L.H.-B. received grant support from the European Research Council Horizon 2020 Marie Sklodowska-Curie Individual Fellowship, through grant no. 661015 and the Centre for Southern Hemisphere Oceans Research. A.C.N.G. received grant support from the Royal Society and the Wolfson Foundation.</t>
  </si>
  <si>
    <t>10.1038/s41558-022-01424-3</t>
  </si>
  <si>
    <t>3O2ID</t>
  </si>
  <si>
    <t>WOS:000836399300005</t>
  </si>
  <si>
    <t>Crosta, X; Kohfeld, KE; Bostock, HC; Chadwick, M; Du Vivier, A; Esper, O; Etourneau, J; Jones, J; Leventer, A; Müller, J; Rhodes, RH; Allen, CS; Ghadi, P; Lamping, N; Lange, CB; Lawler, KA; Lund, D; Marzocchi, A; Meissner, KJ; Menviel, L; Nair, A; Patterson, M; Pike, J; Prebble, JG; Riesselman, C; Sadatzki, H; Sime, LC; Shukla, SK; Thöle, L; Vorrath, ME; Xiao, WS; Yang, J</t>
  </si>
  <si>
    <t>Crosta, Xavier; Kohfeld, Karen E.; Bostock, Helen C.; Chadwick, Matthew; Du Vivier, Alice; Esper, Oliver; Etourneau, Johan; Jones, Jacob; Leventer, Amy; Mueller, Juliane; Rhodes, Rachael H.; Allen, Claire S.; Ghadi, Pooja; Lamping, Nele; Lange, Carina B.; Lawler, Kelly-Anne; Lund, David; Marzocchi, Alice; Meissner, Katrin J.; Menviel, Laurie; Nair, Abhilash; Patterson, Molly; Pike, Jennifer; Prebble, Joseph G.; Riesselman, Christina; Sadatzki, Henrik; Sime, Louise C.; Shukla, Sunil K.; Thole, Lena; Vorrath, Maria-Elena; Xiao, Wenshen; Yang, Jiao</t>
  </si>
  <si>
    <t>Antarctic sea ice over the past 130 000 years - Part 1: a review of what proxy records tell us</t>
  </si>
  <si>
    <t>LAST GLACIAL MAXIMUM; MAJOR DIATOM TAXA; PHYTOPLANKTON COMMUNITY STRUCTURE; BRANCHED ISOPRENOID ALKENES; SOUTHERN-OCEAN SEDIMENTS; SALT AEROSOL PRODUCTION; HOLOCENE CLIMATE; ATLANTIC SECTOR; LATE QUATERNARY; SURFACE-TEMPERATURE</t>
  </si>
  <si>
    <t>Antarctic sea ice plays a critical role in the Earth system, influencing energy, heat and freshwater fluxes, air-sea gas exchange, ice shelf dynamics, ocean circulation, nutrient cycling, marine productivity and global carbon cycling. However, accurate simulation of recent sea-ice changes remains challenging and, therefore, projecting future sea-ice changes and their influence on the global climate system is uncertain. Reconstructing past changes in sea-ice cover can provide additional insights into climate feedbacks within the Earth system at different timescales. This paper is the first of two review papers from the Cycles of Sea Ice Dynamics in the Earth system (C-SIDE) working group. In this first paper, we review marine- and ice core-based sea-ice proxies and reconstructions of sea-ice changes throughout the last glacial-interglacial cycle. Antarctic sea-ice reconstructions rely mainly on diatom fossil assemblages and highly branched isoprenoid (HBI) alkenes in marine sediments, supported by chemical proxies in Antarctic ice cores. Most reconstructions for the Last Glacial Maximum (LGM) suggest that winter sea ice expanded all around Antarctica and covered almost twice its modern surface extent. In contrast, LGM summer sea ice expanded mainly in the regions off the Weddell and Ross seas. The difference between winter and summer sea ice during the LGM led to a larger seasonal cycle than today. More recent efforts have focused on reconstructing Antarctic sea ice during warm periods, such as the Holocene and the Last Interglacial (LIG), which may serve as an analogue for the future. Notwithstanding regional heterogeneities, existing reconstructions suggest that sea-ice cover increased from the warm mid-Holocene to the colder Late Holocene with pervasive decadal- to millennial-scale variability throughout the Holocene. Studies, supported by proxy modelling experiments, suggest that sea-ice cover was halved during the warmer LIG when global average temperatures were similar to 2 degrees C above the pre-industrial (PI). There are limited marine (14) and ice core (4) sea-ice proxy records covering the complete 130 000 year (130 ka) last glacial cycle. The glacial-interglacial pattern of sea-ice advance and retreat appears relatively similar in each basin of the Southern Ocean. Rapid retreat of sea ice occurred during Terminations II and I while the expansion of sea ice during the last glaciation appears more gradual especially in ice core data sets. Marine records suggest that the first prominent expansion occurred during Marine Isotope Stage (MIS) 4 and that sea ice reached maximum extent during MIS 2. We, however, note that additional sea-ice records and transient model simulations are required to better identify the underlying drivers and feedbacks of Antarctic sea-ice changes over the last 130 ka. This understanding is critical to improve future predictions.</t>
  </si>
  <si>
    <t>[Crosta, Xavier; Etourneau, Johan] Univ Bordeaux, CNRS, UMR 5805, EPOC, Pessac, France; [Kohfeld, Karen E.; Jones, Jacob] Simon Fraser Univ, Sch Resource &amp; Environm Management, Vancouver, BC, Canada; [Kohfeld, Karen E.] Simon Fraser Univ, Sch Environm Sci, Vancouver, BC, Canada; [Bostock, Helen C.] Univ Queensland, Sch Earth &amp; Environm Sci, Brisbane, Qld, Australia; [Chadwick, Matthew; Allen, Claire S.; Sime, Louise C.] British Antarctic Survey, Cambridge, England; [Du Vivier, Alice] Natl Ctr Atmospher Res, POB 3000, Boulder, CO 80307 USA; [Esper, Oliver; Lamping, Nele; Sadatzki, Henrik; Vorrath, Maria-Elena] Helmholtz Ctr Polar &amp; Marine Res, Alfred Wegener Inst, Bremerhaven, Germany; [Etourneau, Johan] PSL Res Univ, EPHE, Paris, France; [Leventer, Amy] Colgate Univ, Hamilton, NY 13346 USA; [Rhodes, Rachael H.] Univ Cambridge, Dept Earth Sci, Downing St, Cambridge CB2 3EQ, England; [Ghadi, Pooja] Goa Univ, Sch Earth Ocean &amp; Atmospher Sci, Taleigao Plateau 403206, Goa, India; [Lange, Carina B.] Univ Concepcion, Dept Oceanog, Concepcion, Chile; [Lange, Carina B.] Univ Concepcion, Ctr Oceanog COPAS Austral COPAS Coastal, Concepcion, Chile; [Lange, Carina B.] Univ Austral Chile, Ctr Invest Dinam Ecosistemas Marinos Altas Latitu, Valdivia, Chile; [Lange, Carina B.] Scripps Inst Oceanog, La Jolla, CA 92037 USA; [Lawler, Kelly-Anne] Australian Natl Univ, Res Sch Earth Sci, Canberra, ACT, Australia; [Lund, David] Univ Connecticut, Dept Marine Sci, Groton, CT 06340 USA; [Marzocchi, Alice] Natl Oceanog Ctr, European Way, Southampton SO14 3ZH, Hants, England; [Meissner, Katrin J.; Menviel, Laurie] Univ New South Wales, Climate Change Res Ctr, Sydney, NSW, Australia; [Meissner, Katrin J.] Univ New South Wales, ARC Ctr Excellence Climate Extremes, Sydney, NSW, Australia; [Menviel, Laurie] Univ Tasmania, Australian Ctr Excellence Antarctic Sci, Hobart, Tas, Australia; [Nair, Abhilash] Natl Ctr Polar &amp; Ocean Res, Vasco Da Gama 403804, Goa, India; [Patterson, Molly] SUNY Binghamton, Geol Sci &amp; Environm Studies, Binghamton, NY USA; [Pike, Jennifer] Cardiff Univ, Sch Earth &amp; Environm Sci, Cardiff, Wales; [Prebble, Joseph G.] GNS Sci, Lower Hutt, New Zealand; [Riesselman, Christina] Univ Otago, Dept Geol, Dunedin, New Zealand; [Riesselman, Christina] Univ Otago, Dept Marine Sci, Dunedin, New Zealand; [Shukla, Sunil K.] Birbal Sahni Inst Palaeosci, Lucknow, Uttar Pradesh, India; [Thole, Lena] Univ Utrecht, Dept Earth Sci, Utrecht, Netherlands; [Xiao, Wenshen] Tongji Univ, State Key Lab Marine Geol, Shanghai 200092, Peoples R China; [Yang, Jiao] Chinese Acad Sci, Northwest Inst Ecoenvironm &amp; Resources, State Key Lab Cryospher Sci, Lanzhou, Peoples R China</t>
  </si>
  <si>
    <t>Centre National de la Recherche Scientifique (CNRS); CNRS - National Institute for Earth Sciences &amp; Astronomy (INSU); Universite de Bordeaux; Simon Fraser University; Simon Fraser University; University of Queensland; UK Research &amp; Innovation (UKRI); Natural Environment Research Council (NERC); NERC British Antarctic Survey; National Center Atmospheric Research (NCAR) - USA; Helmholtz Association; Alfred Wegener Institute, Helmholtz Centre for Polar &amp; Marine Research; Universite PSL; Ecole Pratique des Hautes Etudes (EPHE); Colgate University; University of Cambridge; Goa University; Universidad de Concepcion; Universidad de Concepcion; Universidad Austral de Chile; University of California System; University of California San Diego; Scripps Institution of Oceanography; Australian National University; University of Connecticut; NERC National Oceanography Centre; University of Southampton; University of New South Wales Sydney; University of New South Wales Sydney; University of Tasmania; Ministry of Earth Sciences (MoES) - India; National Centre for Polar and Ocean Research (NCPOR); State University of New York (SUNY) System; State University of New York (SUNY) Binghamton; Cardiff University; GNS Science - New Zealand; University of Otago; University of Otago; Department of Science &amp; Technology (India); Birbal Sahni Institute of Palaeobotany (BSIP); Utrecht University; Tongji University; Chinese Academy of Sciences</t>
  </si>
  <si>
    <t>Crosta, X (corresponding author), Univ Bordeaux, CNRS, UMR 5805, EPOC, Pessac, France.</t>
  </si>
  <si>
    <t>xavier.crosta@u-bordeaux.fr</t>
  </si>
  <si>
    <t>Vorrath, Maria-Elena/AAS-4675-2020; DuVivier, Alice K./JJC-1516-2023; Chadwick, Matthew/HTM-7278-2023; Yang, Jiao/JTV-6688-2023; Riesselman, Christina R/H-5037-2012; Han, Yang/JVN-5921-2024; Bostock, Helen/A-6834-2013; IPO, PAGES/JXY-7546-2024; Menviel, Laurie/D-6902-2013; Muller, Juliane/L-1875-2013</t>
  </si>
  <si>
    <t>Vorrath, Maria-Elena/0000-0001-7208-1186; DuVivier, Alice K./0000-0001-6920-5926; Bostock, Helen/0000-0002-8903-8958; Lawler, Kelly-Anne/0000-0002-8770-1365; Chadwick, Matthew/0000-0002-3861-4564; Menviel, Laurie/0000-0002-5068-1591; Meissner, Katrin/0000-0002-0716-7415; Muller, Juliane/0000-0003-0724-4131; Shukla, Sunil/0000-0002-7517-5564; Leventer, Amy/0000-0001-9401-0987</t>
  </si>
  <si>
    <t>PAGES data stewardship grant [DSS_105]; Canadian Natural Sciences and Engineering Research Council [RGPIN342251]; National Center for Atmospheric Research - National Science Foundation [1852977]; Australian Research Council [FT180100606, DP180100048]; Australian Research Training Program (RTP) scholarship; IDEAL Research Center [15150003]; Helmholtz Association [VH-NG-1101]; New Zealand Ministry of Business, Innovation and Employment Antarctic Science Platform [ANTA1801]; GNS Science SSIF funding via the Global Change Through Time Programme; New Zealand Ministry of Business, Innovation &amp; Employment (MBIE) [ANTA1801] Funding Source: New Zealand Ministry of Business, Innovation &amp; Employment (MBIE)</t>
  </si>
  <si>
    <t>PAGES data stewardship grant; Canadian Natural Sciences and Engineering Research Council(Natural Sciences and Engineering Research Council of Canada (NSERC)); National Center for Atmospheric Research - National Science Foundation; Australian Research Council(Australian Research Council); Australian Research Training Program (RTP) scholarship; IDEAL Research Center; Helmholtz Association(Helmholtz Association); New Zealand Ministry of Business, Innovation and Employment Antarctic Science Platform(New Zealand Ministry of Business, Innovation and Employment (MBIE)); GNS Science SSIF funding via the Global Change Through Time Programme; New Zealand Ministry of Business, Innovation &amp; Employment (MBIE)(New Zealand Ministry of Business, Innovation and Employment (MBIE))</t>
  </si>
  <si>
    <t>This work was funded by a PAGES data stewardship grant to Matthew Chadwick (DSS_105; funding to work on the data inventory) and a Canadian Natural Sciences and Engineering Research Council (Discovery grant RGPIN342251) to KEK (which funded the initial workers on the inventory and a lot of the people who attended C-SIDE workshops). Alice du Vivier acknowledges support through the National Center for Atmospheric Research which is sponsored by the National Science Foundation under Cooperative agreement (grant no. 1852977). Katrin J. Meissner and Laurie Menviel acknowledge funding from the Australian Research Council (grant nos. FT180100606 and DP180100048). Kelly-Anne Lawler is supported by an Australian Research Training Program (RTP) scholarship. Carina Lange acknowledges partial support from IDEAL Research Center (grant no. 15150003). Juliane Muller, Nele Lamping and Maria-Elena Vorrath were funded through a Helmholtz Association grant (grant no. VH-NG-1101). Abhilash Nair acknowledges the Director, ESSO-NCPOR, Ministry of Earth Sciences, India for facilitating the Antarctic palaeo seaice research in NCPOR. Christina Riesselman acknowledges support from the New Zealand Ministry of Business, Innovation and Employment Antarctic Science Platform (grant no. ANTA1801). Joseph G. Prebble was funded by GNS Science SSIF funding via the Global Change Through Time Programme.</t>
  </si>
  <si>
    <t>10.5194/cp-18-1729-2022</t>
  </si>
  <si>
    <t>3L5YV</t>
  </si>
  <si>
    <t>WOS:000834838800001</t>
  </si>
  <si>
    <t>Sun, PZ; Lin, JX; Ren, X; Zhang, B; Liu, JX; Zhao, YF; Li, DM</t>
  </si>
  <si>
    <t>Sun, Peizi; Lin, Junxin; Ren, Xiang; Zhang, Biao; Liu, Jiaxin; Zhao, Yanfen; Li, Dongmei</t>
  </si>
  <si>
    <t>Effect of Heating on Protein Denaturation, Water State, Microstructure, and Textural Properties of Antarctic Krill (Euphausia superba) Meat</t>
  </si>
  <si>
    <t>FOOD AND BIOPROCESS TECHNOLOGY</t>
  </si>
  <si>
    <t>Antarctic krill (Euphausia superba); Heat treatment; Texture; Myofibrillar proteins; Water distribution</t>
  </si>
  <si>
    <t>MYOFIBRIL PROTEIN; HOLDING CAPACITY; PHYSICAL CHANGES; COOKING LOSS; TEMPERATURE; PORK; KINETICS; STABILITY; OXIDATION; GELATION</t>
  </si>
  <si>
    <t>Antarctic krill (Euphausia superba) is an important source of biomass and high-quality protein. However, heat treatment negatively impacts the quality of Antarctic krill and compromises its utilization in the food industry. This study aimed to investigate the mechanisms underlying changes in Antarctic krill meat characteristics and physicochemical properties treated at different temperatures and holding times. Our findings indicated that hardness and cooking loss of Antarctic krill meat increased dramatically at higher temperatures and holding times. The low-field nuclear magnetic resonance (LF-NMR) analysis revealed that the loss of immobilized water increased, whereas the SDS-PAGE analysis showed that the content of myosin heavy chain decreased significantly and that protein degradation occurred. Fourier transform infrared spectroscopy (FT-IR) and intrinsic fluorescence spectra suggested that alpha-helix motifs were transformed into beta-sheets and that more hydrophobic groups were exposed. The scanning electron microscopy (SEM) results showed that Antarctic krill meat formed corrugated folded regions after heat treatment without forming a three-dimensional water-entrapped structure, which led to significant water loss, resulting in rapid deterioration of Antarctic krill meat. These results provide the basis for a deeper understanding of the processing characteristics of Antarctic krill meat.</t>
  </si>
  <si>
    <t>[Sun, Peizi; Lin, Junxin; Ren, Xiang; Zhang, Biao; Liu, Jiaxin; Zhao, Yanfen; Li, Dongmei] Dalian Polytech Univ, Sch Food Sci &amp; Technol, Natl Engn Res Ctr Seafood, Dalian 116034, Liaoning, Peoples R China; [Li, Dongmei] Minist Educ China, Engn Res Ctr Seafood, Dalian 116034, Liaoning, Peoples R China; [Li, Dongmei] Dalian Polytech Univ, Collaborat Innovat Ctr Seafood Deep Proc, Dalian 116034, Liaoning, Peoples R China</t>
  </si>
  <si>
    <t>Li, DM (corresponding author), Dalian Polytech Univ, Sch Food Sci &amp; Technol, Natl Engn Res Ctr Seafood, Dalian 116034, Liaoning, Peoples R China.;Li, DM (corresponding author), Minist Educ China, Engn Res Ctr Seafood, Dalian 116034, Liaoning, Peoples R China.;Li, DM (corresponding author), Dalian Polytech Univ, Collaborat Innovat Ctr Seafood Deep Proc, Dalian 116034, Liaoning, Peoples R China.</t>
  </si>
  <si>
    <t>426417898@qq.com</t>
  </si>
  <si>
    <t>ren, xiang/HLQ-5068-2023; Zhang, Biao/ITT-6509-2023</t>
  </si>
  <si>
    <t>Zhang, Biao/0000-0001-8334-5175</t>
  </si>
  <si>
    <t>National Key Research and Development Project of China [2017YFD0400504]</t>
  </si>
  <si>
    <t>National Key Research and Development Project of China</t>
  </si>
  <si>
    <t>This work was supported by the National Key Research and Development Project of China (Grant No. 2017YFD0400504).</t>
  </si>
  <si>
    <t>1935-5130</t>
  </si>
  <si>
    <t>1935-5149</t>
  </si>
  <si>
    <t>FOOD BIOPROCESS TECH</t>
  </si>
  <si>
    <t>Food Bioprocess Technol.</t>
  </si>
  <si>
    <t>10.1007/s11947-022-02881-6</t>
  </si>
  <si>
    <t>4F8UA</t>
  </si>
  <si>
    <t>WOS:000834707200001</t>
  </si>
  <si>
    <t>Petherick, LM; Knight, J; Shulmeister, J; Bostock, H; Lorrey, A; Fitchett, J; Eaves, S; Vandergoes, MJ; Barrows, TT; Barrell, DJA; Eze, PN; Hesse, P; Jara, IA; Mills, S; Newnham, R; Pedro, J; Ryan, M; Saunders, KM; White, D; Rojas, M; Turney, C</t>
  </si>
  <si>
    <t>Petherick, Lynda M.; Knight, Jasper; Shulmeister, James; Bostock, Helen; Lorrey, Andrew; Fitchett, Jennifer; Eaves, Shaun; Vandergoes, Marcus J.; Barrows, Timothy T.; Barrell, David J. A.; Eze, Peter N.; Hesse, Paul; Jara, Ignacio A.; Mills, Stephanie; Newnham, Rewi; Pedro, Joel; Ryan, Matt; Saunders, Krystyna M.; White, Duanne; Rojas, Maisa; Turney, Chris</t>
  </si>
  <si>
    <t>An extended last glacial maximum in the Southern Hemisphere: A contribution to the SHeMax project</t>
  </si>
  <si>
    <t>Climate proxies; Global glaciation; Last glacial maximum; Palaeoclimatology; Southern Hemisphere</t>
  </si>
  <si>
    <t>SEA-SURFACE TEMPERATURES; LATE QUATERNARY POLLEN; EL-NINO/SOUTHERN-OSCILLATION; MADDEN-JULIAN-OSCILLATION; SOUTHWEST PACIFIC-OCEAN; DEEP ICE CORE; LATE PLEISTOCENE GLACIATION; NEW-ZEALAND PALEOCLIMATE; CENTRAL MAGELLAN-STRAIT; CHILEAN LAKE DISTRICT</t>
  </si>
  <si>
    <t>Proxy records from across the Southern Hemisphere show significant local to regional scale variability in climatic and environmental conditions during late Marine Isotope Stage 3 and early Marine Isotope Stage 2, prior to the global last glacial maximum (LGM; 26.5-19.0 kyr). Although not necessarily synchronous across the hemisphere, the regional signature of these pre-26.5 kyr 'events' suggests greater complexity of events preceding the global LGM in the Southern Hemisphere than in the North. Here we explore climatic and environmental variability across the Southern Hemisphere during two time-slices: 32 +/- 1 kyr (representing the period of Southern Hemisphere summer insolation minimum) and 21 +/- 1 kyr (representing the period of maximum global ice volume), based on previously published palaeoclimate proxy data. Temperatures were already approaching glacial levels across the Southern Hemisphere at 32 +/- 1 kyr and minimum temperatures were attained in many records at ~21 +/- 1 kyr. Furthermore, the descent into minimum temperatures occurred later in Antarctica than elsewhere in the Southern Hemisphere. Effective precipitation was more variable, with evidence for both increased and decreased moisture availability across the hemisphere during each time slice. The pattern of effective precipitation indicates that local factors likely played a more significant role in driving moisture availability compared to temperature. Our findings indicate that the onset of full-glacial conditions across the Southern Hemisphere occurred prior to the attainment of global maximum ice volume.</t>
  </si>
  <si>
    <t>[Petherick, Lynda M.; Eaves, Shaun; Newnham, Rewi] Victoria Univ Wellington, Sch Geog Environm &amp; Earth Sci, Wellington 6140, New Zealand; [Knight, Jasper; Fitchett, Jennifer] Univ Witwatersrand, Sch Geog Archaeol &amp; Environm Studies, ZA-2050 Johannesburg, South Africa; [Shulmeister, James] Univ Canterbury, Sch Earth &amp; Environm, Private Bag 4800, Christchurch, New Zealand; [Bostock, Helen; Lorrey, Andrew] Natl Inst Water &amp; Atmosphere, Auckland, New Zealand; [Bostock, Helen] Univ Queensland, Sch Earth &amp; Environm Sci, St Lucia, Australia; [Eaves, Shaun] Victoria Univ Wellington, Antarctic Res Ctr, Wellington 6140, New Zealand; [Vandergoes, Marcus J.; Barrell, David J. A.] Dunedin Res Ctr, GNS Sci, 764 Cumberland St, Dunedin 9016, New Zealand; [Barrows, Timothy T.; Mills, Stephanie] Univ Wollongong, Sch Earth Atmospher &amp; Life Sci, Wollongong, NSW 2522, Australia; [Barrows, Timothy T.] Univ Portsmouth, Sch Environm Geog &amp; Geosci, Portsmouth PO1 2UP, England; [Eze, Peter N.] Botswana Int Univ Sci &amp; Technol, Dept Earth &amp; Environm Sci, Palapye, Botswana; [Hesse, Paul] Macquarie Univ, Sch Nat Sci, Sydney, NSW 2109, Australia; [Jara, Ignacio A.] Univ Tarapaca, Dept Ciencias Hist &amp; Geog, Arica, Chile; [Pedro, Joel] Australian Antarctic Div, Hobart, Australia; [Ryan, Matt] Pattle Delamore Partners, Wellington 6140, New Zealand; [Saunders, Krystyna M.] Australian Nucl Sci &amp; Technol Org, Sydney, Australia; [Saunders, Krystyna M.] Univ Tasmania, Inst Marine &amp; Antarctic Studies, Hobart, Tas, Australia; [White, Duanne] Australian Natl Univ, Ctr Appl Water Sci, Canberra, Australia; [Rojas, Maisa] Univ Chile, Dept Geosci, Santiago, Chile; [Turney, Chris] Univ New South Wales, ARC Ctr Excellence Australian Biodivers &amp; Heritage, Sch Biol Earth &amp; Environm Sci, Sydney 2052, Australia</t>
  </si>
  <si>
    <t>Victoria University Wellington; University of Witwatersrand; University of Canterbury; National Institute of Water &amp; Atmospheric Research (NIWA) - New Zealand; University of Queensland; Victoria University Wellington; GNS Science - New Zealand; University of Wollongong; University of Portsmouth; Macquarie University; Universidad de Tarapaca; Australian Antarctic Division; Australian Nuclear Science &amp; Technology Organisation; University of Tasmania; Australian National University; Universidad de Chile; University of New South Wales Sydney</t>
  </si>
  <si>
    <t>Knight, J (corresponding author), Univ Witwatersrand, Sch Geog Archaeol &amp; Environm Studies, ZA-2050 Johannesburg, South Africa.</t>
  </si>
  <si>
    <t>jasper.knight@wits.ac.za</t>
  </si>
  <si>
    <t>Fitchett, Jennifer/ABE-7179-2021; Knight, Jasper/F-2288-2010; Shulmeister, James/J-2859-2015; Bostock, Helen/A-6834-2013; Eze, Peter N./AGU-1966-2022; Barrows, Timothy T/E-8471-2011; Saunders, Krystyna/G-1368-2019</t>
  </si>
  <si>
    <t>Fitchett, Jennifer/0000-0002-0854-1720; Knight, Jasper/0000-0003-2035-9056; Bostock, Helen/0000-0002-8903-8958; Eze, Peter N./0000-0003-4636-2843; White, Duanne/0000-0003-0740-2072; Barrows, Timothy T/0000-0003-2614-7177; Hesse, Paul/0000-0001-8709-2523; Saunders, Krystyna/0000-0002-6800-2630</t>
  </si>
  <si>
    <t>National Institute of Water and Atmosphere (NIWA); INQUA [1611P]; SHAPE IFG</t>
  </si>
  <si>
    <t>National Institute of Water and Atmosphere (NIWA); INQUA; SHAPE IFG</t>
  </si>
  <si>
    <t>The ongoing support of INQUA is gratefully acknowledged (project code #1611P), as is the support from the SHAPE IFG. Thanks also goes to the National Institute of Water and Atmosphere (NIWA) core-funded project Climate Present and Past for support towards the inaugural SHeMax workshop (December 2016) , which provided the foundation for this paper. This paper is dedicated to the memory and work of Dr. Lynda Petherick, a driving force behind the SHeMAX project and who wrote much of and coordinated this paper before her sudden death in February 2022. We also thank two anonymous reviewers of this paper for their comments, and the handling editor Dr. Alessandra Negri for helping us manage the process of paper revision.</t>
  </si>
  <si>
    <t>10.1016/j.earscirev.2022.104090</t>
  </si>
  <si>
    <t>2O0CA</t>
  </si>
  <si>
    <t>WOS:000818735700004</t>
  </si>
  <si>
    <t>McCarthy, JS; Wallace, SMN; Brown, KE; King, CK; Nielsen, UN; Allinson, G; Reichman, SM</t>
  </si>
  <si>
    <t>McCarthy, Jordan S.; Wallace, Stephanie M. N.; Brown, Kathryn E.; King, Catherine K.; Nielsen, Uffe N.; Allinson, Graeme; Reichman, Suzie M.</t>
  </si>
  <si>
    <t>Preliminary investigation of effects of copper on a terrestrial population of the antarctic rotifer Philodina sp</t>
  </si>
  <si>
    <t>CHEMOSPHERE</t>
  </si>
  <si>
    <t>Antarctica; Rotifer; Toxicity; Terrestrial; Copper; Cryptobiosis</t>
  </si>
  <si>
    <t>SOIL MICROBIAL COMMUNITIES; TEMPERATURE; RESPONSES; SENSITIVITY; ECOSYSTEMS; WATER</t>
  </si>
  <si>
    <t>Terrestrial microinvertebrates in Antarctica are potentially exposed to contaminants due to the concentration of human activity on ice-free areas of the continent. As such, knowledge of the response of Antarctic micro invertebrates to contaminants is important to determine the extent of anthropogenic impacts. Antarctic Philodina sp. were extracted from soils and mosses at Casey station, East Antarctica and exposed to aqueous Cu for 96 h. The Philodina sp. was sensitive to excess Cu, with concentrations of 36 mu g L-1 Cu (48 h) and 24 mu g L-1 Cu (96 h) inhibiting activity by 50%. This is the first study to be published describing the ecotoxicologically derived sensitivity of a rotifer from a terrestrial population to metals, and an Antarctic rotifer to contaminants. It is also the first study to utilise bdelloid rotifer cryptobiosis (chemobiosis) as a sublethal ecotoxicological endpoint. This preliminary investigation highlights the need for further research into the responses of terrestrial Antarctic microinvertebrates to contaminants.</t>
  </si>
  <si>
    <t>[McCarthy, Jordan S.; Wallace, Stephanie M. N.; Reichman, Suzie M.] Univ Melbourne, Ctr Anthropogen Pollut Impact &amp; Management CAPIM, Parkville, Vic 3010, Australia; [McCarthy, Jordan S.; Wallace, Stephanie M. N.; Reichman, Suzie M.] Univ Melbourne, Sch BioSci, Parkville, Vic 3010, Australia; [Brown, Kathryn E.; King, Catherine K.] Australian Antarctic Div, Environm Protect Program, Kingston, Tas 7050, Australia; [Nielsen, Uffe N.] Western Sydney Univ, Hawkesbury Inst Environm, Penrith, NSW 2751, Australia; [Allinson, Graeme] RMIT Univ, Sch Sci, Melbourne, Vic 3000, Australia</t>
  </si>
  <si>
    <t>University of Melbourne; University of Melbourne; Australian Antarctic Division; Western Sydney University; Melbourne Genomics Health Alliance; Royal Melbourne Institute of Technology (RMIT)</t>
  </si>
  <si>
    <t>Reichman, SM (corresponding author), Univ Melbourne, Sch BioSci, Parkville, Vic 3010, Australia.</t>
  </si>
  <si>
    <t>jordan.mccarthy@student.unimelb.edu.au; stephanie.wallacepolley@student.unimelb.edu.au; kathryn.brown@aad.gov.au; cath.king@aad.gov.au; u.nielsen@westernsydney.edu.au; gracmc.allinson@rmit.cdu.au; suzie.reichman@unimelb.edu.au</t>
  </si>
  <si>
    <t>Brown, Kathryn/AAE-9933-2021; Reichman, Suzie/L-2164-2017; King, Catherine/G-7059-2017</t>
  </si>
  <si>
    <t>Brown, Kathryn/0000-0002-9093-8742; McCarthy, Jordan/0000-0002-3564-9606; Reichman, Suzie/0000-0002-5110-5166; King, Catherine/0000-0003-3356-0381</t>
  </si>
  <si>
    <t>Australian Antarctic Division for research funding (Australian Antarctic Science (AAS)) [4450]; School of Engineering RMIT University; Faculty of Science University of Mel-bourne; Australian Antarctic Division (AAS grant) [4450]</t>
  </si>
  <si>
    <t>Australian Antarctic Division for research funding (Australian Antarctic Science (AAS)); School of Engineering RMIT University; Faculty of Science University of Mel-bourne(University of Melbourne); Australian Antarctic Division (AAS grant)</t>
  </si>
  <si>
    <t>The authors would like to thank the Australian Antarctic Division for research funding (Australian Antarctic Science (AAS) grant, project #4450) and logistical support for the 2018-19 field sampling season. We thank the management &amp; operations, particularly Station Leader Chris MacMillion and Operations Co-ordinator Jacque Comery. We thank our field training officers Maddie Ovens, Mic Rofe, and Mark Raymond for their guidance and expertise while sampling, and Chris Keller, Dave Lomas, and Wayde Maurer of Helicopter Resources for air transport to remote sampling sites. Thank you to Lauren Wise and Rebecca McWatters for their lab support while on station. We thank the School of Engineering RMIT University, Faculty of Science University of Mel-bourne, and Australian Antarctic Division (AAS grant, #4450) for JM's scholarship. We thank Mr. Stephen Grist (RMIT University) for assis-tance with ICP-MS analysis and Dr Babu Iyer for his general technical support at RMIT University.</t>
  </si>
  <si>
    <t>0045-6535</t>
  </si>
  <si>
    <t>1879-1298</t>
  </si>
  <si>
    <t>Chemosphere</t>
  </si>
  <si>
    <t>10.1016/j.chemosphere.2022.134413</t>
  </si>
  <si>
    <t>7V5JW</t>
  </si>
  <si>
    <t>WOS:000912850900002</t>
  </si>
  <si>
    <t>Sahri, A; Jak, C; Putra, MIH; Murk, AJ; Andrews-Goff, V; Double, MC; van Lammeren, RJ</t>
  </si>
  <si>
    <t>Sahri, Achmad; Jak, Charlotte; Putra, Mochamad Iqbal Herwata; Murk, Albertinka J.; Andrews-Goff, Virginia; Double, Michael C.; van Lammeren, Ron J.</t>
  </si>
  <si>
    <t>Telemetry-based home range and habitat modelling reveals that the majority of areas important for pygmy blue whales are currently unprotected</t>
  </si>
  <si>
    <t>Marine protected area; Marine spatial planning; Migration corridor; Pygmy blue whale; Balaenoptera musculus brevicauda; Species distribution model; Telemetry data</t>
  </si>
  <si>
    <t>MARINE PROTECTED AREAS; SPECIES DISTRIBUTION; BALAENOPTERA-MUSCULUS; CALIFORNIA; MOVEMENTS; SOUTH; INDONESIA; PATTERNS</t>
  </si>
  <si>
    <t>Marine migratory species tend to be overlooked in marine spatial planning due to limited knowledge of their habitats and migration pathways, resulting in a disconnect between animal migration ecology and spatial management decision making. The aim of this study was to predict the migratory corridors, suitable habitats and use of marine reserves by pygmy blue whales and overlap with marine traffic. Firstly, based on available telemetry data, we analysed the home ranges, core-use areas and migratory corridors using Brownian Bridge Movement Models. Secondly, we predicted suitable habitat by modelling telemetry data against environmental predictors using Maximum Entropy modelling; and lastly we geometrically overlaid home ranges and suitable habitats with designated migration lanes, marine protected areas and marine traffic. Consistent movement of pygmy blue whales from Western Australia to the Banda and Molucca Seas in Indonesia demonstrated a high level of connectivity between the two regions. There is a discrepancy between the designated migration lanes for large whales in Indonesian marine spatial planning and migration routes suggested by this study. The home range analysis and habitat models revealed that large areas of the migration corridors, core-use, and suitable habitats are currently not protected, particularly along international waters and within the Banda and Molucca Seas. The results can aid marine conservation planning by delineating the important areas and areas with high marine traffic density to optimise migratory species protection.</t>
  </si>
  <si>
    <t>[Sahri, Achmad; Murk, Albertinka J.] Wageningen Univ &amp; Res, Marine Anim Ecol Grp, Droevendaalsesteeg 1, NL-6708 PB Wageningen, Netherlands; [Sahri, Achmad] Natl Res &amp; Innovat Agcy, Res Ctr Oceanog, Jl Pasir Putih 1, Jakarta 14430, Indonesia; [Jak, Charlotte; van Lammeren, Ron J.] Wageningen Univ &amp; Res, Lab Geoinformat Sci &amp; Remote Sensing, POB 47, NL-6700 AA Wageningen, Netherlands; [Putra, Mochamad Iqbal Herwata] Konservasi Indonesia, Elasmobranch &amp; Charismat Species Program, Jl Pejaten Barat 16 A, Pasar Minggu 12550, Jakarta Selatan, Indonesia; [Andrews-Goff, Virginia; Double, Michael C.] Australian Marine Mammal Ctr, Australian Antarctic Div, 203 Channel Highway, Kingston, Tas 7050, Australia</t>
  </si>
  <si>
    <t>Wageningen University &amp; Research; Wageningen University &amp; Research; Australian Antarctic Division</t>
  </si>
  <si>
    <t>Sahri, A (corresponding author), Wageningen Univ &amp; Res, Marine Anim Ecol Grp, Droevendaalsesteeg 1, NL-6708 PB Wageningen, Netherlands.;Sahri, A (corresponding author), Natl Res &amp; Innovat Agcy, Res Ctr Oceanog, Jl Pasir Putih 1, Jakarta 14430, Indonesia.</t>
  </si>
  <si>
    <t>achmad.sahri@brin.go.id; mherwata@konservasi-id.org; tinka.murk@wur.nl; Virginia.Andrews-Goff@awe.gov.au; Mike.Double@aad.gov.au; ron.vanlammeren@wur.nl</t>
  </si>
  <si>
    <t>Murk, Albertinka/IUQ-2514-2023; Sahri, Achmad/HPB-6899-2023</t>
  </si>
  <si>
    <t>Sahri, Achmad/0000-0002-3778-7244; Andrews-Goff, Virginia/0000-0002-4609-7317; Murk, Albertinka/0000-0002-4881-4236</t>
  </si>
  <si>
    <t>Indonesia Endowment Fund for Education (LPDP) Scholarship from the Ministry of Finance of the Republic of Indonesia [PRJ482/LPDP.3/2017]</t>
  </si>
  <si>
    <t>Indonesia Endowment Fund for Education (LPDP) Scholarship from the Ministry of Finance of the Republic of Indonesia</t>
  </si>
  <si>
    <t>This work was financially supported by the Indonesia Endowment Fund for Education (LPDP) Scholarship from the Ministry of Finance of the Republic of Indonesia for the first author [contract number: PRJ482/LPDP.3/2017]. The authors thank Geert Aarts, Neftali Sillero, and Heather M. Williams for valuable inputs about habitat modelling and the anonymous reviewers who helped to improve the quality of this manuscript. The authors also thank the Ministry of Marine Affairs and Fisheries of the Republic of Indonesia for MPA shapefile data, and the Authority of National Aquatic Conservation Areas (BKKPN) KupangIndonesia for the map of designated migration lanes for large whales in Savu, Flores and Banda Seas.</t>
  </si>
  <si>
    <t>10.1016/j.biocon.2022.109594</t>
  </si>
  <si>
    <t>7T1DR</t>
  </si>
  <si>
    <t>WOS:000911188400002</t>
  </si>
  <si>
    <t>Liu, ZD; Lin, N; Gao, F</t>
  </si>
  <si>
    <t>Liu, Z. D.; Lin, N.; Gao, F.</t>
  </si>
  <si>
    <t>Acute and subacute oral toxicity evaluation of Antarctic krill protein in Kunming mice</t>
  </si>
  <si>
    <t>INTERNATIONAL FOOD RESEARCH JOURNAL</t>
  </si>
  <si>
    <t>Antarctic krill; protein; acute oral toxicity; subacute oral toxicity; safety assessment</t>
  </si>
  <si>
    <t>EUPHAUSIA-SUPERBA; SAFETY</t>
  </si>
  <si>
    <t>Antarctic krill (Euphausia superba) protein is widely acknowledged as a potential animal protein source due to its large biomass with excellent nutritional and utilisation properties. However, safety assessments of Antarctic krill protein (AKP) are highly warranted before its use as human food. The present work thus assessed the safety of AKP in a Kunming mice model through acute toxicity and a 28-day feeding study, where the Kunming mice were fed with AKP or control diets. In the acute toxicity study, a single oral dose of 10 g/kg bodyweight (BW) AKP caused no death or abnormal effects in male and female mice, and the bodyweight gain remained within the normal range. In the repeated dose 28-day oral toxicity study, AKP was orally administered to Kunming mice at the doses of 2.5, 5.0, and 10.0 g/kg BW/day for 28 days. The absolute and relative liver weight gained was only observed in the mice administered with high-dose of AKP. However, this increase was incidental as no weight gain or histopathological alterations were observed in the main groups. These findings were consistent with the normal background lesions in the clinically normal mice used in the present work, which were considered spontaneous and/or incidental in nature and unrelated to the treatment. These results demonstrated that AKP did not exert significant acute and subacute toxicity upon oral administration to Kunming mice. (C) All Rights Reserved</t>
  </si>
  <si>
    <t>[Liu, Z. D.; Lin, N.; Gao, F.] Chinese Acad Fishery Sci, East China Sea Fisheries Res Inst, Shanghai 200090, Peoples R China</t>
  </si>
  <si>
    <t>Chinese Academy of Fishery Sciences; East China Sea Fisheries Research Institute, CAFS</t>
  </si>
  <si>
    <t>Liu, ZD (corresponding author), Chinese Acad Fishery Sci, East China Sea Fisheries Res Inst, Shanghai 200090, Peoples R China.</t>
  </si>
  <si>
    <t>zd-liu@hotmail.com</t>
  </si>
  <si>
    <t>National Natural Science Foundation of China [31471687]; Central Public-interest Scientific Institution Basal Research Fund, CAFS [2020XT1201]; Shanghai Municipal Natural Science Foundation [13ZR1449900]; Key Project of Shanghai Agriculture Prosperity through Science and Technology [2015 (5-5)]</t>
  </si>
  <si>
    <t>National Natural Science Foundation of China(National Natural Science Foundation of China (NSFC)); Central Public-interest Scientific Institution Basal Research Fund, CAFS; Shanghai Municipal Natural Science Foundation; Key Project of Shanghai Agriculture Prosperity through Science and Technology</t>
  </si>
  <si>
    <t>The present work was financially supported by the National Natural Science Foundation of China (grant no.: 31471687), the Central Public-interest Scientific Institution Basal Research Fund, CAFS (grant no.: 2020XT1201), the Shanghai Municipal Natural Science Foundation (grant no.: 13ZR1449900), and the Key Project of Shanghai Agriculture Prosperity through Science and Technology [grant no.: 2015 (5-5)].</t>
  </si>
  <si>
    <t>UNIV PUTRA MALAYSIA PRESS</t>
  </si>
  <si>
    <t>SERDANG, SELANGOR, 00000, MALAYSIA</t>
  </si>
  <si>
    <t>1985-4668</t>
  </si>
  <si>
    <t>2231-7546</t>
  </si>
  <si>
    <t>INT FOOD RES J</t>
  </si>
  <si>
    <t>Int. Food Res. J.</t>
  </si>
  <si>
    <t>10.47836/ifrj.29.4.05</t>
  </si>
  <si>
    <t>6M6ZE</t>
  </si>
  <si>
    <t>WOS:000889012000005</t>
  </si>
  <si>
    <t>Lee, H; Johnston, N; Nieradzik, L; Orr, A; Mottram, RH; van de Berg, WJ; Mooney, PA</t>
  </si>
  <si>
    <t>Lee, Hanna; Johnston, Nadine; Nieradzik, Lars; Orr, Andrew; Mottram, Ruth H.; van de Berg, Willem Jan; Mooney, Priscilla A.</t>
  </si>
  <si>
    <t>Toward Effective Collaborations between Regional Climate Modeling and Impacts-Relevant Modeling Studies in Polar Regions</t>
  </si>
  <si>
    <t>Climate models; Decision making; Regional models; Societal impacts</t>
  </si>
  <si>
    <t>[Lee, Hanna; Mooney, Priscilla A.] NORCE Norwegian Res Ctr, Bjerknes Ctr Climate Res, Div Climate &amp; Environm, Bergen, Norway; [Johnston, Nadine; Orr, Andrew] NERC, British Antarctic Survey, Cambridge, England; [Nieradzik, Lars] Lund Univ, Dept Phys Geog &amp; Ecosyst Sci, Lund, Sweden; [Mottram, Ruth H.] Danish Meteorol Inst, Natl Ctr Climate Res, Copenhagen, Denmark; [van de Berg, Willem Jan] Univ Utrecht, Inst Marine &amp; Atmospher Res Utrecht, Utrecht, Netherlands</t>
  </si>
  <si>
    <t>Norwegian Research Centre (NORCE); Bjerknes Centre for Climate Research; UK Research &amp; Innovation (UKRI); Natural Environment Research Council (NERC); NERC British Antarctic Survey; Lund University; Danish Meteorological Institute DMI; Utrecht University</t>
  </si>
  <si>
    <t>Lee, H (corresponding author), NORCE Norwegian Res Ctr, Bjerknes Ctr Climate Res, Div Climate &amp; Environm, Bergen, Norway.</t>
  </si>
  <si>
    <t>hanna.lee@norceresearch.no</t>
  </si>
  <si>
    <t>van de Berg, Willem Jan/H-4385-2011</t>
  </si>
  <si>
    <t>van de Berg, Willem Jan/0000-0002-8232-2040; Johnston, Nadine M/0000-0003-2211-1492</t>
  </si>
  <si>
    <t>European Union's Horizon 2020 research and innovation framework programme [101003590]</t>
  </si>
  <si>
    <t>European Union's Horizon 2020 research and innovation framework programme</t>
  </si>
  <si>
    <t>This work was supported by the European Union's Horizon 2020 research and innovation framework programme (PolarRES, Grant Agreement 101003590). We thank all the participants of this workshop, particularly Dr. Xavier Levine for reviewing the final content of the meeting summary.</t>
  </si>
  <si>
    <t>E1866</t>
  </si>
  <si>
    <t>E1874</t>
  </si>
  <si>
    <t>10.1175/BAMS-D-22-0102.1</t>
  </si>
  <si>
    <t>6J2GT</t>
  </si>
  <si>
    <t>WOS:000886646700009</t>
  </si>
  <si>
    <t>Brandon, M; Goyet, C; Touratier, F; Lefèvre, N; Kestenare, E; Morrow, R</t>
  </si>
  <si>
    <t>Brandon, Margaux; Goyet, Catherine; Touratier, Franck; Lefevre, Nathalie; Kestenare, Elodie; Morrow, Rosemary</t>
  </si>
  <si>
    <t>Spatial and temporal variability of the physical, carbonate and CO2 properties in the Southern Ocean surface waters during austral summer (2005-2019)</t>
  </si>
  <si>
    <t>Southern ocean; Sea surface temperature and salinity; Carbonate system; Air-sea CO 2 flux; Spatial variability; Temporal variability</t>
  </si>
  <si>
    <t>DISSOLVED INORGANIC CARBON; AIR-SEA FLUXES; ANTHROPOGENIC CO2; SHELF CIRCULATION; ATLANTIC-OCEAN; PACIFIC SECTOR; INDIAN SECTOR; TIME-SERIES; SINK; TRENDS</t>
  </si>
  <si>
    <t>In situ measurements of sea surface temperature (SST), salinity (SSS), Total Alkalinity (AT) and Total Carbon (CT) were obtained during austral summer (mid-February to mid-March) from 2005 to 2019 in the Southern Ocean (SO), along a transect between Hobart, Tasmania and Dumont d'Urville French Antarctic Station. The studied transect is divided in four regions from North to South: the Subtropical Zone (STZ), the Subantarctic Region (SAR), the Antarctic Region (AAR) and the Coastal Antarctic Zone (CAZ). Latitudinal distribution of measured SST, SSS, AT, CT as well as calculated pH, CO2 parameters (seawater fugacity of CO2 (fCO2sw), difference between seawater and atmospheric fCO2 (Delta fCO2), CO2 flux (FCO2)) and satellite-derived Chlorophyll a (Chl-a) are dis-cussed. We show that the variability of physical and carbonate parameters in the STZ and north of the SAR are related to the mesoscale activity. In the CAZ, the freshwater inputs from sea-ice melting strongly impact the variability of all parameters. The comparison between physical and carbonate parameters highlights that AT and CT are directly related to the latitudinal variability of SST and SSS. Study of the CO2 parameters shows that the transect is a sink of CO2 during February and March, with a mean FCO2 of-4.0 +/- 2.8 mmol m- 2 d-1. The most negative values of FCO2 are found in the STZ and SAR north of 50 degrees S and in the AAR south of 62 degrees S, where biological activity is high. New simple empirical relationships are developed for AT from SST and SSS and for CT using SST, SSS and atmospheric fCO2 (fCO2atm) for the austral summer in the studied area. Using high resolution SSS and SST from the SURVOSTRAL program, trends of AT and CT are determined in the SAR and the AAR from 2005 to 2019. SST, SSS and AT increase over this period in the SAR, which might be explained by the southward migration of the Subtropical Front. In the AAR, no clear trend is detected. CT increases by 1.0 +/- 0.2 and 0.8 +/- 0.3 mu mol kg -1 yr- 1 in the SAR and AAR respectively. The trend in the AAR is attributed to the increase in anthropogenic CO2 emissions in the atmosphere while, in the SAR, hydrographic changes also contribute to the increase. Using the coefficient associated with fCO2atm in the equation of CT, we estimate the impact of atmo-spheric CO2 increase on CT at 1.18 +/- 0.14 mu mol kg -1 yr- 1 and 1.07 +/- 0.13 mu mol kg -1 yr- 1 in the SAR and AAR respectively. Decreases in pH are observed in both regions (-0.0018 +/- 0.0001 and-0.0026 +/- 0.0003 yr- 1 in the SAR and AAR respectively), indicating the sensitivity of surface waters in the area towards the development of ocean acidification processes under rising anthropogenic emissions.</t>
  </si>
  <si>
    <t>[Brandon, Margaux; Lefevre, Nathalie] Sorbonne Univ, CNRS, MNHN, IRD,LOCEAN,IPSL, 4 Pl Jussieu, F-75005 Paris, France; [Goyet, Catherine; Touratier, Franck] Univ Perpignan, Lab Images ESPACE DEV, Via Domitia, Perpignan, France; [Kestenare, Elodie; Morrow, Rosemary] Univ Toulouse III, LEGOS, CNRS, IRD,CNES, Toulouse, France</t>
  </si>
  <si>
    <t>Centre National de la Recherche Scientifique (CNRS); Institut de Recherche pour le Developpement (IRD); Universite Paris Cite; Sorbonne Universite; Museum National d'Histoire Naturelle (MNHN); Universite Perpignan Via Domitia; Universite de Toulouse; Universite Toulouse III - Paul Sabatier; Centre National de la Recherche Scientifique (CNRS); Institut de Recherche pour le Developpement (IRD); Laboratoire d'Etudes en Geophysique et oceanographie spatiales</t>
  </si>
  <si>
    <t>Brandon, M (corresponding author), Sorbonne Univ, CNRS, MNHN, IRD,LOCEAN,IPSL, 4 Pl Jussieu, F-75005 Paris, France.</t>
  </si>
  <si>
    <t>margaux.brandon@locean.ipsl.fr</t>
  </si>
  <si>
    <t>Brandon, Margaux/0000-0001-5256-3700</t>
  </si>
  <si>
    <t>European project ATLANTOS [633211]; French Institut Polaire Emile Victor (IPEV); Institut National des Sciences de l'Univers (INSU); CARbone AUStral Environmental Research Observatory (CARAUS); IPEV; ORE-SSS/LEGOS; CSIRO Marine and Atmospheric Research</t>
  </si>
  <si>
    <t>European project ATLANTOS; French Institut Polaire Emile Victor (IPEV); Institut National des Sciences de l'Univers (INSU); CARbone AUStral Environmental Research Observatory (CARAUS); IPEV; ORE-SSS/LEGOS; CSIRO Marine and Atmospheric Research(Commonwealth Scientific &amp; Industrial Research Organisation (CSIRO))</t>
  </si>
  <si>
    <t>M. Brandon post-doctoral contract was funded by the European project ATLANTOS (grant agreement 633211) . This work benefited from ICOS France project. The MINERVE program was supported by the French Institut Polaire Emile Victor (IPEV) as well as collaboration with Institut National des Sciences de l'Univers (INSU) and the CARbone AUStral Environmental Research Observatory (CARAUS) . The SST and SSS data from the SURVOSTRAL program were obtained with the support of the IPEV, the ORE-SSS/LEGOS, and the CSIRO Marine and Atmospheric Research. We are grateful to Alain Poisson, who initiated the MINERVE program. We also thank Dmitry Khvorostyanov for useful discussions on data analysis. Analyses of Chl-a concentration from MODIS Aqua used in this study were downloaded from the Giovanni online data system, developed and maintained by the NASA Goddard Earth Sciences (GES) Data and Information Services Center (DISC) .</t>
  </si>
  <si>
    <t>10.1016/j.dsr.2022.103836</t>
  </si>
  <si>
    <t>5Y3AS</t>
  </si>
  <si>
    <t>WOS:000879158600002</t>
  </si>
  <si>
    <t>Gonzalez-Fernandez, D; Hanke, G; Pogojeva, M; Machitadze, N; Kotelnikova, Y; Tretiak, I; Savenko, O; Bilashvili, K; Gelashvili, N; Fedorov, A; Kulagin, D; Terentiev, A; Slobodnik, J</t>
  </si>
  <si>
    <t>Gonzalez-Fernandez, D.; Hanke, G.; Pogojeva, M.; Machitadze, N.; Kotelnikova, Y.; Tretiak, I.; Savenko, O.; Bilashvili, K.; Gelashvili, N.; Fedorov, A.; Kulagin, D.; Terentiev, A.; Slobodnik, J.</t>
  </si>
  <si>
    <t>Floating marine macro litter in the Black Sea: Toward baselines for large scale assessment</t>
  </si>
  <si>
    <t>Marine pollution; Marine litter; Plastic litter; Floating marine macro litter; Monitoring; Black sea</t>
  </si>
  <si>
    <t>DEBRIS; MACROLITTER; ABUNDANCE</t>
  </si>
  <si>
    <t>The Black Sea is a semi-enclosed basin subject to major anthropogenic pressures, including marine litter and plastic pollution. Due to numerous large rivers draining into the basin and a population settled along the coast, the region could accumulate significant amounts of floating litter over time. Until now, only limited field data were available, and litter quantities and distribution remained unknown. In this study, floating marine macro litter (FMML) was assessed at the regional Black Sea scale for the first time, showing relatively high litter densities across the basin that reached a weighted mean of 81.5 items/km(2). Monitoring data revealed an accumulation of floating items offshore in the eastern part of the basin, resembling on a small scale a garbage patch', where litter items were trapped, showing elevated densities in comparison to their surrounding areas. Most of these items were made of plastic materials (ca. 96%) and included large numbers of plastic and poly-styrene fragments of small size ranges (2.5-10 cm). Harmonised field data collection through consistent and regular monitoring programmes across the region is essential to establish baselines and thresholds for large scale assessment at international level.</t>
  </si>
  <si>
    <t>[Gonzalez-Fernandez, D.] Univ Cadiz, Univ Marine Res Inst INMAR, Dept Biol, Puerto Real, Spain; [Gonzalez-Fernandez, D.] European Univ Seas, Puerto Real, Spain; [Hanke, G.] EC Joint Res Ctr, Ispra, Italy; [Pogojeva, M.; Terentiev, A.] Roshydromet, N N Zubovs State Oceanog Inst, Moscow, Russia; [Pogojeva, M.; Fedorov, A.; Kulagin, D.] Russian Acad Sci, Shirshov Inst Oceanol, Moscow, Russia; [Machitadze, N.; Bilashvili, K.; Gelashvili, N.] Iv Javakhishvili Tbilisi State Univ, Tbilisi, Georgia; [Kotelnikova, Y.; Tretiak, I.; Savenko, O.] Ukrainian Ctr Ecol Sea, Odessa, Ukraine; [Savenko, O.] Natl Antarctic Sci Ctr Ukraine, Kiev, Ukraine; [Slobodnik, J.] Environm Inst, Kos, Slovakia</t>
  </si>
  <si>
    <t>Universidad de Cadiz; European Commission Joint Research Centre; EC JRC ISPRA Site; Russian Academy of Sciences; Shirshov Institute of Oceanology; Ivane Javakhishvili Tbilisi State University; Ministry of Education &amp; Science of Ukraine; State Institution National Antarctic Scientific Center; Environmental Institute</t>
  </si>
  <si>
    <t>Gonzalez-Fernandez, D (corresponding author), Univ Cadiz, Univ Marine Res Inst INMAR, Dept Biol, Puerto Real, Spain.;Gonzalez-Fernandez, D (corresponding author), European Univ Seas, Puerto Real, Spain.</t>
  </si>
  <si>
    <t>daniel.gonzalez@uca.es</t>
  </si>
  <si>
    <t>Terentev, Aleksandr/JCD-8103-2023; González-Fernández, Daniel/O-7831-2017; Pogojeva, Maria/AAK-7811-2020; Kulagin, Dmitry N./E-3137-2014; Savenko, Oksana/ABI-4737-2020</t>
  </si>
  <si>
    <t>Terentev, Aleksandr/0000-0003-1489-2911; González-Fernández, Daniel/0000-0002-6958-7845; Pogojeva, Maria/0000-0002-4763-2422; Savenko, Oksana/0000-0001-6719-4602; Fedorov, Aleksei/0000-0003-4673-6649</t>
  </si>
  <si>
    <t>European Union [ENPI/2013/313-169, FEDER-UCA18-107247]; EMBLAS-II (Improving Environmental Monitoring in the Black Sea - Phase II) [ENPI/2013/313-169]; EMBLAS-Plus (Improving Environmental Monitoring in the Black Sea - Selected Measures) [FEDER-UCA18-107247]; European Union [ENPI/2013/313-169]; 2014-2020 ERDF Operational Programme; Department of Economy, Knowledge, Business and University of the Regional Government of Andalusia [ENI/2017/389-859]; [H2020-MSCA-IF-2018 846843-LitRivus]</t>
  </si>
  <si>
    <t>European Union(European Union (EU)); EMBLAS-II (Improving Environmental Monitoring in the Black Sea - Phase II); EMBLAS-Plus (Improving Environmental Monitoring in the Black Sea - Selected Measures); European Union(European Union (EU)); 2014-2020 ERDF Operational Programme; Department of Economy, Knowledge, Business and University of the Regional Government of Andalusia;</t>
  </si>
  <si>
    <t>The authors wish to thank the people and institutions involved in the EMBLAS-II (Improving Environmental Monitoring in the Black Sea - Phase II, ENPI/2013/313-169) and EMBLAS-Plus (Improving Environmental Monitoring in the Black Sea - Selected Measures, ENI/2017/389-859) projects. D. Gonzalez-Fernandez was supported by the European Union (H2020-MSCA-IF-2018 846843-LitRivus) and by the 2014-2020 ERDF Operational Programme and the Department of Economy, Knowledge, Business and University of the Regional Government of Andalusia: Project reference FEDER-UCA18-107247.</t>
  </si>
  <si>
    <t>10.1016/j.envpol.2022.119816</t>
  </si>
  <si>
    <t>5A3BU</t>
  </si>
  <si>
    <t>WOS:000862766000001</t>
  </si>
  <si>
    <t>Roseby, ZA; Smith, JA; Hillenbrand, CD; Cartigny, MJB; Rosenheim, BE; Hogan, KA; Allen, CS; Leventer, A; Kuhn, G; Ehrmann, W; Larter, RD</t>
  </si>
  <si>
    <t>Roseby, Zoe A.; Smith, James A.; Hillenbrand, Claus -Dieter; Cartigny, Matthieu J. B.; Rosenheim, Brad E.; Hogan, Kelly A.; Allen, Claire S.; Leventer, Amy; Kuhn, Gerhard; Ehrmann, Werner; Larter, Robert D.</t>
  </si>
  <si>
    <t>History of Anvers-Hugo Trough, western Antarctic Peninsula shelf, since the Last Glacial Maximum. Part I: Deglacial history based on new sedimentological and chronological data</t>
  </si>
  <si>
    <t>Antarctica; Antarctic Peninsula; Sedimentology-marine cores; Glaciation; Deglaciation; Radiocarbon dating; Last Glacial Maximum</t>
  </si>
  <si>
    <t>ICE-SHEET RETREAT; GROUNDING-ZONE WEDGES; SEASONAL DIATOM RECORD; AMUNDSEN SEA EMBAYMENT; ROSS-SEA; PINE ISLAND; PALMER-DEEP; GLACIOMARINE SEDIMENTATION; SEISMIC STRATIGRAPHY; CONTINENTAL-SHELF</t>
  </si>
  <si>
    <t>Reconstructing the advance and retreat of past ice sheets provides important long-term context for recent change(s) and enables us to better understand ice sheet responses to forcing mechanisms and external boundary conditions that regulate grounding line retreat. This study applies various radiocarbon dating techniques, guided by a detailed sedimentological analyses, to reconstruct the glacial history of Anvers-Hugo Trough (AHT), one of the largest bathymetric troughs on the western Antarctic Peninsula (WAP) shelf. Existing records from AHT indicate that the expanded Antarctic Peninsula Ice Sheet (APIS) advanced to, or close to, the continental shelf edge during the Last Glacial Maximum (LGM; 23-19 cal kyr BP [ 1/4 calibrated kiloyears before present]), with deglaciation of the outer shelf after-16.3 cal kyr BP. Our new chronological data show that the APIS had retreated to the middle shelf by-15.7 cal kyr BP. Over this 600-year interval, two large grounding-zone wedges (GZW) were deposited across the middle (GZW2) and inner shelf (GZW3), suggesting that their formation occurred on centennial rather than millennial timescales. Expanded sequences of sub-ice shelf sediments occur seaward of the inner GZW3, which suggests that the grounding line remained stationary for a prolonged period over the middle shelf. Grounding-line retreat rates indicate faster retreat across the outer to middle shelf compared to retreat across the middle to inner shelf. We suggest that variable retreat rates relate to the broad-scale morphology of the trough, which is characterised by a relatively smooth, retrograde seabed on the outer to middle shelf and rugged morphology with a locally landward shallowing bed and deep basin on the inner shelf. A slowdown in retreat rate could also have been promoted by convergent ice flow over the inner shelf and the availability of pinning points associated with bathymetric highs around Anvers Island and Hugo Island.(C) 2022 The Authors. Published by Elsevier Ltd.</t>
  </si>
  <si>
    <t>[Roseby, Zoe A.; Smith, James A.; Hillenbrand, Claus -Dieter; Hogan, Kelly A.; Allen, Claire S.; Larter, Robert D.] British Antarctic Survey, Cambridge CB3 0ET, England; [Roseby, Zoe A.] Univ Southampton, Sch Ocean &amp; Earth Sci, Southampton SO14 3ZH, England; [Roseby, Zoe A.] Natl Oceanog Ctr, Marine Geosci, Southampton SO14 3ZH, England; [Cartigny, Matthieu J. B.] Univ Durham, Dept Geog, Durham DH1 3LE, England; [Rosenheim, Brad E.] Univ S Florida, Coll Marine Sci, 140 7th Ave S, St Petersburg, FL 33701 USA; [Leventer, Amy] Colgate Univ, 13 Oak Dr, Hamilton, NY 13346 USA; [Kuhn, Gerhard] Alfred Wegener Inst Helmholtz Zentrum Polar &amp; Meer, Marine Geol, Alten Hafen 26, D-27568 Bremerhaven, Germany; [Ehrmann, Werner] Univ Leipzig, Inst Geophys &amp; Geol, Talstr 35, D-04103 Leipzig, Germany; [Roseby, Zoe A.] Trinity Coll Dublin, Sch Nat Sci, Dublin, Ireland</t>
  </si>
  <si>
    <t>UK Research &amp; Innovation (UKRI); Natural Environment Research Council (NERC); NERC British Antarctic Survey; NERC National Oceanography Centre; University of Southampton; NERC National Oceanography Centre; Durham University; State University System of Florida; University of South Florida; Colgate University; Leipzig University; Trinity College Dublin</t>
  </si>
  <si>
    <t>Roseby, ZA (corresponding author), Univ Southampton, Sch Ocean &amp; Earth Sci, Southampton SO14 3ZH, England.</t>
  </si>
  <si>
    <t>Kuhn, Gerhard/0000-0001-6069-7485; Leventer, Amy/0000-0001-9401-0987</t>
  </si>
  <si>
    <t>Natural Environment Research Council [NE/L002531/1, NE/J006548/1]; International Association of Sedimentologists, Trans -Antarctic Association; British Sedimentological Research Group; Alfred Wegener Institute; Collaborative Antarctic Science Scheme; Royal Society; A4 project - Irish Marine Research Programme [PBA/CC/18/01]; Quaternary Research Association; Helmholtz Centre for Polar and Marine Research (AWI)</t>
  </si>
  <si>
    <t>Natural Environment Research Council(UK Research &amp; Innovation (UKRI)Natural Environment Research Council (NERC)); International Association of Sedimentologists, Trans -Antarctic Association; British Sedimentological Research Group; Alfred Wegener Institute; Collaborative Antarctic Science Scheme; Royal Society(Royal Society); A4 project - Irish Marine Research Programme; Quaternary Research Association; Helmholtz Centre for Polar and Marine Research (AWI)</t>
  </si>
  <si>
    <t>This work was supported by the Natural Environment Research Council (grant number NE/L002531/1 and NE/J006548/1) . Z. Roseby acknowledges further support from the International Association of Sedimentologists, Trans -Antarctic Association, British Sedimentological Research Group, Quaternary Research Association and the Alfred Wegener Institute, Helmholtz Centre for Polar and Marine Research (AWI) . M. Cartigny was support by a Collaborative Antarctic Science Scheme and a Research Fellowship form the Royal Society. This manuscript was additionally supported by the A4 project (Grant -Aid Agreement No. PBA/CC/18/01) funded under the Irish Marine Research Programme. We are grateful to the captains, of ficers, crew, support staff and scientists who participated in cruise JR284, as well as staff at the British Ocean Sediment Core Research Facility (BOSCORF, Southampton, UK) and Intertek NDT (Derby) . We wish to thank and acknowledge M. Edwards, S. MacLachlan, D. Peck, C. Subt, R. Venturelli, L. Freeman, R. Frohlking- Teichert, B. J. Barrett, S. Wiebe and A. McNichol for their expert technical assistance and advice and Kathy Licht and Sara Benetti for their constructive reviews.</t>
  </si>
  <si>
    <t>10.1016/j.quascirev.2022.107590</t>
  </si>
  <si>
    <t>WOS:000861231300002</t>
  </si>
  <si>
    <t>Cyriac, A; Phillips, HE; Bindoff, NL; Polzin, K</t>
  </si>
  <si>
    <t>Cyriac, Ajitha; Phillips, Helen E.; Bindoff, Nathaniel L.; Polzin, Kurt</t>
  </si>
  <si>
    <t>Turbulent Mixing Variability in an Energetic Standing Meander of the Southern Ocean</t>
  </si>
  <si>
    <t>Diapycnal mixing; Eddies; Fronts; Inertia-gravity waves; Ocean dynamics</t>
  </si>
  <si>
    <t>ANTARCTIC CIRCUMPOLAR CURRENT; INTERNAL WAVES; FINESCALE PARAMETERIZATIONS; PART I; WIND; MESOSCALE; TIDE; DISSIPATION; TRANSPORT; BALANCE</t>
  </si>
  <si>
    <t>This study presents novel observational estimates of turbulent dissipation and mixing in a standing meander between the Southeast Indian Ridge and the Macquarie Ridge in the Southern Ocean. By applying a finescale parameterization on the temperature, salinity, and velocity profiles collected from Electromagnetic Autonomous Profiling Explorer (EM-APEX) floats in the upper 1600 m, we estimated the intensity and spatial distribution of dissipation rate and diapycnal mixing along the float tracks and investigated the sources. The indirect estimates indicate strong spatial and temporal variability of turbulent mixing varying from O(10(-6)) to O(10(-3)) m(2) s(-1) in the upper 1600 m. Elevated turbulent mixing is mostly associated with the Subantarctic Front (SAF) and mesoscale eddies. In the upper 500 m, enhanced mixing is associated with downward-propagating wind-generated near-inertial waves as well as the interaction between cyclonic eddies and upward-propagating internal waves. In the study region, the local topography does not play a role in turbulent mixing in the upper part of the water column, which has similar values in profiles over rough and smooth topography. However, both remotely generated internal tides and lee waves could contribute to the upward-propagating energy. Our results point strongly to the generation of turbulent mixing through the interaction of internal waves and the intense mesoscale eddy field.</t>
  </si>
  <si>
    <t>[Cyriac, Ajitha; Phillips, Helen E.; Bindoff, Nathaniel L.] Univ Tasmania, Inst Marine &amp; Antarctic Studies, Hobart, Tas, Australia; [Phillips, Helen E.; Bindoff, Nathaniel L.] Univ Tasmania, Australian Antarctic Program Partnership, Hobart, Tas, Australia; [Phillips, Helen E.] Univ Tasmania, Australian Ctr Excellence Antarctic Sci, Hobart, Tas, Australia; [Cyriac, Ajitha; Bindoff, Nathaniel L.] ARC Ctr Excellence Climate Extremes, Hobart, Tas, Australia; [Bindoff, Nathaniel L.] CSIRO Marine &amp; Atmospher Res, Hobart, Tas, Australia; [Polzin, Kurt] Woods Hole Oceanog Inst, Dept Phys Oceanog, Woods Hole, MA USA</t>
  </si>
  <si>
    <t>University of Tasmania; University of Tasmania; University of Tasmania; Commonwealth Scientific &amp; Industrial Research Organisation (CSIRO); Woods Hole Oceanographic Institution</t>
  </si>
  <si>
    <t>Cyriac, A (corresponding author), Univ Tasmania, Inst Marine &amp; Antarctic Studies, Hobart, Tas, Australia.;Cyriac, A (corresponding author), ARC Ctr Excellence Climate Extremes, Hobart, Tas, Australia.</t>
  </si>
  <si>
    <t>ajitha.cyriac@utas.edu.au</t>
  </si>
  <si>
    <t>Phillips, Helen/0000-0002-2941-7577; Cyriac, Ajitha/0000-0001-6149-740X</t>
  </si>
  <si>
    <t>Australian Research Council Discovery Project [DP170102162]; Australia's Marine National Facility; Australian Research Council Postdoctoral Fellowship; Australian Government Department of the Environment and Energy National Environmental Science Program; ARC Centre of Excellence in Climate Extremes; National Science Foundation</t>
  </si>
  <si>
    <t>Australian Research Council Discovery Project(Australian Research Council); Australia's Marine National Facility; Australian Research Council Postdoctoral Fellowship(Australian Research Council); Australian Government Department of the Environment and Energy National Environmental Science Program; ARC Centre of Excellence in Climate Extremes; National Science Foundation(National Science Foundation (NSF))</t>
  </si>
  <si>
    <t>We thank the scientists, student volunteers, and crew from the IN2018-V05 voyage on board the R/V Investigator. The observations were funded through grants from the Australian Research Council Discovery Project (DP170102162) and Australia's Marine National Facility. Surface drifters were provided by Dr. Shaun Dolk of the Global Drifter Program. AC was supported by an Australian Research Council Postdoctoral Fellowship. AC, HEP, and NLB acknowledge support from the Australian Government Department of the Environment and Energy National Environmental Science Program and the ARC Centre of Excellence in Climate Extremes. KP acknowledges the support from the National Science Foundation.</t>
  </si>
  <si>
    <t>10.1175/JPO-D-21-0180.1</t>
  </si>
  <si>
    <t>4F3US</t>
  </si>
  <si>
    <t>Bronze, Green Submitted</t>
  </si>
  <si>
    <t>WOS:000848440200001</t>
  </si>
  <si>
    <t>Stanley, GJ; Marshall, DP</t>
  </si>
  <si>
    <t>Stanley, Geoffrey J.; Marshall, David P.</t>
  </si>
  <si>
    <t>Why Mean Potential Vorticity Cannot Be Materially Conserved in the Eddying Southern Ocean</t>
  </si>
  <si>
    <t>Southern Ocean; Eddies; Ocean dynamics; Potential vorticity</t>
  </si>
  <si>
    <t>ANTARCTIC CIRCUMPOLAR CURRENT; OBSCURANTIST PHYSICS; FORM DRAG; TRACER TRANSPORTS; CIRCULATION; VELOCITY; MODEL; DERIVATION; EQUATIONS; CURRENTS</t>
  </si>
  <si>
    <t>Downstream of Drake Passage, the Antarctic Circumpolar Current (ACC) veers abruptly northward along the continental slope of South America. This spins down the ACC, akin to the western boundary currents of ocean gyres. During this northward excursion, the mean potential vorticity (PV) increases dramatically (decreases in magnitude) by up to a factor of 2 along mean geostrophic streamlines on middepth buoyancy surfaces. This increase is driven by drag near the continental slope, or by breaking eddies further offshore, and is balanced by a remarkably steady, eddy-driven decrease of mean PV along these northern circumpolar streamlines in the open ocean. We show how two related eddy processes that are fundamental to ACC dynamics-poleward buoyancy fluxes and downward fluxes of eastward momentum-are also concomitant with materially forcing PV to increase on the northern flank of a jet at middepth, and decrease on the southern flank. For eddies to drive the required mean PV decrease along northern streamlines, the ACC merges with the subtropical gyres to the north, so these streamlines inhabit the southern flanks of the combined ACC-gyre jets. We support these ideas by analyzing the time-mean PV and its budget along time-mean geostrophic streamlines in the Southern Ocean State Estimate. Our averaging formalism is Eulerian, to match the model's numerics. The thickness-weighted average is preferable, but its PV budget cannot be balanced using Eulerian 5-day averaged diagnostics, primarily because the z-level buoyancy and continuity equations' delicate balances are destroyed upon transformation into the buoyancy-coordinate thickness equation. Significance StatementThe Antarctic Circumpolar Current is the world's largest ocean current and a key controller of Earth's climate. As the westerly winds that drive this current shift poleward under global warming, it is vital to know whether the current will follow. To begin addressing this, we study the current's fundamental dynamics, and constraints, under present-day conditions. By analyzing angular momentum and stratification together, we show that the current is weakened near boundaries and strengthened by eddies elsewhere. The strengthening effects of eddies are isolated to the current by merging the current with oceanic gyres to the north. This gives a new perspective on why the current travels so far northward alongside South America, and may provide dynamical constraints on future changes.</t>
  </si>
  <si>
    <t>[Stanley, Geoffrey J.] Univ New South Wales, Sch Math &amp; Stat, Sydney, NSW, Australia; [Stanley, Geoffrey J.; Marshall, David P.] Univ Oxford, Dept Phys, Oxford, England</t>
  </si>
  <si>
    <t>University of New South Wales Sydney; University of Oxford</t>
  </si>
  <si>
    <t>Stanley, GJ (corresponding author), Univ New South Wales, Sch Math &amp; Stat, Sydney, NSW, Australia.;Stanley, GJ (corresponding author), Univ Oxford, Dept Phys, Oxford, England.</t>
  </si>
  <si>
    <t>g.stanley@unsw.edu.au</t>
  </si>
  <si>
    <t>Marshall, David Philip/B-6767-2009; Stanley, Geoffrey/HCI-9874-2022</t>
  </si>
  <si>
    <t>Marshall, David Philip/0000-0002-5199-6579; Stanley, Geoffrey/0000-0003-4536-8602</t>
  </si>
  <si>
    <t>Clarendon Fund; Canadian Alumni Scholarship at Linacre College, Oxford; Australian Research Council [FL150100090]; Natural Environment Research Council [NE/R000999/1]; NERC [NE/R000999/1] Funding Source: UKRI</t>
  </si>
  <si>
    <t>Clarendon Fund; Canadian Alumni Scholarship at Linacre College, Oxford; Australian Research Council(Australian Research Council); Natural Environment Research Council(UK Research &amp; Innovation (UKRI)Natural Environment Research Council (NERC)); NERC(UK Research &amp; Innovation (UKRI)Natural Environment Research Council (NERC))</t>
  </si>
  <si>
    <t>We thank Ed Doddridge, Ryan Holmes, Chris Hughes, Matt Mazloff, Trevor McDougall, Jan Zika, and two reviewers for helpful discussions. GJS acknowledges partial support from the Clarendon Fund and the Canadian Alumni Scholarship at Linacre College, Oxford, and from the Australian Research Council though Grant FL150100090. DPM acknowledges the partial support of the Natural Environment Research Council, NE/R000999/1</t>
  </si>
  <si>
    <t>10.1175/JPO-D-21-0195.1</t>
  </si>
  <si>
    <t>WOS:000848440200003</t>
  </si>
  <si>
    <t>Wang, HR; Yu, CQ; Huo, ZP; Gao, HF; Jiang, W</t>
  </si>
  <si>
    <t>Wang, Hairong; Yu, Chengqian; Huo, Zhipeng; Gao, Hongfang; Jiang, Wen</t>
  </si>
  <si>
    <t>EFFECTS OF THE COUPLING BETWEEN SLOPE MORPHOLOGY AND BOTTOM CURRENTS ON FLOW EROSION AND SEDIMENTATION AT THE DONGSHA CONTINENTAL MARGIN, SOUTH CHINA SEA</t>
  </si>
  <si>
    <t>JOURNAL OF SEDIMENTARY RESEARCH</t>
  </si>
  <si>
    <t>ANTARCTIC PENINSULA; DEEP-WATER; PACIFIC MARGIN; NORTHERN SLOPE; SAND DUNES; EVOLUTION; WAVES; GULF; OFFSHORE; CADIZ</t>
  </si>
  <si>
    <t>The Dongsha Continental Margin (DCM) projects seaward and is situated in the path of bottom currents coming through the only deep-water exchange passage, the Luzon Strait between the South China Sea (SCS) and the western Pacific Ocean. This provides an opportunity to observe the different interaction between the two wings of the convex margin and the bottom currents, and help understand the corresponding implications for provenance, debris transportation, and sedimentation in such an environment. The convexity of the DCM causes its eastern flank to shrink against upcoming bottom currents and internal solitary waves (ISWs), producing a funneling effect and forming strong erosion grooves or strips, remnant seamounts, and large seafloor coarse debris dunes. The concavity of the western flank induces the expansion of bottom currents that flow around the plateau, resulting in a depositional zone with weak erosion that mainly interacts with bottom currents and gravity flow. The strong erosion on the DCM caused by the bottom current forms the primary provenance of the deep-water environment, while the nepheloid layer that entraps the fine debris of the gravity flow that derives from Taiwan and that is transported by the bottom current is the secondary provenance. The different coupling patterns between the bottom currents and the two flanks determine the different modes of debris transportation and deposition. Debris eroded by the currents is mainly transported by the gravity flow on the eastern flank while sweeping of the outer shelf and upper slope by eddy currents, progradation of the gravity flow, and reworking by the bottom current mainly occur on the western flank. Two types of morphological breaks, namely, continental slope break and bottom-current slope break, have developed on the DCM. They control the evolution of the flow regime of the multi-layer bottom currents and the gravity flow of the DCM as well as the effects of erosion and deposition. These two types of slope breaks are coupled and form an area in front of Dongsha Island with the highest deposition rate in the SCS.</t>
  </si>
  <si>
    <t>[Wang, Hairong; Yu, Chengqian; Jiang, Wen] China Univ Geosci, Sch Energy Resources, Beijing 100083, Peoples R China; [Wang, Hairong; Yu, Chengqian; Jiang, Wen] China Univ Geosci, Key Lab Strategy Evaluat Shale Gas, Minist Land &amp; Resources, Beijing 100083, Peoples R China; [Huo, Zhipeng] Northeastern Univ Qinhuangdao, Sch Resources &amp; Mat, Qinhuangdao 066004, Peoples R China; [Gao, Hongfang] Guangzhou Marine Geol Survey, Guangzhou 510098, Peoples R China</t>
  </si>
  <si>
    <t>China University of Geosciences; Ministry of Natural Resources of the People's Republic of China; Northeastern University - China; China Geological Survey; Guangzhou Marine Geological Survey</t>
  </si>
  <si>
    <t>Wang, HR (corresponding author), China Univ Geosci, Sch Energy Resources, Beijing 100083, Peoples R China.;Wang, HR (corresponding author), China Univ Geosci, Key Lab Strategy Evaluat Shale Gas, Minist Land &amp; Resources, Beijing 100083, Peoples R China.</t>
  </si>
  <si>
    <t>huozhipeng521@163.com</t>
  </si>
  <si>
    <t>Chengqian, Yu/0000-0002-1833-8056</t>
  </si>
  <si>
    <t>SEPM-SOC SEDIMENTARY GEOLOGY</t>
  </si>
  <si>
    <t>TULSA</t>
  </si>
  <si>
    <t>6128 EAST 38TH ST, STE 308, TULSA, OK 74135-5814 USA</t>
  </si>
  <si>
    <t>1527-1404</t>
  </si>
  <si>
    <t>1938-3681</t>
  </si>
  <si>
    <t>J SEDIMENT RES</t>
  </si>
  <si>
    <t>J. Sediment. Res.</t>
  </si>
  <si>
    <t>10.2110/jsr.2021.097</t>
  </si>
  <si>
    <t>4U6AW</t>
  </si>
  <si>
    <t>WOS:000858875300003</t>
  </si>
  <si>
    <t>Izhitskiy, AS; Romanova, ND; Vorobieva, OV; Frey, DI</t>
  </si>
  <si>
    <t>Izhitskiy, A. S.; Romanova, N. D.; Vorobieva, O. V.; Frey, D., I</t>
  </si>
  <si>
    <t>Impact of Ice Melting on Oceanographic and Hydrobiological Characteristics of Surface Waters in the Powell Basin, Weddell Sea, in January-February 2020</t>
  </si>
  <si>
    <t>melt water; stratification; vertical stability; freshening; fluorescence peak; chlorophyll; Powell Basin; Weddell Sea; Antarctica</t>
  </si>
  <si>
    <t>ANTARCTIC PENINSULA</t>
  </si>
  <si>
    <t>The variability of sea ice in the Weddell Sea, along with melting of glaciers of the Antarctic Peninsula and ice shelves, determines the volumes of melt water entering the water area, which, among other things, affects the hydrophysical conditions of phytoplankton development. Based on the materials of a scientific cruise carried out in the Powell Basin in January-February 2020, the spatial distribution of melt water content and its influence on the hydrophysical structure of the surface layer, the vertical distribution of fluorescence values and, the content of chlorophyll a were investigated. Areas with the highest freshening were identified in the eastern part of the Powell Basin (shelf of the South Orkney Islands) and in the southwestern part of the basin in the area of ice removal from the Weddell Sea to the north. The least freshening was recorded in the northwestern part of the Powell Basin. It is shown that the distribution of melt water was the main factor enhancing the vertical stability of the surface layer. An increase in vertical stability led to the formation of hydrophysical environmental conditions preventing vertical mixing, which affected the development of phytoplankton communities, namely, their concentration within a limited depth range in the surface layer. In the absence of other factors limiting phytoplankton development in these, well-shown peaks of chlorophyll concentration in the 0-50 m layer were formed. These zones included the shelf area of the South Orkney Islands and northern boundary of the Powell Basin. In areas with an insignificant freshening effect, the fluorescence peaks were diffuse; the phytoplankton community developed in a wider depth range of the surface layer.</t>
  </si>
  <si>
    <t>[Izhitskiy, A. S.; Romanova, N. D.; Frey, D., I] Russian Acad Sci, Shirshov Inst Oceanol, Moscow, Russia; [Vorobieva, O. V.] Russian Fed Res Inst Fisheries &amp; Oceanog, Moscow, Russia; [Vorobieva, O. V.] Moscow MV Lomonosov State Univ, Dept Biol, Moscow, Russia; [Frey, D., I] Russian Acad Sci, Marine Hydrophys Inst, Sevastopol, Crimea, Ukraine</t>
  </si>
  <si>
    <t>Russian Academy of Sciences; Shirshov Institute of Oceanology; Research lnstitute of Fisheries &amp; Oceanography; Lomonosov Moscow State University; Russian Academy of Sciences</t>
  </si>
  <si>
    <t>Izhitskiy, AS (corresponding author), Russian Acad Sci, Shirshov Inst Oceanol, Moscow, Russia.</t>
  </si>
  <si>
    <t>izh@ocean.ru</t>
  </si>
  <si>
    <t>Воробьева, Ольга/J-9194-2016; Izhitskiy, Alexander S/E-6914-2014</t>
  </si>
  <si>
    <t>Izhitskiy, Alexander S/0000-0001-6156-6460; vorob'eva, ol'ga/0000-0003-4265-892X</t>
  </si>
  <si>
    <t>Russian Federation [MK-1492.2021.1.5, 0128-2021-0017]; Russian Science Foundation [21-77-20004]</t>
  </si>
  <si>
    <t>Russian Federation(Russian Federation); Russian Science Foundation(Russian Science Foundation (RSF))</t>
  </si>
  <si>
    <t>The study was carried out under a state task (topic no. 0128-2021-0017). Processing of hydrophysical data was supported by a grant of the President of the Russian Federation (MK-1492.2021.1.5). The data for the analysis of the thermohaline structure were collected on a cruise of the R/V Akademik Mstislav Keldysh with the support of the Russian Science Foundation (grant no. 21-77-20004).</t>
  </si>
  <si>
    <t>10.1134/S0001437022040154</t>
  </si>
  <si>
    <t>4O7HY</t>
  </si>
  <si>
    <t>WOS:000854865300001</t>
  </si>
  <si>
    <t>Ivanova, EV; Borisov, DG; Demidov, AN; Dmitrevskiy, NN; Shulga, NA; Dufour, A; Krasheninnikova, SB; Kirillova, OI; Drobosuk, NS</t>
  </si>
  <si>
    <t>Ivanova, E., V; Borisov, D. G.; Demidov, A. N.; Dmitrevskiy, N. N.; Shulga, N. A.; Dufour, A.; Krasheninnikova, S. B.; Kirillova, O., I; Drobosuk, N. S.</t>
  </si>
  <si>
    <t>Investigations of Lateral Sedimentation and Water Mass Properties in the Tropical Atlantic during Cruise 60 of the R/V Akademik Ioffe</t>
  </si>
  <si>
    <t>Mid-Atlantic Ridge; Antarctic Bottom Water; transform faults; lateral sedimentation</t>
  </si>
  <si>
    <t>Herein we provide information on the integrated geological, geophysical, sedimentological, and hydrophysical investigations and passing meteorological and biological observations, as well as on the surface hydrobiological sampling in the Tropical Atlantic during cruise 60 (leg 2) of the R/V Akademik Ioffe in December 2021 to February 2022. The preliminary scientific results are discussed.</t>
  </si>
  <si>
    <t>[Ivanova, E., V; Borisov, D. G.; Dmitrevskiy, N. N.; Shulga, N. A.; Dufour, A.; Kirillova, O., I; Drobosuk, N. S.] Russian Acad Sci, Shirshov Inst Oceanol, Moscow, Russia; [Demidov, A. N.; Drobosuk, N. S.] Moscow MV Lomonosov State Univ, Dept Geog, Moscow, Russia; [Krasheninnikova, S. B.] Russian Acad Sci, Inst Biol Southern Seas, Sevastopol, Russia</t>
  </si>
  <si>
    <t>Russian Academy of Sciences; Shirshov Institute of Oceanology; Lomonosov Moscow State University; Russian Academy of Sciences; AO Kovalevsky Institute of Biology of the Southern Seas of RAS (IBSS)</t>
  </si>
  <si>
    <t>Ivanova, EV (corresponding author), Russian Acad Sci, Shirshov Inst Oceanol, Moscow, Russia.</t>
  </si>
  <si>
    <t>e_v_ivanova@ocean.ru</t>
  </si>
  <si>
    <t>Borisov, Dmitrii/Y-9194-2019; Shulga, Natalia/R-4687-2016</t>
  </si>
  <si>
    <t>Borisov, Dmitrii/0000-0001-8109-6603; Krasheninnikova, Svetlana/0000-0003-0777-233X</t>
  </si>
  <si>
    <t>IO RAS [0128-2021-0005, 0128-2021-0006, 0128-2021-0003, 0128-2021-0008, 0128-2021-0015, 0128-2021-0016]; MSU [121031900090-6]; IBSS RAS [0556-2021-0003]; Russian Science Foundation [RSF 19-17-00110]</t>
  </si>
  <si>
    <t>IO RAS; MSU; IBSS RAS; Russian Science Foundation(Russian Science Foundation (RSF))</t>
  </si>
  <si>
    <t>The expedition was funded by State Assignments nos. 0128-2021-0005, 0128-2021-0006, 0128-2021-0003, 0128-2021-0008, 0128-2021-0015, and 0128-2021-0016 of IO RAS, State Assignments nos. 121031900090-6 of MSU, and 0556-2021-0003 of IBSS RAS, and the Russian Science Foundation, project no. RSF 19-17-00110. Ship time was paid at the expense of the State Assignment of the Ministry of Science and Education.</t>
  </si>
  <si>
    <t>10.1134/S000143702204004X</t>
  </si>
  <si>
    <t>WOS:000854865300018</t>
  </si>
  <si>
    <t>Huai, BJ; Ding, MH; Ai, ST; Sun, WJ; Wang, YT; Gao, JJ</t>
  </si>
  <si>
    <t>Huai, Baojuan; Ding, Minghu; Ai, Songtao; Sun, Weijun; Wang, Yetang; Gao, Jiajia</t>
  </si>
  <si>
    <t>Glacial Debris Flow Blockage Event (2018) in the Sedongpu Basin of the Yarlung Zangbo River, China: Occurrence Factors and Its Implications</t>
  </si>
  <si>
    <t>LAND</t>
  </si>
  <si>
    <t>glacier hazards; ice avalanches; river blockage; climate change; Sedongpu basin; Yarlung Zangbo River</t>
  </si>
  <si>
    <t>CLIMATE-CHANGE; MOUNT EVEREST; COLLAPSE; REGION; COVER</t>
  </si>
  <si>
    <t>In this paper, the glacial debris flow blockage event, on 17 October 2018, in the Sedongpu basin of the Yarlung Zangbo River is taken as an example to analyse the occurrence and development of glacier hazards in this region. Multi-sources including remote sensing products, DEM, earthquake records and meteorological data were used to analyse the characteristics and mechanism of glacier hazards. The Elmer/Ice dynamic model was chosen to simulate the glacial surface velocity. It was found that topography and climate background determine that the hazard happens periodically. Based on the meteorological records of the Linzhi station, the warming rate was greater than 0.40 degrees C/10a during the period 1960-2017. The short-term heavy rainfall with daily values of 9.3 mm before the blockage event was also regarded as a factor. Both heavy rain and earthquake were triggering factors of the ice avalanche that led to the glacial debris flow. The glacier surface velocity of the Dongpu glacier simulated by Elmer/Ice model can reach 19 cm/d. This study has extensive applicability significance in glacier hazard mitigation under a changing climate.</t>
  </si>
  <si>
    <t>[Huai, Baojuan; Sun, Weijun; Wang, Yetang] Shandong Normal Univ, Coll Geog &amp; Environm, Jinan 250014, Peoples R China; [Ding, Minghu] Chinese Acad Meteorol Sci, State Key Lab Severe Weather, Beijing 100081, Peoples R China; [Ai, Songtao] Wuhan Univ, Chinese Antarctic Ctr Surveying &amp; Mapping, Wuhan 430079, Peoples R China; [Gao, Jiajia] Tibet Inst Plateau Atmospher &amp; Environm Sci, Lhasa 850000, Peoples R China</t>
  </si>
  <si>
    <t>Shandong Normal University; China Meteorological Administration; Chinese Academy of Meteorological Sciences (CAMS); Wuhan University</t>
  </si>
  <si>
    <t>Ding, MH (corresponding author), Chinese Acad Meteorol Sci, State Key Lab Severe Weather, Beijing 100081, Peoples R China.</t>
  </si>
  <si>
    <t>616070@sdnu.edu.cn; dingmh@cma.gov.cn; ast@whu.edu.cn; 612033@sdnu.edu.cn; 615002@sdnu.edu.cn; gaojj12@lzu.edu.cn</t>
  </si>
  <si>
    <t>Ding, Minghu/AFU-3600-2022; sun, weijun/GZB-2595-2022; Gao, Jiajia/HGC-2539-2022</t>
  </si>
  <si>
    <t>Ding, Minghu/0000-0002-1142-6598; Gao, Jiajia/0000-0001-8751-2110; Ai, Songtao/0000-0001-6677-3899</t>
  </si>
  <si>
    <t>National Natural Science Foundation of China [41690143, 41671058]; Basic Foundation of the Chinese Academy of Meteorological Science [2019Z008]</t>
  </si>
  <si>
    <t>National Natural Science Foundation of China(National Natural Science Foundation of China (NSFC)); Basic Foundation of the Chinese Academy of Meteorological Science</t>
  </si>
  <si>
    <t>This research was funded by the National Natural Science Foundation of China (41690143 and 41671058) and the Basic Foundation of the Chinese Academy of Meteorological Science (2019Z008).</t>
  </si>
  <si>
    <t>2073-445X</t>
  </si>
  <si>
    <t>LAND-BASEL</t>
  </si>
  <si>
    <t>Land</t>
  </si>
  <si>
    <t>10.3390/land11081217</t>
  </si>
  <si>
    <t>4N5PM</t>
  </si>
  <si>
    <t>WOS:000854071200001</t>
  </si>
  <si>
    <t>Hendry, KR</t>
  </si>
  <si>
    <t>Hendry, Katharine R.</t>
  </si>
  <si>
    <t>Life, diatoms and everything: a tribute to Leanne Armand</t>
  </si>
  <si>
    <t>SEDIMENTS</t>
  </si>
  <si>
    <t>[Hendry, Katharine R.] British Antarctic Survey, Madingley Rd, Cambridge CB3 0ET, England</t>
  </si>
  <si>
    <t>Hendry, KR (corresponding author), British Antarctic Survey, Madingley Rd, Cambridge CB3 0ET, England.</t>
  </si>
  <si>
    <t>Hendry, Katharine R/E-4793-2011</t>
  </si>
  <si>
    <t>PII S0954102022000323</t>
  </si>
  <si>
    <t>10.1017/S0954102022000323</t>
  </si>
  <si>
    <t>WOS:000853498600003</t>
  </si>
  <si>
    <t>Caneill, R; Roquet, F; Madec, G; Nycander, J</t>
  </si>
  <si>
    <t>Caneill, Romain; Roquet, Fabien; Madec, Gurvan; Nycander, Jonas</t>
  </si>
  <si>
    <t>The Polar Transition from Alpha to Beta Regions Set by a Surface Buoyancy Flux Inversion</t>
  </si>
  <si>
    <t>Buoyancy; Intermediate waters; Surface fluxes</t>
  </si>
  <si>
    <t>DENSE WATER FORMATION; EQUATION-OF-STATE; SOUTHERN-OCEAN; FRESH-WATER; PRACTICAL INDICATOR; ANTARCTIC MODE; CIRCULATION; HEAT</t>
  </si>
  <si>
    <t>The stratification is primarily controlled by temperature in subtropical regions (alpha ocean) and by salinity in subpolar regions (beta ocean). Between these two regions lies a transition zone, often characterized by deep mixed layers in winter and responsible for the ventilation of intermediate or deep layers. While of primary interest, no consensus on what controls its position exists yet. Among the potential candidates, we find the wind distribution, air-sea fluxes, or the nonlinear cabbeling effect. Using an ocean general circulation model in an idealized basin configuration, a sensitivity analysis is performed testing different equations of state. More precisely, the thermal expansion coefficient (TEC) temperature dependence is explored, changing the impact of heat fluxes on buoyancy fluxes in a series of experiments. The polar transition zone is found to be located at the position where the sign of the surface buoyancy flux reverses to become positive, in the subpolar region, while wind or cabbeling are likely of secondary importance. This inversion becomes possible because the TEC is reducing at low temperature, enhancing in return the relative impact of freshwater fluxes on the buoyancy forcing at high latitudes. When the TEC is made artificially larger at low temperature, the freshwater flux required to produce a positive buoyancy flux increases and the polar transition moves poleward. These experimets demonstrate the important role of competing heat and freshwater fluxes in setting the position of the transition zone. This competition is primarily influenced by the spatial variations of the TEC linked to meridional variations of the surface temperature.</t>
  </si>
  <si>
    <t>[Caneill, Romain; Roquet, Fabien] Univ Gothenburg, Dept Marine Sci, Gothenburg, Sweden; [Madec, Gurvan] Sorbonne Univ, LOCEAN Lab, CNRS, IRD,MNHN, Paris, France; [Nycander, Jonas] Stockholm Univ, Dept Meteorol, Stockholm, Sweden</t>
  </si>
  <si>
    <t>University of Gothenburg; Museum National d'Histoire Naturelle (MNHN); Sorbonne Universite; Centre National de la Recherche Scientifique (CNRS); Institut de Recherche pour le Developpement (IRD); Stockholm University</t>
  </si>
  <si>
    <t>Caneill, R (corresponding author), Univ Gothenburg, Dept Marine Sci, Gothenburg, Sweden.</t>
  </si>
  <si>
    <t>romain.caneill@gu.se</t>
  </si>
  <si>
    <t>Caneill, Romain/0000-0001-6649-4275</t>
  </si>
  <si>
    <t>Swedish Research Council; [2018-05973]</t>
  </si>
  <si>
    <t>Swedish Research Council(Swedish Research Council);</t>
  </si>
  <si>
    <t>Acknowledgments. The computations were enabled by resources provided by the Swedish National Infrastructure for Computing (SNIC) at Tetralith partially funded by the Swedish Research Council through Grant Agreement 2018-05973. The authors appreciate the helpful reviews from two anonymous reviewers.</t>
  </si>
  <si>
    <t>10.1175/JPO-D-21-0295.1</t>
  </si>
  <si>
    <t>WOS:000848440200016</t>
  </si>
  <si>
    <t>Vreugdenhil, CA; Taylor, JR; Davis, PED; Nicholls, KW; Holland, PR; Jenkins, A</t>
  </si>
  <si>
    <t>Vreugdenhil, Catherine A.; Taylor, John R.; Davis, Peter E. D.; Nicholls, Keith W.; Holland, Paul R.; Jenkins, Adrian</t>
  </si>
  <si>
    <t>The Ocean Boundary Layer beneath Larsen C Ice Shelf: Insights from Large-Eddy Simulations with a Near-Wall Model</t>
  </si>
  <si>
    <t>Ice shelves; Ocean dynamics; Turbulence; Mixing; Tides</t>
  </si>
  <si>
    <t>MELT RATE; TURBULENT; INSTABILITY; DRIVEN; CONVECTION; ABLATION; SURFACE; VARIABILITY; DISSOLUTION; FLOWS</t>
  </si>
  <si>
    <t>The melt rate of Antarctic ice shelves is of key importance for rising sea levels and future climate scenarios. Recent observations beneath Larsen C Ice Shelf revealed an ocean boundary layer that was highly turbulent and raised questions on the effect of these rich flow dynamics on the ocean heat transfer and the ice shelf melt rate. Directly motivated by the field observations, we have conducted large-eddy simulations (LES) to further examine the ocean boundary layer beneath Larsen C Ice Shelf. The LES was initialized with uniform temperature and salinity (T-S) and included a realistic tidal cycle and a small basal slope. A new parameterization based on previous work was applied at the top boundary to model near-wall turbulence and basal melting. The resulting vertical T-S profiles, melt rate, and friction velocity matched well with the Larsen C Ice Shelf observations. The instantaneous melt rate varied strongly with the tidal cycle, with faster flow increasing the turbulence and mixing of heat toward the ice base. An Ekman layer formed beneath the ice base and, due to the strong vertical shear of the current, Ekman rolls appeared in the mixed layer and stratified region (depth approximate to 20-60 m). In an additional high-resolution simulation (conducted with a smaller domain) the Ekman rolls were associated with increased turbulent kinetic energy, but a relatively small vertical heat flux. Our results will help with interpreting field observations and parameterizing the ocean-driven basal melting of ice shelves.</t>
  </si>
  <si>
    <t>[Vreugdenhil, Catherine A.; Taylor, John R.] Univ Cambridge, Cambridge, England; [Vreugdenhil, Catherine A.] Univ Melbourne, Melbourne, Vic, Australia; [Davis, Peter E. D.; Nicholls, Keith W.; Holland, Paul R.] British Antarctic Survey, Cambridge, England; [Jenkins, Adrian] Northumbria Univ, Newcastle Upon Tyne, England</t>
  </si>
  <si>
    <t>University of Cambridge; University of Melbourne; Melbourne Bioinformatics; UK Research &amp; Innovation (UKRI); Natural Environment Research Council (NERC); NERC British Antarctic Survey; Northumbria University</t>
  </si>
  <si>
    <t>Vreugdenhil, CA (corresponding author), Univ Cambridge, Cambridge, England.;Vreugdenhil, CA (corresponding author), Univ Melbourne, Melbourne, Vic, Australia.</t>
  </si>
  <si>
    <t>cat.vreugdenhil@unimelb.edu.au</t>
  </si>
  <si>
    <t>Jenkins, Adrian/IUN-2406-2023; Holland, Paul R/G-2796-2012</t>
  </si>
  <si>
    <t>Vreugdenhil, Catherine/0000-0002-1808-6274; Jenkins, Adrian/0000-0002-9117-0616</t>
  </si>
  <si>
    <t>NERC; [NE/N009746/1]; NERC [NE/N009746/1] Funding Source: UKRI</t>
  </si>
  <si>
    <t>NERC(UK Research &amp; Innovation (UKRI)Natural Environment Research Council (NERC)); ; NERC(UK Research &amp; Innovation (UKRI)Natural Environment Research Council (NERC))</t>
  </si>
  <si>
    <t>The NERC Standard Grant NE/N009746/1 is gratefully acknowledged for supporting this research. This work used the ARCHER U.K. National Supercomputing Service (http://www.archer.ac.uk).</t>
  </si>
  <si>
    <t>10.1175/JPO-D-21-0166.1</t>
  </si>
  <si>
    <t>WOS:000848440200017</t>
  </si>
  <si>
    <t>Akulava, V; Miamin, U; Akhremchuk, K; Valentovich, L; Dolgikh, A; Shapaval, V</t>
  </si>
  <si>
    <t>Akulava, Volha; Miamin, Uladzislau; Akhremchuk, Katsiaryna; Valentovich, Leonid; Dolgikh, Andrey; Shapaval, Volha</t>
  </si>
  <si>
    <t>Isolation, Physiological Characterization, and Antibiotic Susceptibility Testing of Fast-Growing Bacteria from the Sea-Affected Temporary Meltwater Ponds in the Thala Hills Oasis (Enderby Land, East Antarctica)</t>
  </si>
  <si>
    <t>meltwater ponds; Antarctic bacteria; 16S rRNA gene sequencing; plate-based assays; thermotolerance; enzymatic activity; antibiotic resistance</t>
  </si>
  <si>
    <t>MCMURDO ICE SHELF; SP-NOV; PSYCHROTOLERANT BACTERIUM; PSYCHROTROPHIC BACTERIA; PSYCHROPHILIC BACTERIA; MARINE-BACTERIA; BRATINA ISLAND; DIVERSITY; LAKE; COMMUNITIES</t>
  </si>
  <si>
    <t>Simple Summary The characterization of microbial communities from Antarctic temporary meltwater ponds is limited, while they could serve as a source of biotechnologically interesting microorganisms. In this study, we characterized a set of bacteria isolated from the sea-affected temporary meltwater ponds in the East Antarctica area of the Vecherny region of the Thala Hills Oasis, Enderby Land. The isolated meltwater bacteria were identified as Proteobacteria, Actinobacteria, Firmicutes, and Bacteroidetes, where Proteobacteria and Actinobacteria were predominant. The isolated bacteria were able to grow in a relatively wide temperature range between 4 degrees C and 37 degrees C, with an optimal temperature range of 18-25 degrees C. Further, most of the isolates showed an ability to secrete lipases and proteases, and several of them were pigmented. Bacterial isolates from the genera Pseudomonas and Acinetobacter exhibited multi-resistance against beta-lactams, sulfonamide, macrolide, diaminopyrimidines, and chloramphenicol antibiotics. This study shows that bacterial communities from the temporary meltwater ponds in East Antarctica consist of metabolically versatile bacteria that might be defined by their location near the sea and the close presence of animals, penguins and skuas in particular. In this study, for the first time, we report the identification and characterization of culturable fast-growing bacteria isolated from the sea-affected temporary meltwater ponds (MPs) in the East Antarctica area of the Vecherny region (-67.656317, 46.175058) of the Thala Hills Oasis, Enderby Land. Water samples from the studied MPs showed alkaline pH (from 8.0 to 10.1) and highly varied total dissolved solids (86-94,000 mg/L). In total, twenty-nine bacterial isolates were retrieved from the studied MPs. The phylogenetic analysis based on 16S rRNA gene sequence similarities showed that the isolated bacteria belong to the phyla Proteobacteria, Actinobacteria, Firmicutes, and Bacteroidetes and the twelve genera Pseudomonas, Shewanella, Acinetobacter, Sporosarcina, Facklamia, Carnobacterium, Arthrobacter, Brachybacterium, Micrococcus, Agrococcus, Leifsonia, and Flavobacterium. Most of the isolated bacteria were psychrotrophs and showed the production of one or more extracellular enzymes. Lipolytic and proteolytic activities were more prevalent among the isolates. Five isolates from the Actinobacteria phylum and one isolate from the Bacteroidetes phylum had strong pigmentation. Antibiotic susceptibility testing revealed that most of the isolates are resistant to at least one antibiotic, and seven isolates showed multi-resistance.</t>
  </si>
  <si>
    <t>[Akulava, Volha; Shapaval, Volha] Norwegian Univ Life Sci, Fac Sci &amp; Technol, N-1432 As, Norway; [Akulava, Volha; Miamin, Uladzislau; Valentovich, Leonid] Belarusian State Univ, Fac Biol, Minsk 220030, BELARUS; [Miamin, Uladzislau] Natl Acad Sci Belarus Bioresources, Sci &amp; Pract Ctr, Minsk 220072, BELARUS; [Akhremchuk, Katsiaryna; Valentovich, Leonid] Natl Acad Sci Belarus, Inst Microbiol, Minsk 220141, BELARUS; [Dolgikh, Andrey] Russian Acad Sci, Inst Geog, Moscow 119017, Russia</t>
  </si>
  <si>
    <t>Norwegian University of Life Sciences; Belarusian State University; National Academy of Sciences of Belarus (NASB); Scientific &amp; Practical Center for Bioresources of the National Academy of Sciences of Belarus; National Academy of Sciences of Belarus (NASB); Institute of Microbiology of the National Academy of Sciences of Belarus; Russian Academy of Sciences; Institute of Geography, Russian Academy of Sciences</t>
  </si>
  <si>
    <t>Akulava, V (corresponding author), Norwegian Univ Life Sci, Fac Sci &amp; Technol, N-1432 As, Norway.;Akulava, V (corresponding author), Belarusian State Univ, Fac Biol, Minsk 220030, BELARUS.</t>
  </si>
  <si>
    <t>volha.akulava@nmbu.no; vladmiamin@mail.ru; katerinaakhr@bio.bsu.by; valentovich@bio.bsu.by; dolgikh@igras.ru; volha.shapaval@nmbu.no</t>
  </si>
  <si>
    <t>Valentovich, Leonid/AGY-7530-2022; Dolgikh, Andrey/D-2575-2015</t>
  </si>
  <si>
    <t>Valentovich, Leonid/0000-0001-7329-743X; Dolgikh, Andrey/0000-0002-9316-9440; Akhremchuk, Katsiaryna/0000-0002-3195-6529; Shapaval, Volha/0000-0003-2674-1328; Akulava, Volha/0000-0003-4731-1933</t>
  </si>
  <si>
    <t>project Belanoda-Multidisciplinary graduate and post-graduate education in big data analysis for life sciences - Eurasia program, Norwegian Agency for International Cooperation and Quality Enhancement in Higher Education (Diku) [CPEA-LT-2016/10126]; Belanoda Digital learning platform for boosting multidisciplinary education in data analysis for life sciences in the Eurasia region [CPEA-STA-2019/10025]</t>
  </si>
  <si>
    <t>project Belanoda-Multidisciplinary graduate and post-graduate education in big data analysis for life sciences - Eurasia program, Norwegian Agency for International Cooperation and Quality Enhancement in Higher Education (Diku); Belanoda Digital learning platform for boosting multidisciplinary education in data analysis for life sciences in the Eurasia region</t>
  </si>
  <si>
    <t>This research was supported by the project Belanoda-Multidisciplinary graduate and post-graduate education in big data analysis for life sciences (CPEA-LT-2016/10126), funded by the Eurasia program, Norwegian Agency for International Cooperation and Quality Enhancement in Higher Education (Diku), and the Belanoda Digital learning platform for boosting multidisciplinary education in data analysis for life sciences in the Eurasia region (CPEA-STA-2019/10025).</t>
  </si>
  <si>
    <t>10.3390/biology11081143</t>
  </si>
  <si>
    <t>4D2XR</t>
  </si>
  <si>
    <t>WOS:000847009500001</t>
  </si>
  <si>
    <t>Mahu, E; Sanko, S; Kamara, A; Chuku, EO; Effah, E; Sohou, Z; Zounon, Y; Akinjogunla, V; Akinnigbagbe, RO; Diadhiou, HD; Marchant, R</t>
  </si>
  <si>
    <t>Mahu, Edem; Sanko, Salieu; Kamara, Allieubakarr; Chuku, Ernest Obeng; Effah, Elizabeth; Sohou, Zacharie; Zounon, Yaovi; Akinjogunla, Victoria; Akinnigbagbe, Ruth Oluwatoyin; Diadhiou, Hamet Diaw; Marchant, Robert</t>
  </si>
  <si>
    <t>Climate Resilience and Adaptation in West African Oyster Fisheries: An Expert-Based Assessment of the Vulnerability of the Oyster Crassostrea tulipa to Climate Change</t>
  </si>
  <si>
    <t>oyster; climatic stressors; very high vulnerability; distribution change</t>
  </si>
  <si>
    <t>CHANGE IMPACTS; LAGOS HARBOR; TRACE-METALS; RED-TIDE; SALINITY; GASAR; OCEAN; FLUCTUATIONS; CONSERVATION; TEMPERATURE</t>
  </si>
  <si>
    <t>Globally, over 85% of oyster reefs have been lost, and the combined effects of climate change, ocean acidification, and environmental degradation, including pollution and mangrove overharvesting, could further reduce global oyster fisheries in the coming decades. To understand the level of impact of climate change on the oyster fishery in West Africa, an expert-based vulnerability assessment to climate change was conducted for the West African mangrove oyster (Crassostrea tulipa, Lamarck 1819). Using a combination of the exposure of the oyster to climatic stressors (estuarine temperature, salinity, river flow, surface run-off, sea level rise, and estuarine circulation) together with an assessment of sensitivity to these stressors, we estimate the overall vulnerability of C. tulipa to climate change. A very high overall climate vulnerability score of 12 on a scale of 16 was calculated for C. tulipa. While the overall climate exposure score in the West African coastal region remained high, the high sensitivity of C. tulipa to hydrographic conditions of its habitat, in particular salinity, coupled with its sessile and habitat-specific nature, pushed the overall vulnerability to very high. Early life history settlement requirements, adult mobility, and sensitivity to salinity were the three most important biological and sensitivity attributes that determined the vulnerability score. By leaving each of these three sensitivity attributes out of the analysis, the overall vulnerability score was reduced to 9 (i.e., from very high to high). A negative directional effect of climate change, coupled with a low potential for change in distribution, threatens the C. tulipa fishery in a long-term adverse climate scenario. We recommend management efforts that incorporate climate resilience and adaptation practices to prioritize recruitment success, as well as the development of breeding lines with climate-resilient traits.</t>
  </si>
  <si>
    <t>[Mahu, Edem] Univ Ghana, Dept Marine &amp; Fisheries Sci, POB LG 99, Legon, Ghana; [Sanko, Salieu; Kamara, Allieubakarr] Univ Sierra Leone, Fourah Bay Coll, Inst Marine Biol &amp; Oceanog, Freetown, Sierra Leone; [Chuku, Ernest Obeng; Effah, Elizabeth] Univ Cape Coast, Ctr Coastal Management, Africa Ctr Excellence Coastal Resilience ACECoR, Cape Coast, Ghana; [Chuku, Ernest Obeng] Univ Tasmania, Inst Marine &amp; Antarctic Studies, Taroona 7053, Australia; [Sohou, Zacharie; Zounon, Yaovi] Univ Abomey Calavi, Inst Rech Halieut &amp; Oceanol Benin IRHOB, POB 1665, Cotonou, Benin; [Sohou, Zacharie; Zounon, Yaovi] Univ Abomey Calavi, Lab Rech Zones Humides LRZH, POB 1665, Cotonou, Benin; [Akinjogunla, Victoria] Bayero Univ Kano, Dept Fisheries &amp; Aquaculture, PMB 3011, Kano, Nigeria; [Akinnigbagbe, Ruth Oluwatoyin] Nigerian Inst Oceanog &amp; Marine Res, Dept Fishing Technol &amp; Safety, PMB 12729, Lagos, Nigeria; [Diadhiou, Hamet Diaw] Dakar Thiaroye Oceanog Res Ctr, Senegalese Agr Res Inst ISRA, BP 2241, Dakar, Senegal; [Marchant, Robert] Univ York, Dept Environm &amp; Geog, Wentworth Way, York YO10 5NG, N Yorkshire, England</t>
  </si>
  <si>
    <t>University of Ghana; University of Cape Coast; University of Tasmania; University of Abomey Calavi; University of Abomey Calavi; Bayero University; University of York - UK</t>
  </si>
  <si>
    <t>Mahu, E (corresponding author), Univ Ghana, Dept Marine &amp; Fisheries Sci, POB LG 99, Legon, Ghana.</t>
  </si>
  <si>
    <t>emahu@ug.edu.gh</t>
  </si>
  <si>
    <t>Chuku, Ernest/C-1718-2019; Mahu, Edem/ACK-5773-2022</t>
  </si>
  <si>
    <t>Chuku, Ernest/0000-0003-2716-5510; Mahu, Edem/0000-0002-0212-8150; Akinjogunla, Victoria Folakemi/0000-0003-0816-052X; Marchant, Robert/0000-0001-5013-4056; SOHOU, Zacharie/0000-0003-3314-3481; Sankoh, Salieu/0000-0002-6733-2582</t>
  </si>
  <si>
    <t>ROYAL SOCIETY through the Future Leaders African Research (FLAIR) [FLR nR1 n201385]</t>
  </si>
  <si>
    <t>ROYAL SOCIETY through the Future Leaders African Research (FLAIR)</t>
  </si>
  <si>
    <t>This research was funded by THE ROYAL SOCIETY through the Future Leaders African Research (FLAIR) grant number FLR nR1 n201385.</t>
  </si>
  <si>
    <t>10.3390/fishes7040205</t>
  </si>
  <si>
    <t>4D4EV</t>
  </si>
  <si>
    <t>WOS:000847096200001</t>
  </si>
  <si>
    <t>Li, S; Lin, SY; Jiang, PF; Bao, ZJ; Li, SB; Sun, N</t>
  </si>
  <si>
    <t>Li, Shuang; Lin, Songyi; Jiang, Pengfei; Bao, Zhijie; Li, Sibo; Sun, Na</t>
  </si>
  <si>
    <t>Insight into the Gel Properties of Antarctic Krill and Pacific White Shrimp Surimi Gels and the Feasibility of Polysaccharides as Texture Enhancers of Antarctic Krill Surimi Gels</t>
  </si>
  <si>
    <t>FOODS</t>
  </si>
  <si>
    <t>Antarctic krill; shrimp surimi; gelation; cross-linkage; polysaccharide</t>
  </si>
  <si>
    <t>MYOFIBRILLAR PROTEIN; GELLING PROPERTIES; MOLECULAR FORCES; GELATION; HOMOGENIZATION; CARRAGEENAN</t>
  </si>
  <si>
    <t>Antarctic krill is a potential and attractive resource for consumption. However, most Antarctic krill meat is used to produce primary products with low commercial value, with few highly processed products. This study aimed to evaluate and improve the gelling properties of Antarctic krill surimi, with Pacific white shrimp surimi as control. Compared with Pacific white shrimp surimi, the lower beta-sheet content and protein aggregation degree had a severe impact on the formation of the gel network of Antarctic krill surimi, which resulted in weaker breaking force, gel strength, and viscoelasticity (p &lt; 0.05). Moreover, water retention capacity and molecular forces had a positive effect on the stability of the gel matrix of shrimp surimi. Thus, the high alpha-helix/beta-sheet ratio, weak intermolecular interactions, and low level of protein network cross-linkage were the main reasons for the poor quality of Antarctic krill surimi. On this basis, the effects of six polysaccharides on the texture properties of Antarctic krill surimi were studied. Chitosan, konjac glucomannan, sodium carboxyl methyl cellulose, and waxy maize starch resulted in no significant improvement in the texture properties of Antarctic krill surimi (p &gt; 0.05). However, the addition of iota-carrageenan (2%) or kappa-carrageenan (1 similar to 2%) is an effective way to improve the texture properties of Antarctic krill surimi (p &lt; 0.05). These findings will contribute to the development of reconstituted Antarctic krill surimi products with high nutritional quality and the promotion of deep-processing products of Antarctic krill meat.</t>
  </si>
  <si>
    <t>[Li, Shuang; Lin, Songyi; Jiang, Pengfei; Bao, Zhijie; Li, Sibo; Sun, Na] Dalian Polytech Univ, Natl Engn Res Ctr Seafood, Sch Food Sci &amp; Technol, Dalian 116034, Peoples R China; [Lin, Songyi; Jiang, Pengfei; Bao, Zhijie; Sun, Na] Dalian Polytech Univ, Collaborat Innovat Ctr Seafood Deep Proc, Dalian 116034, Peoples R China</t>
  </si>
  <si>
    <t>Sun, N (corresponding author), Dalian Polytech Univ, Natl Engn Res Ctr Seafood, Sch Food Sci &amp; Technol, Dalian 116034, Peoples R China.;Sun, N (corresponding author), Dalian Polytech Univ, Collaborat Innovat Ctr Seafood Deep Proc, Dalian 116034, Peoples R China.</t>
  </si>
  <si>
    <t>Yang, Ying/ADL-4165-2022; liu, lingling/IUQ-7478-2023; Liu, Yixuan/JFJ-2820-2023; li, zhang/JHV-1750-2023; sun, chen/JCP-0396-2023; liu, xinyu/IWD-6630-2023; JIANG, PENGFEI/JCP-2151-2023; yang, yun/IZE-1092-2023; ZHOU, YUE/IZE-6277-2023; 李, 嘉馨/IWM-4023-2023; li, wei/IUQ-2973-2023; Wang, Guang/JFS-8374-2023; Yang, Fei/JLM-3367-2023; Zhao, Yi/JFA-7988-2023; wang, zhiwen/JDV-9990-2023; Lin, Song-Y i/A-1778-2012</t>
  </si>
  <si>
    <t>Yang, Ying/0000-0002-3469-7681; JIANG, PENGFEI/0000-0002-2975-2527; Bao, zhijie/0000-0002-6261-7706</t>
  </si>
  <si>
    <t>Program for Innovative Talents in Higher Education of Liaoning Province of China [LR2019008]; Central Guidance on Local Science and Technology Development Fund of Dalian</t>
  </si>
  <si>
    <t>Program for Innovative Talents in Higher Education of Liaoning Province of China; Central Guidance on Local Science and Technology Development Fund of Dalian</t>
  </si>
  <si>
    <t>This research was funded by the Program for Innovative Talents in Higher Education of Liaoning Province of China (No. LR2019008) and the Central Guidance on Local Science and Technology Development Fund of Dalian.</t>
  </si>
  <si>
    <t>2304-8158</t>
  </si>
  <si>
    <t>Foods</t>
  </si>
  <si>
    <t>10.3390/foods11162517</t>
  </si>
  <si>
    <t>4D3JE</t>
  </si>
  <si>
    <t>WOS:000847039600001</t>
  </si>
  <si>
    <t>Ji, F; Wu, LY; Zhang, Q</t>
  </si>
  <si>
    <t>Ji, Fei; Wu, Leyuan; Zhang, Qiao</t>
  </si>
  <si>
    <t>Gravity-Derived Antarctic Crustal Thickness Based on the Gauss-FFT Method</t>
  </si>
  <si>
    <t>GAMBURTSEV SUBGLACIAL MOUNTAINS; UPPER-MANTLE STRUCTURE; ROSS SEA BASINS; TRANSANTARCTIC MOUNTAINS; EAST ANTARCTICA; RIFT SYSTEM; MAGNETIC-ANOMALIES; WEST ANTARCTICA; PALEOMAGNETIC DATA; STRUCTURE BENEATH</t>
  </si>
  <si>
    <t>The information on crustal thickness in Antarctica can provide significant constraints on its crustal deformation and tectonic evolution. To generate reliable images of crustal features, we investigate the model of Moho depth and crustal thickness beneath Antarctica by applying the Bott-Parker's formulas based on the Gauss-fast Fourier transform method through a comprehensive analysis of gravity data, ice and sediment thicknesses and bedrock elevation, combined with seismic constraints. Tests with synthetic data indicate that the iterative inversion algorithm can yield a highly accurate Moho topography. Ultimately, inverted crustal thickness reveals a more detailed crustal image by clearly identifying more tectonic elements at different scales than previous results and correlates well with major tectonic provinces. Airy isostasy and flexural isostasy models are used to assess the crustal isostatic compensation. The distinctive negative isostatic anomalies are observed in the Transantarctic Mountains and the East Antarctic areas of the great escarpment in the Dronning Maud Land and Aurora and Wilkes Subglacial Basin, indicating that the low density of the uppermost mantle and lithospheric strength may play important roles in compensating for their elevations. Variations in crustal thickness in interior East Antarctica are analyzed; the thickened crust from Dronning Maud Land to the Gamburtsev Subglacial Mountains may be associated with the collision of continental blocks and is interpreted as the fossil sutures. We compare the relationship between the Moho and Curie interfaces and find that the uppermost mantle is magnetized in some areas of East Antarctica, which may indicate preserved Precambrian cratonic roots.</t>
  </si>
  <si>
    <t>[Ji, Fei] Minist Emergency Management China, Natl Inst Nat Hazards, Beijing, Peoples R China; [Wu, Leyuan] Zhejiang Univ Technol, Ctr Opt &amp; Optoelect Res COOR,Coll Sci, Collaborat Innovat Ctr Informat Technol Biol &amp; Me, Key Lab Quantunm Precis Measurement Zhejiang Prov, Hangzhou, Peoples R China; [Zhang, Qiao] Chinese Acad Geol Sci, Inst Geomech, Beijing, Peoples R China; [Zhang, Qiao] Minist Nat Resources, Key Lab Paleomagnetism &amp; Tecton Reconstruct, Beijing, Peoples R China</t>
  </si>
  <si>
    <t>Zhejiang University of Technology; China Geological Survey; Institute of Geomechanics, Chinese Academy of Geological Sciences; Chinese Academy of Geological Sciences; Ministry of Natural Resources of the People's Republic of China</t>
  </si>
  <si>
    <t>Wu, LY (corresponding author), Zhejiang Univ Technol, Ctr Opt &amp; Optoelect Res COOR,Coll Sci, Collaborat Innovat Ctr Informat Technol Biol &amp; Me, Key Lab Quantunm Precis Measurement Zhejiang Prov, Hangzhou, Peoples R China.;Zhang, Q (corresponding author), Chinese Acad Geol Sci, Inst Geomech, Beijing, Peoples R China.;Zhang, Q (corresponding author), Minist Nat Resources, Key Lab Paleomagnetism &amp; Tecton Reconstruct, Beijing, Peoples R China.</t>
  </si>
  <si>
    <t>leyuanwu@zjut.edu.cn; zhangqiao0317@163.com</t>
  </si>
  <si>
    <t>Wu, Leyuan/ABA-9151-2021</t>
  </si>
  <si>
    <t>Wu, Leyuan/0000-0003-3269-5372; ji, fei/0000-0003-4314-682X</t>
  </si>
  <si>
    <t>National Natural Science Foundation of China [41941004, 41874013]; National Natural Science Foundation of Guangxi Province of China [2020GXNSFDA238021]</t>
  </si>
  <si>
    <t>National Natural Science Foundation of China(National Natural Science Foundation of China (NSFC)); National Natural Science Foundation of Guangxi Province of China(National Natural Science Foundation of Guangxi Province)</t>
  </si>
  <si>
    <t>We are grateful to Dr. Mikhail Kaban for providing us with his Bouguer gravity anomaly data set. The seismic Moho depths used in this study are available at . We thank Dr. Tom Jordan, an anonymous reviewer, and Prof. Joshua Feinberg (the Editor) for their constructive comments, which have greatly improved the manuscript. We thank Dr. Xin Zhou for valuable discussions and we appreciate Dr. Mingju Xu for the great help in the calculation of the flexural Moho. This research is funded by the National Natural Science Foundation of China (Grant Nos. 41941004 and 41874013) and the National Natural Science Foundation of Guangxi Province of China (Grant No. 2020GXNSFDA238021).</t>
  </si>
  <si>
    <t>e2022GC010555</t>
  </si>
  <si>
    <t>10.1029/2022GC010555</t>
  </si>
  <si>
    <t>4D1RV</t>
  </si>
  <si>
    <t>WOS:000846925700001</t>
  </si>
  <si>
    <t>Katyal, G; Ebanks, B; Dowle, A; Shephard, F; Papetti, C; Lucassen, M; Chakrabarti, L</t>
  </si>
  <si>
    <t>Katyal, Gunjan; Ebanks, Brad; Dowle, Adam; Shephard, Freya; Papetti, Chiara; Lucassen, Magnus; Chakrabarti, Lisa</t>
  </si>
  <si>
    <t>Quantitative Proteomics and Network Analysis of Differentially Expressed Proteins in Proteomes of Icefish Muscle Mitochondria Compared with Closely Related Red-Blooded Species</t>
  </si>
  <si>
    <t>icefish; proteomics; mitochondria; muscle; network analysis; notothenioid</t>
  </si>
  <si>
    <t>SKELETAL-MUSCLE; LACTATE-DEHYDROGENASE; SUBSTRATE-INHIBITION; ANTARCTIC FISHES; HEMOGLOBIN-FREE; MYOGLOBIN; ADAPTATIONS; HYPOXIA; FIBERS; HEART</t>
  </si>
  <si>
    <t>Simple Summary Antarctic icefish are unusual in that they are the only vertebrates that survive without the protein haemoglobin. One way to try and understand the biological processes that support this anomaly is to record how proteins are regulated in these animals and to compare what we find to closely related Antarctic fish that do still retain haemoglobin. The part of the cell that most clearly utilises oxygen, which is normally transported by haemoglobin, is the mitochondrion. Therefore, we chose to catalogue all the proteins and their relative quantities in the mitochondria (pl.) from two different muscle types in two species of icefish and two species of red-blooded notothenioids. We used an approach called mass spectrometry to reveal relative amounts of the proteins from the muscles of each fish. We present analysis that shows how the connections and relative quantities of proteins differ between these species. Antarctic icefish are extraordinary in their ability to thrive without haemoglobin. We wanted to understand how the mitochondrial proteome has adapted to the loss of this protein. Metabolic pathways that utilise oxygen are most likely to be rearranged in these species. Here, we have defined the mitochondrial proteomes of both the red and white muscle of two different icefish species (Champsocephalus gunnari and Chionodraco rastrospinosus) and compared these with two related red-blooded Notothenioids (Notothenia rossii, Trematomus bernacchii). Liquid Chromatography-Mass spectrometry (LC-MS/MS) was used to generate and examine the proteomic profiles of the two groups. We recorded a total of 91 differentially expressed proteins in the icefish red muscle mitochondria and 89 in the white muscle mitochondria when compared with the red-blooded related species. The icefish have a relatively higher abundance of proteins involved with Complex V of oxidative phosphorylation, RNA metabolism, and homeostasis, and fewer proteins for striated muscle contraction, haem, iron, creatine, and carbohydrate metabolism. Enrichment analyses showed that many important pathways were different in both red muscle and white muscle, including the citric acid cycle, ribosome machinery and fatty acid degradation. Life in the Antarctic waters poses extra challenges to the organisms that reside within them. Icefish have successfully inhabited this environment and we surmise that species without haemoglobin uniquely maintain their physiology. Our study highlights the mitochondrial protein pathway differences between similar fish species according to their specific tissue oxygenation idiosyncrasies.</t>
  </si>
  <si>
    <t>[Katyal, Gunjan; Ebanks, Brad; Shephard, Freya; Chakrabarti, Lisa] Univ Nottingham, Sch Vet Med &amp; Sci, Sutton LE12 5RD, Surrey, England; [Dowle, Adam] Univ York, Dept Biol, Biosci Technol, York YO10 5DD, N Yorkshire, England; [Papetti, Chiara] Univ Padua, Biol Dept, Via U Bassi 58-b, I-35121 Padua, Italy; [Lucassen, Magnus] Alfred Wegener Inst, D-27570 Bremerhaven, Germany; [Chakrabarti, Lisa] MRC Versus Arthrit Ctr Musculoskeletal Ageing Res, Liverpool L7 8TX, Merseyside, England</t>
  </si>
  <si>
    <t>University of Nottingham; University of York - UK; University of Padua; Helmholtz Association; Alfred Wegener Institute, Helmholtz Centre for Polar &amp; Marine Research</t>
  </si>
  <si>
    <t>Chakrabarti, L (corresponding author), Univ Nottingham, Sch Vet Med &amp; Sci, Sutton LE12 5RD, Surrey, England.;Chakrabarti, L (corresponding author), MRC Versus Arthrit Ctr Musculoskeletal Ageing Res, Liverpool L7 8TX, Merseyside, England.</t>
  </si>
  <si>
    <t>gunjan.katyal@nottingham.ac.uk; brad.ebanks@nottingham.ac.uk; adam.dowle@york.ac.uk; freya.shephard@nottingham.ac.uk; chiara.papetti@unipd.it; magnus.lucassen@awi.de; lisa.chakrabarti@nottingham.ac.uk</t>
  </si>
  <si>
    <t>Chakrabarti, Lisa/G-4236-2011</t>
  </si>
  <si>
    <t>Ebanks, Brad/0000-0002-0067-430X; Chakrabarti, Lisa/0000-0001-7213-6837; Dowle, Adam/0000-0002-6501-5444; Papetti, Chiara/0000-0002-4567-459X</t>
  </si>
  <si>
    <t>Vice Chancellor's International Scholarship for Research Excellence, University of Nottingham; Biotechnology and Biological Sciences Research Council [BB/J014508/1]; University of Nottingham International Research Collaboration Fund award</t>
  </si>
  <si>
    <t>Vice Chancellor's International Scholarship for Research Excellence, University of Nottingham; Biotechnology and Biological Sciences Research Council(UK Research &amp; Innovation (UKRI)Biotechnology and Biological Sciences Research Council (BBSRC)); University of Nottingham International Research Collaboration Fund award</t>
  </si>
  <si>
    <t>Gunjan Katyal was supported by Vice Chancellor's International Scholarship for Research Excellence, University of Nottingham (2018-2021). Brad Ebanks was supported by the Biotechnology and Biological Sciences Research Council [grant number BB/J014508/1]. This collaboration was made possible by a University of Nottingham International Research Collaboration Fund award.</t>
  </si>
  <si>
    <t>10.3390/biology11081118</t>
  </si>
  <si>
    <t>4D4LR</t>
  </si>
  <si>
    <t>WOS:000847114100001</t>
  </si>
  <si>
    <t>Monti-Birkenmeier, M; Diociaiuti, T; Castagno, P; Budillon, G; Umani, SF</t>
  </si>
  <si>
    <t>Monti-Birkenmeier, Marina; Diociaiuti, Tommaso; Castagno, Pasquale; Budillon, Giorgio; Fonda Umani, Serena</t>
  </si>
  <si>
    <t>Pluridecadal Temporal Patterns of Tintinnids (Ciliophora, Spirotrichea) in Terra Nova Bay (Ross Sea, Antarctica)</t>
  </si>
  <si>
    <t>tintinnids; biomass; Antarctica; Ross Sea; polynya</t>
  </si>
  <si>
    <t>SOUTHERN-OCEAN; AUSTRAL SUMMER; PHYTOPLANKTON BIOMASS; SPATIAL-PATTERNS; MCMURDO SOUND; ICE-ZONE; FOOD-WEB; MICROZOOPLANKTON; VARIABILITY; POLYNYA</t>
  </si>
  <si>
    <t>During the next century, the Ross Sea is expected to reduce summer sea ice concentrations and consolidate the presence of shallower mixed layers. Those changes may have a potentially catastrophic effect on the zooplankton community. To investigate if Ross Sea's past physical and biological condition changes have affected the tintinnids population, and to understand future tintinnids' role in the plankton community, seawater samples collected in the Terra Nova Bay polynya area during eleven summer expeditions from 1988 to 2017 were analyzed. During this time period, tintinnids' abundance ranged from 0 to a maximum of 4980 indL(-1). The most representative species were Cymatocylis drygalskii, Codonellopsis gaussi and Laackmanniella naviculifaera. These species can be considered keystone species and they can be used to monitor the long-term evolution of the whole microzooplankton community in Terra Nova Bay polynya. The tintinnids' abundance presented minimum values in 2001 after which there has been a significant increase in the most recent years. The increase in tintinnids' abundance showed a positive correlation with the temperature, while salinity did not indicate any relationship. In particular, the majority of genera detected showed a significant temperature correlation, with the only exception of Amphorides genus, recorded for the first time in the study area. Our results provide new insights into the spatial distribution and structure of the Antarctic tintinnids community.</t>
  </si>
  <si>
    <t>[Monti-Birkenmeier, Marina; Diociaiuti, Tommaso] Natl Inst Oceanog &amp; Appl Geophys OGS, Via Piccard 54, I-34151 Trieste, Italy; [Castagno, Pasquale] Univ Messina, Dipartimento Scienze Matemat &amp; Informat, Scienze Fis Scienze Terra, Via Stagno Alcontres, I-98166 Messina, Italy; [Budillon, Giorgio] Univ Napoli Parthenope, Centro Direzionale Isola C4, Dept Sci &amp; Technol, I-80143 Naples, Italy; [Fonda Umani, Serena] Univ Trieste, Dept Life Sciences, Via Valerio 28-1, I-34127 Trieste, Italy</t>
  </si>
  <si>
    <t>Istituto Nazionale di Oceanografia e di Geofisica Sperimentale; University of Messina; Parthenope University Naples; University of Trieste</t>
  </si>
  <si>
    <t>Monti-Birkenmeier, M (corresponding author), Natl Inst Oceanog &amp; Appl Geophys OGS, Via Piccard 54, I-34151 Trieste, Italy.</t>
  </si>
  <si>
    <t>mmonti@ogs.it; tdiociaiuti@ogs.it; pcastagno@unime.it; giorgio.budillon@uniparthenope.it; serefonda@gmail.com</t>
  </si>
  <si>
    <t>Castagno, Pasquale/HCI-3939-2022; monti, marina/O-2910-2015; Castagno, Pasquale/JAC-6923-2023</t>
  </si>
  <si>
    <t>Castagno, Pasquale/0000-0002-5705-1066; Monti, Marina/0000-0001-5198-7798</t>
  </si>
  <si>
    <t>Italian National Antarctic Research Program (PNRA) [PNRA18_00256]; Italian National Antarctic Museum (MNA)</t>
  </si>
  <si>
    <t>Italian National Antarctic Research Program (PNRA)(Ministry of Education, Universities and Research (MIUR)); Italian National Antarctic Museum (MNA)</t>
  </si>
  <si>
    <t>This research was supported by the Italian National Antarctic Research Program (PNRA). P.C. was supported by PNRA Grant number PNRA18_00256. The authors are grateful to the Italian National Antarctic Scientific Commission (CSNA) and the Italian National Antarctic program (PNRA) for the endorsement of this initiative and to the Italian National Antarctic Museum (MNA) for the financial support.</t>
  </si>
  <si>
    <t>10.3390/d14080604</t>
  </si>
  <si>
    <t>4B7XO</t>
  </si>
  <si>
    <t>WOS:000845985300001</t>
  </si>
  <si>
    <t>Moguel, IS; Yamakawa, CK; Brumano, LP; Pessoa, A; Mussatto, SI</t>
  </si>
  <si>
    <t>Moguel, Ignacio S.; Yamakawa, Celina K.; Brumano, Larissa P.; Pessoa, Adalberto; Mussatto, Solange I.</t>
  </si>
  <si>
    <t>Selection and Optimization of Medium Components for the Efficient Production of L-Asparaginase by Leucosporidium scottii L115-A Psychrotolerant Yeast</t>
  </si>
  <si>
    <t>FERMENTATION-BASEL</t>
  </si>
  <si>
    <t>L-asparaginase; medium composition; optimization; Leucosporidium scottii; psychrotolerant</t>
  </si>
  <si>
    <t>BREWERS SPENT GRAIN; GLUTAMINASE ACTIVITIES; NITROGEN-SOURCES; COLD ADAPTATION; MARINE; PURIFICATION; EXPRESSION; PROLINE; CARBON</t>
  </si>
  <si>
    <t>This study reports the production of L-asparaginase (ASNase), an enzyme mainly used for the treatment of acute lymphoblastic leukemia, by Leucosporidium scottii L115, a psychrotolerant yeast isolated from the Antarctic ecosystem. Focus was given to select the most appropriate medium components able to maximize the enzyme production by this yeast, as a first step for the development of a new process to produce ASNase. By combining knowledge in bioprocesses, statistical analysis and modeling, the medium composition that most favored enzyme production was established, which consisted of using a mixture of sucrose (28.34 g L-1) and glycerol (15.61 g L-1) as carbon sources, supplemented with proline (6.15 g L-1) and the following salts (g L-1): KCl, 0.52; MgSO4 center dot 7H(2)O, 0.52; CuNO3 center dot 3H(2)O, 0.001; ZnSO4 center dot 7H(2)O, 0.001; and FeSO4 center dot 7H(2)O, 0.001. By using this medium, enzyme production of 2850 U L-1 (productivity of 23.75 U L-1 h(-1)) was obtained, which represented a 28-fold increase in enzyme production per gram of cells (178 U gdcw(-1)) when compared to the control (non-optimized medium), and a 50-fold increase when compared to a reference medium used for ASNase production.</t>
  </si>
  <si>
    <t>[Moguel, Ignacio S.; Brumano, Larissa P.; Pessoa, Adalberto] Univ Sao Paulo, Sch Pharmaceut Sci, Dept Biochem Pharmaceut Technol, BR-05508000 Butanta, SP, Brazil; [Yamakawa, Celina K.; Mussatto, Solange I.] Tech Univ Denmark, Dept Biotechnol &amp; Biomed, Bldg 223, DK-2800 Lyngby, Denmark; [Brumano, Larissa P.] Fed Univ ABC, Ctr Nat &amp; Human Sci, Ave Estados 5001, BR-09210580 Santo Andre, SP, Brazil</t>
  </si>
  <si>
    <t>Universidade de Sao Paulo; Technical University of Denmark</t>
  </si>
  <si>
    <t>Mussatto, SI (corresponding author), Tech Univ Denmark, Dept Biotechnol &amp; Biomed, Bldg 223, DK-2800 Lyngby, Denmark.</t>
  </si>
  <si>
    <t>smussatto@dtu.dk</t>
  </si>
  <si>
    <t>Mussatto, Solange I./N-3355-2019; Sánchez Moguel, Ignacio/KBC-5107-2024; Brumano, Larissa/H-9927-2014; Yamakawa, Celina Kiyomi/ABF-3282-2020; Pessoa-Junior, Adalberto/B-7963-2012</t>
  </si>
  <si>
    <t>Mussatto, Solange I./0000-0002-7182-6198; Sánchez Moguel, Ignacio/0000-0003-3706-4780; Brumano, Larissa/0000-0003-1135-4827; Yamakawa, Celina Kiyomi/0000-0003-2394-0364; Pessoa-Junior, Adalberto/0000-0002-5268-8690</t>
  </si>
  <si>
    <t>Novo Nordisk Foundation, Denmark [NNF20SA0066233]; State of Sao Paulo Research Foundation; FAPESP, Brazil [2013/08617-7, 2019/03981-9]; Mexican Council for Science and Technology, CONACYT, Mexico [298596]</t>
  </si>
  <si>
    <t>Novo Nordisk Foundation, Denmark(Novo Nordisk Foundation); State of Sao Paulo Research Foundation(Fundacao de Amparo a Pesquisa do Estado de Sao Paulo (FAPESP)); FAPESP, Brazil(Fundacao de Amparo a Pesquisa do Estado de Sao Paulo (FAPESP)); Mexican Council for Science and Technology, CONACYT, Mexico(Consejo Nacional de Ciencia y Tecnologia (CONACyT))</t>
  </si>
  <si>
    <t>This work was supported by the Novo Nordisk Foundation, Denmark (grant number NNF20SA0066233), the State of Sao Paulo Research Foundation, FAPESP, Brazil (grant numbers 2013/08617-7 and 2019/03981-9) and the Mexican Council for Science and Technology, CONACYT, Mexico (grant number 298596).</t>
  </si>
  <si>
    <t>2311-5637</t>
  </si>
  <si>
    <t>FERMENTATION</t>
  </si>
  <si>
    <t>10.3390/fermentation8080398</t>
  </si>
  <si>
    <t>Biotechnology &amp; Applied Microbiology; Food Science &amp; Technology</t>
  </si>
  <si>
    <t>4B7BP</t>
  </si>
  <si>
    <t>WOS:000845928200001</t>
  </si>
  <si>
    <t>Sousa, CSV; Power, DM; Guerreiro, PM; Louro, B; Chen, LB; Canario, AVM</t>
  </si>
  <si>
    <t>Sousa, Carmen S. V.; Power, Deborah M.; Guerreiro, Pedro M.; Louro, Bruno; Chen, Liangbiao; Canario, Adelino V. M.</t>
  </si>
  <si>
    <t>Transcriptomic Down-Regulation of Immune System Components in Barrier and Hematopoietic Tissues after Lipopolysaccharide Injection in Antarctic Notothenia coriiceps</t>
  </si>
  <si>
    <t>Antarctic fish; head-kidney; innate immunity; duodenum; lipopolysaccharide; skin; transcriptomics</t>
  </si>
  <si>
    <t>BREAM SPARUS-AURATA; OXIDIZED FISH-OIL; NF-KAPPA-B; EXPRESSION ANALYSIS; INFLAMMATORY RESPONSE; MOLECULAR-DYNAMICS; GENE-EXPRESSION; INNATE; TEMPERATURE; EVOLUTION</t>
  </si>
  <si>
    <t>The environmental conditions and isolation in the Antarctic have driven the evolution of a unique biodiversity at a macro to microorganism scale. Here, we investigated the possible adaptation of the teleost Notothenia coriiceps immune system to the cold environment and unique microbial community of the Southern Ocean. The fish immune system was stimulated through an intraperitoneal injection of lipopolysaccharide (LPS 0111:B4 from E. coli) and the tissue transcriptomic response and plasma biochemistry were analyzed 7 days later and compared to a sham injected control. Gene transcription in the head-kidney, intestine and skin was significantly modified by LPS, although tissues showed different responsiveness, with the duodenum most modified and the skin the least modified. The most modified processes in head-kidney, duodenum and skin were related to cell metabolism (up-regulated) and the immune system (comprising 30% of differentially expressed genes). The immune processes identified were mostly down-regulated, particularly interleukins and pattern recognition receptors (PRRs), nucleotide-binding oligomerization domain-like receptors and mannose receptors, unlike the toll-like receptors response commonly described in other teleost fish. The modified transcriptional response was not mirrored by a modified systemic response, as the circulating levels of enzymes of innate immunity, lysozyme and antiproteases, were not significantly different from the untreated and sham control fish. In conclusion, while the N. coriiceps immune system shares many features with other teleosts there are also some specificities. Further studies should better characterize the PRRs and their role in Antarctic teleosts, as well as the importance of the LPS source and its consequences for immune activation in teleosts.</t>
  </si>
  <si>
    <t>[Sousa, Carmen S. V.; Power, Deborah M.; Guerreiro, Pedro M.; Louro, Bruno; Canario, Adelino V. M.] Univ Algarve, CCMAR CIMAR LA Ctr Marine Sci, Campus Gambelas, P-8005139 Faro, Portugal; [Power, Deborah M.; Chen, Liangbiao; Canario, Adelino V. M.] Shanghai Ocean Univ, Int Res Ctr Marine Biosci, Minist Sci &amp; Technol, Shanghai 201306, Peoples R China; [Chen, Liangbiao] Shanghai Ocean Univ, Key Lab Explorat &amp; Utilizat Aquat Genet Resources, Minist Educ, Shanghai 201306, Peoples R China; [Chen, Liangbiao] Shanghai Ocean Univ, Natl Demonstrat Ctr Expt Fisheries Sci Educ, Shanghai 201306, Peoples R China</t>
  </si>
  <si>
    <t>Universidade do Algarve; Shanghai Ocean University; Shanghai Ocean University; Shanghai Ocean University</t>
  </si>
  <si>
    <t>Canario, AVM (corresponding author), Univ Algarve, CCMAR CIMAR LA Ctr Marine Sci, Campus Gambelas, P-8005139 Faro, Portugal.;Canario, AVM (corresponding author), Shanghai Ocean Univ, Int Res Ctr Marine Biosci, Minist Sci &amp; Technol, Shanghai 201306, Peoples R China.</t>
  </si>
  <si>
    <t>csvsousa@ualg.pt; dpower@ualg.pt; pmgg@ualg.pt; blouro@ualg.pt; lbchen@shou.edu.cn; acanario@ualg.pt</t>
  </si>
  <si>
    <t>Canario, Adelino/C-7942-2009; Guerreiro, Pedro Miguel Mendes/L-1826-2017</t>
  </si>
  <si>
    <t>Canario, Adelino/0000-0002-6244-6468; Guerreiro, Pedro Miguel Mendes/0000-0001-7272-2000; Sousa, Carmen/0000-0002-3483-1932; , liangbiao/0000-0002-0717-8536; Power, Deborah/0000-0003-1366-0246</t>
  </si>
  <si>
    <t>Portuguese Foundation for Science and Technology (FCT) [FCT-NSFC/0002/2016, PTDC/BIAANM/3484/2014]; Portuguese Polar Programme FACC PROPOLAR [UIDB/04326/2020, SFRH/BD/120040/2016, DL 57/2016/CP1361/CT0005]; Fundação para a Ciência e a Tecnologia [DL 57/2016/CP1361/CT0005, SFRH/BD/120040/2016] Funding Source: FCT</t>
  </si>
  <si>
    <t>Portuguese Foundation for Science and Technology (FCT)(Fundacao para a Ciencia e a Tecnologia (FCT)); Portuguese Polar Programme FACC PROPOLAR; Fundação para a Ciência e a Tecnologia(Fundacao para a Ciencia e a Tecnologia (FCT))</t>
  </si>
  <si>
    <t>This work was funded by Portuguese Foundation for Science and Technology (FCT) through projects FCT-NSFC/0002/2016, PTDC/BIAANM/3484/2014, Portuguese Polar Programme FACC PROPOLAR 2016-2017, UIDB/04326/2020, PhD fellowship SFRH/BD/120040/2016 to CS and Norma transitoria-DL 57/2016/CP1361/CT0005 contract with the University of Algarve to BL.</t>
  </si>
  <si>
    <t>10.3390/fishes7040171</t>
  </si>
  <si>
    <t>4C0EC</t>
  </si>
  <si>
    <t>WOS:000846137500001</t>
  </si>
  <si>
    <t>Cabrera, MA; Márquez, SL; Pérez-Donoso, JM</t>
  </si>
  <si>
    <t>Cabrera, Ma. Angeles; Marquez, Sebastian L.; Perez-Donoso, Jose M.</t>
  </si>
  <si>
    <t>Comparative Genomic Analysis of Antarctic Pseudomonas Isolates with 2,4,6-Trinitrotoluene Transformation Capabilities Reveals Their Unique Features for Xenobiotics Degradation</t>
  </si>
  <si>
    <t>GENES</t>
  </si>
  <si>
    <t>Pseudomonas; TNT; comparative genomics; Antarctica; bioremediation; xenobiotics</t>
  </si>
  <si>
    <t>SP NOV.; AEROBIC DEGRADATION; GENETIC ADAPTATION; INSERTION-SEQUENCE; MOLECULAR-CLONING; REDUCTASE-B; TNT; AERUGINOSA; NITROREDUCTASE; AZOREDUCTASE</t>
  </si>
  <si>
    <t>The nitroaromatic explosive 2,4,6-trinitrotoluene (TNT) is a highly toxic and persistent environmental pollutant. Since physicochemical methods for remediation are poorly effective, the use of microorganisms has gained interest as an alternative to restore TNT-contaminated sites. We previously demonstrated the high TNT-transforming capability of three novel Pseudomonas spp. isolated from Deception Island, Antarctica, which exceeded that of the well-characterized TNT-degrading bacterium Pseudomonas putida KT2440. In this study, a comparative genomic analysis was performed to search for the metabolic functions encoded in the genomes of these isolates that might explain their TNT-transforming phenotype, and also to look for differences with 21 other selected pseudomonads, including xenobiotics-degrading species. Comparative analysis of xenobiotic degradation pathways revealed that our isolates have the highest abundance of key enzymes related to the degradation of fluorobenzoate, TNT, and bisphenol A. Further comparisons considering only TNT-transforming pseudomonads revealed the presence of unique genes in these isolates that would likely participate directly in TNT-transformation, and others involved in the beta-ketoadipate pathway for aromatic compound degradation. Lastly, the phylogenomic analysis suggested that these Antarctic isolates likely represent novel species of the genus Pseudomonas, which emphasizes their relevance as potential agents for the bioremediation of TNT and other xenobiotics.</t>
  </si>
  <si>
    <t>[Cabrera, Ma. Angeles; Marquez, Sebastian L.; Perez-Donoso, Jose M.] Univ Andres Bello, Fac Ciencias Vida, Ctr Bioinformat &amp; Integrat Biol CBIB, Santiago 8320000, Chile</t>
  </si>
  <si>
    <t>Universidad Andres Bello</t>
  </si>
  <si>
    <t>Pérez-Donoso, JM (corresponding author), Univ Andres Bello, Fac Ciencias Vida, Ctr Bioinformat &amp; Integrat Biol CBIB, Santiago 8320000, Chile.</t>
  </si>
  <si>
    <t>mac.biosc@gmail.com; sebastian.marquez@usach.cl; jose.perez@unab.cl</t>
  </si>
  <si>
    <t>Research, Development and Engineering Command (RDECOM US Army) [W911NF-17-2-0156]; Fondo Nacional de Desarrollo Cientifico y Tecnologico (FONDECYT) [1200870, 3170718]; Instituto Antartico Chileno (INACH) [RT_25-16]</t>
  </si>
  <si>
    <t>Research, Development and Engineering Command (RDECOM US Army); Fondo Nacional de Desarrollo Cientifico y Tecnologico (FONDECYT)(Comision Nacional de Investigacion Cientifica y Tecnologica (CONICYT)CONICYT FONDECYT); Instituto Antartico Chileno (INACH)</t>
  </si>
  <si>
    <t>This research was funded by Research, Development and Engineering Command (RDECOM US Army) (W911NF-17-2-0156); Fondo Nacional de Desarrollo Cientifico y Tecnologico (FONDECYT) (1200870, J.M.P.D.) and (3170718, Carolina P. Quezada); Instituto Antartico Chileno (INACH) (RT_25-16, Expedicion Cientifica Antartica 53 and 54).</t>
  </si>
  <si>
    <t>2073-4425</t>
  </si>
  <si>
    <t>GENES-BASEL</t>
  </si>
  <si>
    <t>Genes</t>
  </si>
  <si>
    <t>10.3390/genes13081354</t>
  </si>
  <si>
    <t>Genetics &amp; Heredity</t>
  </si>
  <si>
    <t>4B8BQ</t>
  </si>
  <si>
    <t>WOS:000845995900001</t>
  </si>
  <si>
    <t>Truax, OJ; Otto-Bliesner, BL; Brady, EC; Stevens, CL; Wilson, GS; Riesselman, CR</t>
  </si>
  <si>
    <t>Truax, Olivia J.; Otto-Bliesner, Bette L.; Brady, Esther C.; Stevens, Craig L.; Wilson, Gary S.; Riesselman, Christina R.</t>
  </si>
  <si>
    <t>Drivers of Last Millennium Antarctic Climate Evolution in an Ensemble of Community Earth System Model Simulations</t>
  </si>
  <si>
    <t>last millennium; Antarctica; Antarctic dipole; Little Ice Age; Medieval Climate Anomaly; CESM-LME simulations; Southern Annular Mode; El Nino-Southern Oscillation; sea ice extent</t>
  </si>
  <si>
    <t>SCALE TEMPERATURE VARIABILITY; SOUTHERN ANNULAR MODE; ICE-AGE; ROSS SEA; RECONSTRUCTIONS; SIGNATURES; PATTERNS; ABSENCE</t>
  </si>
  <si>
    <t>Improved understanding of the drivers of climate variability, particularly over the last millennium, and its influence on Antarctic ice melt have important implications for projecting ice sheet resilience in a changing climate. Here, we investigated the variability in Antarctic climate and sea ice extent during the last millennium (850-1850 CE) by comparing paleoenvironmental reconstructions with simulations from the Community Earth System Model Last Millennium Ensemble (CESM-LME). Atmospheric and oceanic response to external forcing in CESM-LME simulations typically take the form of an Antarctic dipole: cooling over most of Antarctica and warming east of the Antarctic Peninsula. This configuration is also observed in ice core records. Unforced variability and a dipole response to large volcanic eruptions contribute to weaker cooling in the Antarctic than the Arctic, consistent with the absence of a strong volcanic signal in Antarctic ice core records. The ensemble does not support a clear link between the dipole pattern and baseline shifts in the Southern Annular Mode and El Nino-Southern Oscillation proposed by some paleoclimate reconstructions. Our analysis provides a point of comparison for paleoclimate reconstructions and highlights the role of internal climate variability in driving modeled last millennium climate evolution in the Antarctic.</t>
  </si>
  <si>
    <t>[Truax, Olivia J.; Riesselman, Christina R.] Univ Otago, Dept Geol, Dunedin 9016, New Zealand; [Truax, Olivia J.; Riesselman, Christina R.] Univ Otago, Dept Marine Sci, Dunedin 9016, New Zealand; [Otto-Bliesner, Bette L.; Brady, Esther C.] Natl Ctr Atmospher Res Boulder, Boulder, CO 80305 USA; [Stevens, Craig L.] Natl Inst Water &amp; Atmospher Res, Wellington 6241, New Zealand; [Stevens, Craig L.] Univ Auckland, Dept Phys, Auckland 1010, New Zealand; [Wilson, Gary S.] GNS Sci, Lower Hutt 5040, New Zealand</t>
  </si>
  <si>
    <t>University of Otago; University of Otago; National Center Atmospheric Research (NCAR) - USA; National Institute of Water &amp; Atmospheric Research (NIWA) - New Zealand; University of Auckland; GNS Science - New Zealand</t>
  </si>
  <si>
    <t>Truax, OJ (corresponding author), Univ Otago, Dept Geol, Dunedin 9016, New Zealand.;Truax, OJ (corresponding author), Univ Otago, Dept Marine Sci, Dunedin 9016, New Zealand.</t>
  </si>
  <si>
    <t>oliviajtruax@gmail.com; ottobli@ucar.edu; brady@ucar.edu; craig.stevens@niwa.co.nz; g.wilson@gns.cri.nz; christina.riesselman@otago.ac.nz</t>
  </si>
  <si>
    <t>Wilson, Gary S/B-3803-2010; Riesselman, Christina R/H-5037-2012</t>
  </si>
  <si>
    <t>Truax, Olivia/0000-0002-3194-5248; Stevens, Craig/0000-0002-4730-6985; Riesselman, Christina/0000-0002-2436-4306; Wilson, Gary/0000-0003-0025-3641</t>
  </si>
  <si>
    <t>New Zealand Ministry of Business, Innovation and Employment through the Antarctic Science Platform [ANTA1801]; Antarctica New Zealand; University of Otago; Amherst College</t>
  </si>
  <si>
    <t>New Zealand Ministry of Business, Innovation and Employment through the Antarctic Science Platform(New Zealand Ministry of Business, Innovation and Employment (MBIE)); Antarctica New Zealand; University of Otago; Amherst College</t>
  </si>
  <si>
    <t>This study was financed in part by the New Zealand Ministry of Business, Innovation and Employment through the Antarctic Science Platform (ANTA1801). O.J.T. received additional support from Antarctica New Zealand, Amherst College, and the University of Otago.</t>
  </si>
  <si>
    <t>10.3390/geosciences12080299</t>
  </si>
  <si>
    <t>4B8AU</t>
  </si>
  <si>
    <t>WOS:000845993700001</t>
  </si>
  <si>
    <t>He, ZC; Naganuma, T; Nakai, R; Imura, S; Tsujimoto, M; Convey, P</t>
  </si>
  <si>
    <t>He, Zichen; Naganuma, Takeshi; Nakai, Ryosuke; Imura, Satoshi; Tsujimoto, Megumu; Convey, Peter</t>
  </si>
  <si>
    <t>Microbiomic Analysis of Bacteria Associated with Rock Tripe Lichens in Continental and Maritime Antarctic Regions</t>
  </si>
  <si>
    <t>Umbilicaria; Antarctica; rRNA gene; V3-V4 region; MiSeq; OTUs; biogeography; metabolism</t>
  </si>
  <si>
    <t>LOBARIA-PULMONARIA; DIVERSITY; RDNA; COMMUNITIES; METABOLISM; GEOGRAPHY; PARTNERS; ALGAL</t>
  </si>
  <si>
    <t>Increased research attention is being given to bacterial diversity associated with lichens. Rock tripe lichens (Umbilicariaceae) were collected from two distinct Antarctic biological regions, the continental region near the Japanese Antarctic station (Syowa Station) and the maritime Antarctic South Orkney Islands (Signy Island), in order to compare their bacterial floras and potential metabolism. Bulk DNA extracted from the lichen samples was used to amplify the 18S rRNA gene and the V3-V4 region of the 16S rRNA gene, whose amplicons were Sanger- and MiSeq-sequenced, respectively. The fungal and algal partners represented members of the ascomycete genus Umbilicaria and the green algal genus Trebouxia, based on 18S rRNA gene sequences. The V3-V4 sequences were grouped into operational taxonomic units (OTUs), which were assigned to eight bacterial phyla, Acidobacteriota, Actinomyceota, Armatimonadota, Bacteroidota, Cyanobacteria, Deinococcota, Pseudomonadota and the candidate phylum Saccharibacteria (also known as TM7), commonly present in all samples. The OTU floras of the two biological regions were clearly distinct, with regional biomarker genera, such as Mucilaginibacter and Gluconacetobacter, respectively. The OTU-based metabolism analysis predicted higher membrane transport activities in the maritime Antarctic OTUs, probably influenced by the sampling area's warmer maritime climatic setting.</t>
  </si>
  <si>
    <t>[He, Zichen; Naganuma, Takeshi] Hiroshima Univ, Grad Sch Integrated Sci Life, 1-4-4 Kagamiyama, Higashihiroshima 7398528, Japan; [Nakai, Ryosuke] Natl Inst Adv Ind Sci &amp; Technol, Bioprod Res Inst, 2-17-2-1 Tsukisamu Higashi, Sapporo, Hokkaido 0628517, Japan; [Imura, Satoshi; Tsujimoto, Megumu] Natl Inst Polar Res, 10-3 Midori Cho, Tachikawa, Tokyo 1908518, Japan; [Imura, Satoshi] Grad Univ Adv Studies, Dept Polar Sci, SOKENDAI, 10-3 Midori Cho, Tachikawa, Tokyo 1908518, Japan; [Tsujimoto, Megumu] Keio Univ, Fac Environm &amp; Informat Studies, 5322 Endo, Fujisawa, Kanagawa 2520882, Japan; [Convey, Peter] British Antarctic Survey, Madingley Rd, Cambridge CB3 0ET, England; [Convey, Peter] Univ Johannesburg, Dept Zool, Auckland Pk, ZA-2006 Johannesburg, South Africa; [Convey, Peter] Millennium Inst Biodivers Antarctic &amp; Subantarct, Santiago 7800003, Chile; [Convey, Peter] Cape Horn Int Ctr CHIC, Puerto Williams 6350000, Chile</t>
  </si>
  <si>
    <t>Hiroshima University; National Institute of Advanced Industrial Science &amp; Technology (AIST); Research Organization of Information &amp; Systems (ROIS); National Institute of Polar Research (NIPR) - Japan; Graduate University for Advanced Studies - Japan; Keio University; UK Research &amp; Innovation (UKRI); Natural Environment Research Council (NERC); NERC British Antarctic Survey; University of Johannesburg</t>
  </si>
  <si>
    <t>Naganuma, T (corresponding author), Hiroshima Univ, Grad Sch Integrated Sci Life, 1-4-4 Kagamiyama, Higashihiroshima 7398528, Japan.</t>
  </si>
  <si>
    <t>he-zichen@hiroshima-u.ac.jp; takn@hiroshima-u.ac.jp; nakai-ryosuke@aist.go.jp; imura@nipr.ac.jp; megumu@sfc.keio.ac.jp; pcon@bas.ac.uk</t>
  </si>
  <si>
    <t>Convey, Peter/AAV-5728-2020; Naganuma, Takeshi/AAX-7064-2021; Tsujimoto, Megumu/JCE-5500-2023; Nakai, Ryosuke/O-6217-2015</t>
  </si>
  <si>
    <t>Convey, Peter/0000-0001-8497-9903; Naganuma, Takeshi/0000-0003-1925-9461; Tsujimoto, Megumu/0000-0001-5160-6086; Nakai, Ryosuke/0000-0002-3078-6695; Imura, Satoshi/0000-0002-6803-6996</t>
  </si>
  <si>
    <t>JSPS KAKENHI [16H05765]; NERC</t>
  </si>
  <si>
    <t>JSPS KAKENHI(Ministry of Education, Culture, Sports, Science and Technology, Japan (MEXT)Japan Society for the Promotion of ScienceGrants-in-Aid for Scientific Research (KAKENHI)); NERC(UK Research &amp; Innovation (UKRI)Natural Environment Research Council (NERC))</t>
  </si>
  <si>
    <t>This work was supported by JSPS KAKENHI Grant Number 16H05765 to T.N. P.C. is supported by NERC core funding to the BAS `Biodiversity, Evolution and Adaptation' team.</t>
  </si>
  <si>
    <t>10.3390/jof8080817</t>
  </si>
  <si>
    <t>4B5DJ</t>
  </si>
  <si>
    <t>WOS:000845797600001</t>
  </si>
  <si>
    <t>Wang, JH; Yang, YD; Wang, CY; Li, LY</t>
  </si>
  <si>
    <t>Wang, Junhao; Yang, Yuande; Wang, Chuya; Li, Leiyu</t>
  </si>
  <si>
    <t>Accelerated Glacier Mass Loss over Svalbard Derived from ICESat-2 in 2019-2021</t>
  </si>
  <si>
    <t>Svalbard; ICESat-2; satellite altimetry; elevation change; mass change</t>
  </si>
  <si>
    <t>ELEVATION CHANGE; ICE-SHEET; CLIMATE; BALANCE</t>
  </si>
  <si>
    <t>The glaciers in Arctic Archipelago of Svalbard, located in the hotspot of global warming, are sensitive to climate change. The assessment of glacier mass balance in Svalbard is one of the hotspots in Arctic research. In this study, we use the laser altimetry ICESat-2 data to investigate the elevation and mass change of Svalbard from 2019 to 2021 by a hypsometric approach. It is shown that the Svalbard-wide elevation change rate is -0.775 +/- 0.225 m yr(-1) in 2019-2021, corresponding to the mass change of -14.843 +/- 4.024 Gt yr(-1). All regions exhibit a negative mass balance, and the highest mass loss rates are observed at Northwestern Spitsbergen. Compared with ICESat/ICESat-2 (2003-2008 to 2019) and Cryosat-2 (2011-2017) periods, the elevation change from 2019 to 2021 has accelerated, with an increase by 158.3% and 31.5%, respectively, leading to equilibrium line altitude increasing to 750 m. Among the seven subregions, four are accelerated. It is shown that the overall accelerated glacier mass loss in Svalbard is expected to be caused by increasing surge events and temperature rise.</t>
  </si>
  <si>
    <t>[Wang, Junhao; Yang, Yuande; Wang, Chuya; Li, Leiyu] Wuhan Univ, Chinese Antarctic Ctr Surveying &amp; Mapping, Wuhan 430079, Peoples R China</t>
  </si>
  <si>
    <t>Wuhan University</t>
  </si>
  <si>
    <t>Yang, YD (corresponding author), Wuhan Univ, Chinese Antarctic Ctr Surveying &amp; Mapping, Wuhan 430079, Peoples R China.</t>
  </si>
  <si>
    <t>yuandeyang@whu.edu.cn</t>
  </si>
  <si>
    <t>WANG, JUNHAO/GWU-5051-2022</t>
  </si>
  <si>
    <t>WANG, JUNHAO/0000-0002-4886-1067; Wang, Chuya/0000-0001-5054-2367</t>
  </si>
  <si>
    <t>National Natural Science Foundation of China (NSFC) [42076234, 41876227]</t>
  </si>
  <si>
    <t>This research was funded by the National Natural Science Foundation of China (NSFC), grant number 42076234, 41876227.</t>
  </si>
  <si>
    <t>10.3390/atmos13081255</t>
  </si>
  <si>
    <t>4C0KP</t>
  </si>
  <si>
    <t>WOS:000846154400001</t>
  </si>
  <si>
    <t>Allen, CS; Weich, ZC</t>
  </si>
  <si>
    <t>Allen, Claire S.; Weich, Zelna C.</t>
  </si>
  <si>
    <t>Variety and Distribution of Diatom-Based Sea Ice Proxies in Antarctic Marine Sediments of the Past 2000 Years</t>
  </si>
  <si>
    <t>sea ice; Antarctica; late Holocene; marine sediments; diatoms; Southern Ocean</t>
  </si>
  <si>
    <t>THALASSIOSIRA-AUSTRALIS-PERAGALLO; HIGHLY BRANCHED ISOPRENOIDS; WATER-COLUMN ASSEMBLAGES; NORTHWESTERN WEDDELL SEA; SOUTHERN-OCEAN SEDIMENTS; KING-GEORGE-ISLAND; LATE-HOLOCENE; SURFACE SEDIMENTS; ADELIE LAND; ELLIS FJORD</t>
  </si>
  <si>
    <t>Antarctic sea ice is an essential component of the global climate system. Reconstructions of Antarctic sea ice from marine sediment cores are a vital resource to improve the representation of Antarctic sea ice in climate models and to better understand natural variability in sea ice over centennial and sub-centennial timescales. The Thomas et al. (2019) review of Antarctic sea ice reconstructions from ice and marine cores highlighted the prominence of diatom-based proxies in this research. Here, focusing solely on the diatom-based proxy records in marine sediments, we review the composition of proxies, their advantages and limitations, as well as the spatial and temporal cover of the records over the past 2 ka in order to assess the scope for future assimilation and standardization. The archive comprises 112 records from 68 marine cores, with proxies based on more than 30 different combinations of diatom taxa as well as the relatively new, highly branched isoprenoid (HBI) biomarkers.</t>
  </si>
  <si>
    <t>[Allen, Claire S.; Weich, Zelna C.] British Antarctic Survey, High Cross,Madingley Rd, Cambridge CB3 0ET, England; [Weich, Zelna C.] Cardiff Univ, Sch Earth &amp; Environm Sci, Main Bldg,Pk Pl, Cardiff CF10 3AT, Wales</t>
  </si>
  <si>
    <t>UK Research &amp; Innovation (UKRI); Natural Environment Research Council (NERC); NERC British Antarctic Survey; Cardiff University</t>
  </si>
  <si>
    <t>Allen, CS (corresponding author), British Antarctic Survey, High Cross,Madingley Rd, Cambridge CB3 0ET, England.</t>
  </si>
  <si>
    <t>csall@bas.ac.uk; zelch86@bas.ac.uk</t>
  </si>
  <si>
    <t>Allen, Claire/0000-0002-0938-0551</t>
  </si>
  <si>
    <t>British Antarctic Survey; Natural Environment Research Council; National Environments Research Council</t>
  </si>
  <si>
    <t>British Antarctic Survey; Natural Environment Research Council(UK Research &amp; Innovation (UKRI)Natural Environment Research Council (NERC)); National Environments Research Council</t>
  </si>
  <si>
    <t>This research was funded by British Antarctic Survey, with core funding from the Natural Environment Research Council and a PhD studentship from the National Environments Research Council GreatWestern 4+ Doctoral Training Partnership.</t>
  </si>
  <si>
    <t>10.3390/geosciences12080282</t>
  </si>
  <si>
    <t>4B6XQ</t>
  </si>
  <si>
    <t>WOS:000845917900001</t>
  </si>
  <si>
    <t>Rizzo, C; Papale, M; Lo Giudice, A</t>
  </si>
  <si>
    <t>Rizzo, Carmen; Papale, Maria; Lo Giudice, Angelina</t>
  </si>
  <si>
    <t>Idiomarina sp. Isolates from Cold and Temperate Environments as Biosurfactant Producers</t>
  </si>
  <si>
    <t>biosurfactants; Idiomarina; polychlorobiphenyls; cold-adapted; energy saving</t>
  </si>
  <si>
    <t>HALOPHILIC BACTERIA; DEGRADING BACTERIA; SP-NOV; HYDROCARBON; BREVIBACTERIUM; SALINITY</t>
  </si>
  <si>
    <t>Background: The cold-adapted Idiomarina sp. 185 from Antarctic shoreline sediment and the mesophilic Idiomarina sp. A19 from the brackish Lake Faro (Italy) were screened for their efficiency in biosurfactant production by a temperature-mediated approach, when grown in rich culture medium and mineral medium supplemented with biphenyl. Methods: oxidation of polychlorobiphenyls and standard screening tests were performed, i.e., E-24 index detection, surface tension measurement, blood agar plate and C-TAB agar plate. Results: During incubation in rich medium, the strain Idiomarina sp. A19 produced an excellent stable emulsion, recording an E-24 of 73.5%. During growth in mineral medium, isolates showed good efficiency in at least one performed condition by showing species-specific differences related to optimum temperature. In the presence of biphenyl, both Idiomarina isolates created stable emulsions (E-24 approximate to 47.5 and 35%, respectively), as well as surface tension reductions of 30.05 and 35.5 mN/m, respectively. Further differences between isolates were observed by phenotypic characterization. The genome mining approach on available deposited genome sequences for closest relatives offered further insights about the presence of genes for biphenyl degradation, especially for microorganisms derived from different extreme environments. Conclusions: Our results allowed for an interesting comparison which underlined differences in metabolic patterns and in the kinetics of BS production, probably due to the different origins of the strains.</t>
  </si>
  <si>
    <t>[Rizzo, Carmen] Natl Inst Biol, Stn Zool Anton Dohrn, Sicily Marine Ctr, Dept Ecosustainable Marine Biotechnol, Contrada Porticatello 29, I-98167 Messina, Italy; [Rizzo, Carmen; Papale, Maria; Lo Giudice, Angelina] Natl Res Council CNR ISP, Inst Polar Sci, Spianata S Raineri 86, I-98122 Messina, Italy</t>
  </si>
  <si>
    <t>Stazione Zoologica Anton Dohrn di Napoli; Consiglio Nazionale delle Ricerche (CNR); Istituto di Scienze Polari (ISP-CNR)</t>
  </si>
  <si>
    <t>Rizzo, C (corresponding author), Natl Inst Biol, Stn Zool Anton Dohrn, Sicily Marine Ctr, Dept Ecosustainable Marine Biotechnol, Contrada Porticatello 29, I-98167 Messina, Italy.;Rizzo, C (corresponding author), Natl Res Council CNR ISP, Inst Polar Sci, Spianata S Raineri 86, I-98122 Messina, Italy.</t>
  </si>
  <si>
    <t>carmen.rizzo@szn.it</t>
  </si>
  <si>
    <t>Papale, Maria/0000-0002-6013-4436</t>
  </si>
  <si>
    <t>Programma Nazionale di Ricerche in Antartide [PNRA2004/1.6]</t>
  </si>
  <si>
    <t>Programma Nazionale di Ricerche in Antartide(Ministry of Education, Universities and Research (MIUR))</t>
  </si>
  <si>
    <t>This research was funded by the Programma Nazionale di Ricerche in Antartide (grant No. PNRA2004/1.6).</t>
  </si>
  <si>
    <t>10.3390/jmse10081135</t>
  </si>
  <si>
    <t>4B3SG</t>
  </si>
  <si>
    <t>WOS:000845701100001</t>
  </si>
  <si>
    <t>Umbert, M; Hoareau, N; Salat, J; Salvador, J; Guimbard, S; Olmedo, E; Gabarró, C</t>
  </si>
  <si>
    <t>Umbert, Marta; Hoareau, Nina; Salat, Jordi; Salvador, Joaquin; Guimbard, Sebastien; Olmedo, Estrella; Gabarro, Carolina</t>
  </si>
  <si>
    <t>The Contribution of the Vendee Globe Race to Improved Ocean Surface Information: A Validation of the Remotely Sensed Salinity in the Sub-Antarctic Zone</t>
  </si>
  <si>
    <t>sea surface temperature; sea surface salinity; ocean circumnavigation; ships of opportunity; SMOS validation; sub-Antarctic zone</t>
  </si>
  <si>
    <t>CIRCUMPOLAR CURRENT; FRONTS; ARGO</t>
  </si>
  <si>
    <t>The Vendee Globe is the world's most famous solo, non-stop, unassisted sailing race. The Institute of Marine Sciences and the Barcelona Ocean Sailing Foundation installed a MicroCAT on the One Ocean One Planet boat. The skipper, Didac Costa, completed the round trip in 97 days, from 8 November 2020 to 13 February 2021, providing one measurement of temperature and conductivity every 30 s during navigation. More than half of the ship's route was in the sub-Antarctic zone, between the tropical and polar fronts, and it passed through areas of oceanographic interest such as Southern Patagonia (affected by glacier melting), the Brazil-Malvinas confluence, the Southern Pacific Ocean, and the entire Southern Indian Ocean. This sailing race gave a rare opportunity to measure in-situ sea surface salinity in a region where satellite salinity measurements are not reliable. Due to the decreased sensitivity of brightness temperature to salinity in cold seas, retrieving sea surface salinity at high latitudes remains a major challenge. This paper describes how the data are processed and uses the data to validate satellite salinity products in the sub-Antarctic zone. The sailing race measurements represent surface information (60 cm depth) not available from drifters or Argo floats. Acquiring measurements using round-the-world sailing races would allow us to analyse the evolution of ocean salinity and the impact of changes in the ice extent around Antarctica.</t>
  </si>
  <si>
    <t>[Umbert, Marta; Hoareau, Nina; Salat, Jordi; Salvador, Joaquin; Olmedo, Estrella; Gabarro, Carolina] CSIC, Dept Phys &amp; Technol Oceanog, Inst Ciencies Mar, Barcelona 08003, Spain; [Umbert, Marta; Hoareau, Nina; Olmedo, Estrella; Gabarro, Carolina] CSIC UPC, Barcelona Expert Ctr Remote Sensing, Barcelona 08003, Spain; [Guimbard, Sebastien] Ocean Scope, F-29280 Brest, France</t>
  </si>
  <si>
    <t>Consejo Superior de Investigaciones Cientificas (CSIC); CSIC - Centro Mediterraneo de Investigaciones Marinas y Ambientales (CMIMA); CSIC - Instituto de Ciencias del Mar (ICM); Consejo Superior de Investigaciones Cientificas (CSIC)</t>
  </si>
  <si>
    <t>Umbert, M (corresponding author), CSIC, Dept Phys &amp; Technol Oceanog, Inst Ciencies Mar, Barcelona 08003, Spain.;Umbert, M (corresponding author), CSIC UPC, Barcelona Expert Ctr Remote Sensing, Barcelona 08003, Spain.</t>
  </si>
  <si>
    <t>mumbert@icm.csic.es</t>
  </si>
  <si>
    <t>; Olmedo, Estrella/I-1521-2015; Gabarro, Carolina/N-3526-2014</t>
  </si>
  <si>
    <t>Hoareau, Nina/0000-0002-4796-8735; Umbert, Marta/0000-0002-0748-7566; Olmedo, Estrella/0000-0002-3178-1554; Guimbard, Sebastien/0000-0002-5856-4381; Gabarro, Carolina/0000-0003-0004-1964</t>
  </si>
  <si>
    <t>European Union [840374]; Spanish government [CEX2019-000928-S]</t>
  </si>
  <si>
    <t>European Union(European Union (EU)); Spanish government(Spanish Government)</t>
  </si>
  <si>
    <t>This work has been carried out thanks to European Union's Horizon 2020 research and innovation programme under the Marie Sklodowska-Curie Grant Agreement No. 840374. We also received funding from the Spanish government through the Severo Ochoa Centre of Excellence accreditation (CEX2019-000928-S).</t>
  </si>
  <si>
    <t>10.3390/jmse10081078</t>
  </si>
  <si>
    <t>4B2MU</t>
  </si>
  <si>
    <t>WOS:000845619300001</t>
  </si>
  <si>
    <t>Fourquez, M; Strzepek, RF; Ellwood, MJ; Hassler, C; Cabanes, D; Eggins, S; Pearce, I; Deppeler, S; Trull, TW; Boyd, PW; Bressac, M</t>
  </si>
  <si>
    <t>Fourquez, Marion; Strzepek, Robert F.; Ellwood, Michael J.; Hassler, Christel; Cabanes, Damien; Eggins, Sam; Pearce, Imojen; Deppeler, Stacy; Trull, Thomas W.; Boyd, Philip W.; Bressac, Matthieu</t>
  </si>
  <si>
    <t>Phytoplankton Responses to Bacterially Regenerated Iron in a Southern Ocean Eddy</t>
  </si>
  <si>
    <t>iron regeneration; particles; Southern Ocean; eddies; vertical supply; Subantarctic</t>
  </si>
  <si>
    <t>DISSOLVED ORGANIC-MATTER; NUCLEIC-ACID CONTENT; HETEROTROPHIC BACTERIA; LIMITATION; BIOAVAILABILITY; TRANSPORT; GROWTH; COMMUNITY; PLANKTON; LIGANDS</t>
  </si>
  <si>
    <t>In the Subantarctic sector of the Southern Ocean, vertical entrainment of iron (Fe) triggers the seasonal productivity cycle but diminishing physical supply during the spring to summer transition forces microbial assemblages to rapidly acclimate. Here, we tested how phytoplankton and bacteria within an isolated eddy respond to different dissolved Fe (DFe)/ligand inputs. We used three treatments: one that mimicked the entrainment of new DFe (Fe-NEW), another in which DFe was supplied from bacterial regeneration of particles (Fe-REG), and a control with no addition of DFe (Fe-NO). After 6 days, 3.5 (Fe-NO, Fe-NEW) to 5-fold (Fe-REG) increases in Chlorophyll a were observed. These responses of the phytoplankton community were best explained by the differences between the treatments in the amount of DFe recycled during the incubation (Fe-REG, 15% recycled c.f. 40% Fe-NEW, 60% Fe-NO). This additional recycling was more likely mediated by bacteria. By day 6, bacterial production was comparable between Fe-NO and Fe-NEW but was approximately two-fold higher in Fe-REG. A preferential response of phytoplankton (haptophyte-dominated) relative to high nucleic acid (HNA) bacteria was also found in the Fe-REG treatment while the relative proportion of diatoms increased faster in the Fe-NEW and Fe-NO treatments. Comparisons between light and dark incubations further confirmed the competition between picophytoplankton and HNA for DFe. Overall, our results demonstrate great versatility by microorganisms to use different Fe sources that results in highly efficient Fe recycling within surface waters. This study also encourages future research to further investigate the interactions between functional groups of microbes (e.g. HNA and cyanobacteria) to better constraint modeling in Fe and carbon biogeochemical cycles.</t>
  </si>
  <si>
    <t>[Fourquez, Marion; Deppeler, Stacy; Trull, Thomas W.; Boyd, Philip W.; Bressac, Matthieu] Univ Tasmania, Inst Marine &amp; Antarctic Studies, Hobart, Tas 7004, Australia; [Fourquez, Marion; Trull, Thomas W.; Boyd, Philip W.] Univ Tasmania, Antarctic Climate &amp; Ecosyst CRC, Hobart, Tas 7004, Australia; [Fourquez, Marion] Aix Marseille Univ, Univ Toulon, CNRS, IRD,MIO UMR 110, F-13288 Marseille, France; [Strzepek, Robert F.] Univ Tasmania, Inst Marine &amp; Antarctic Studies, Australian Antarctic Program Partnership AAPP, Hobart, Tas 7004, Australia; [Ellwood, Michael J.; Eggins, Sam] Australian Natl Univ, Res Sch Earth Sci, Canberra, ACT 2601, Australia; [Hassler, Christel; Cabanes, Damien] Univ Geneva, Dept FA Forel, Marine &amp; Lake Biogeochem, CH-1205 Geneva, Switzerland; [Hassler, Christel] Univ Lausanne, Inst Earth Sci, CH-1015 Lausanne, Switzerland; [Pearce, Imojen] Australian Antarctic Div AAD, Kingston 7050, Australia; [Deppeler, Stacy] Natl Inst Water &amp; Atmospher Res, Wellington 6021, New Zealand; [Trull, Thomas W.] CSIRO, Climate Sci Ctr, Oceans &amp; Atmosphere, Hobart, Tas 7004, Australia; [Bressac, Matthieu] Sorbonne Univ, Lab Oceanog Villefranche, CNRS, F-06230 Villefranche Sur Mer, France</t>
  </si>
  <si>
    <t>University of Tasmania; University of Tasmania; Institut de Recherche pour le Developpement (IRD); Aix-Marseille Universite; Centre National de la Recherche Scientifique (CNRS); University of Tasmania; Australian National University; University of Geneva; University of Lausanne; Australian Antarctic Division; National Institute of Water &amp; Atmospheric Research (NIWA) - New Zealand; Commonwealth Scientific &amp; Industrial Research Organisation (CSIRO); Centre National de la Recherche Scientifique (CNRS); Sorbonne Universite</t>
  </si>
  <si>
    <t>Fourquez, M (corresponding author), Univ Tasmania, Inst Marine &amp; Antarctic Studies, Hobart, Tas 7004, Australia.;Fourquez, M (corresponding author), Univ Tasmania, Antarctic Climate &amp; Ecosyst CRC, Hobart, Tas 7004, Australia.;Fourquez, M (corresponding author), Aix Marseille Univ, Univ Toulon, CNRS, IRD,MIO UMR 110, F-13288 Marseille, France.</t>
  </si>
  <si>
    <t>marion.fourquez@gmail.com</t>
  </si>
  <si>
    <t>Boyd, Philip W/J-7624-2014; Strzepek, Robert Francis/GQH-8703-2022; Ellwood, Michael J/G-7390-2011; Deppeler, Stacy/I-1546-2014</t>
  </si>
  <si>
    <t>Strzepek, Robert Francis/0000-0002-6442-7121; Ellwood, Michael/0000-0003-4288-8530; Fourquez, Marion/0000-0001-5395-4877; Deppeler, Stacy/0000-0003-2213-2656; Bressac, Matthieu/0000-0003-3075-3137</t>
  </si>
  <si>
    <t>Australian Research Council's Special Research Initiative for Antarctic Gateway Partnership [SR140300001]; Marie Sklodowska-Curie Postdoctoral European Fellowship (European Union Seventh Framework Programme-FP7/2007-2013) [PIOF-GA-2012626734]; European Union [894264]; Australian Research Council [DP170102108, DP130100679]; Australian Antarctic Program Partnership [ASCI000002]; Marie Curie Actions (MSCA) [894264] Funding Source: Marie Curie Actions (MSCA)</t>
  </si>
  <si>
    <t>Australian Research Council's Special Research Initiative for Antarctic Gateway Partnership(Australian Research Council); Marie Sklodowska-Curie Postdoctoral European Fellowship (European Union Seventh Framework Programme-FP7/2007-2013)(European Union (EU)Marie Curie Actions); European Union(European Union (EU)); Australian Research Council(Australian Research Council); Australian Antarctic Program Partnership; Marie Curie Actions (MSCA)(Marie Curie Actions)</t>
  </si>
  <si>
    <t>This study is part of the EDDY project supported under Australian Research Council's Special Research Initiative for Antarctic Gateway Partnership (Project ID SR140300001). This project was also funded by a Marie Sklodowska-Curie Postdoctoral European Fellowship awarded to MB (European Union Seventh Framework Programme-FP7/2007-2013) under grant agreement no. PIOF-GA-2012626734. MF was funded from the European Union's Horizon 2020 research and innovation programme under the Marie Sklodowska-Curie grant agreement Nffi 894264 (BULLE-project). MJE, RS, and PWB were financially supported under Australian Research Council's Discovery program (DP170102108; DP130100679) and R.F.S by the Australian Antarctic Program Partnership (ASCI000002).</t>
  </si>
  <si>
    <t>10.3390/microorganisms10081655</t>
  </si>
  <si>
    <t>4A9VD</t>
  </si>
  <si>
    <t>WOS:000845438200001</t>
  </si>
  <si>
    <t>Masnoddin, M; Ling, CMWV; Yusof, NA</t>
  </si>
  <si>
    <t>Masnoddin, Makdi; Ling, Clemente Michael Wong Vui; Yusof, Nur Athirah</t>
  </si>
  <si>
    <t>Functional Analysis of Conserved Hypothetical Proteins from the Antarctic Bacterium, Pedobacter cryoconitis Strain BG5 Reveals Protein Cold Adaptation and Thermal Tolerance Strategies</t>
  </si>
  <si>
    <t>conserved hypothetical protein; quantitative PCR; Antarctic microbes; cold adaptation</t>
  </si>
  <si>
    <t>PSYCHROPHILIC YEAST; SUBCELLULAR-LOCALIZATION; EXPRESSION PATTERNS; GLACIOZYMA; IDENTIFICATION; FLEXIBILITY; STABILITY; CHITINASE; DATABASE; ENZYMES</t>
  </si>
  <si>
    <t>Pedobacter cryoconitis BG5 is an obligate psychrophilic bacterium that was first isolated on King George Island, Antarctica. Over the last 50 years, the West Antarctic, including King George Island, has been one of the most rapidly warming places on Earth, hence making it an excellent area to measure the resilience of living species in warmed areas exposed to the constantly changing environment due to climate change. This bacterium encodes a genome of approximately 5694 protein-coding genes. However, 35% of the gene models for this species are found to be hypothetical proteins (HP). In this study, three conserved HP genes of P. cryoconitis, designated pcbg5hp1, pcbg5hp2 and pcbg5hp12, were cloned and the proteins were expressed, purified and their functions and structures were evaluated. Real-time quantitative PCR analysis revealed that these genes were expressed constitutively, suggesting a potentially important role where the expression of these genes under an almost constant demand might have some regulatory functions in thermal stress tolerance. Functional analysis showed that these proteins maintained their activities at low and moderate temperatures. Meanwhile, a low citrate synthase aggregation at 43 degrees C in the presence of PCBG5HP1 suggested the characteristics of chaperone activity. Furthermore, our comparative structural analysis demonstrated that the HPs exhibited cold-adapted traits, most notably increased flexibility in their 3D structures compared to their counterparts. Concurrently, the presence of a disulphide bridge and aromatic clusters was attributed to PCBG5HP1's unusual protein stability and chaperone activity. Thus, this suggested that the HPs examined in this study acquired strategies to maintain a balance between molecular stability and structural flexibility. Conclusively, this study has established the structure-function relationships of the HPs produced by P. cryoconitis and provided crucial experimental evidence indicating their importance in thermal stress response.</t>
  </si>
  <si>
    <t>[Masnoddin, Makdi; Ling, Clemente Michael Wong Vui; Yusof, Nur Athirah] Univ Malaysia Sabah, Biotechnol Res Inst, Jalan UMS, Kota Kinabalu 88400, Sabah, Malaysia; [Masnoddin, Makdi] Univ Malaysia Sabah, Preparatory Ctr Sci &amp; Technol, Jalan UMS, Kota Kinabalu 88400, Sabah, Malaysia</t>
  </si>
  <si>
    <t>Universiti Malaysia Sabah; Universiti Malaysia Sabah</t>
  </si>
  <si>
    <t>Yusof, NA (corresponding author), Univ Malaysia Sabah, Biotechnol Res Inst, Jalan UMS, Kota Kinabalu 88400, Sabah, Malaysia.</t>
  </si>
  <si>
    <t>nrathirah.yusof@ums.edu.my</t>
  </si>
  <si>
    <t>Yusof, Nur Athirah/ABD-6881-2021</t>
  </si>
  <si>
    <t>Yusof, Nur Athirah/0000-0002-9298-7425; -, MAKDI MASNODDIN/0000-0002-7353-3399</t>
  </si>
  <si>
    <t>Malaysian Ministry of Higher Education (MOHE) [FRGS/1/2017/STG05/UMS/02/2, FRGS0463-2017]; Universiti Malaysia Sabah</t>
  </si>
  <si>
    <t>Malaysian Ministry of Higher Education (MOHE); Universiti Malaysia Sabah</t>
  </si>
  <si>
    <t>This research was funded by The Malaysian Ministry of Higher Education (MOHE), grant number FRGS/1/2017/STG05/UMS/02/2, and registered in UMS with the code number FRGS0463-2017. The APC was funded by Universiti Malaysia Sabah.</t>
  </si>
  <si>
    <t>10.3390/microorganisms10081654</t>
  </si>
  <si>
    <t>4A9WB</t>
  </si>
  <si>
    <t>WOS:000845440600001</t>
  </si>
  <si>
    <t>Schultz, J; Parise, MTD; Parise, D; Medeiros, LG; Sousa, TJ; Kato, RB; Uetanabaro, APT; Araújo, F; Ramos, RTJ; Soares, SD; Brenig, B; Azevedo, VAD; Góes-Neto, A; Rosado, AS</t>
  </si>
  <si>
    <t>Schultz, Junia; Dornelles Parise, Mariana Teixeira; Parise, Doglas; Medeiros, Laenne G.; Sousa, Thiago J.; Kato, Rodrigo B.; Trovatti Uetanabaro, Ana Paula; Araujo, Fabricio; Juca Ramos, Rommel Thiago; Soares, Siomar de Castro; Brenig, Bertram; de Carvalho Azevedo, Vasco Ariston; Goes-Neto, Aristoteles; Rosado, Alexandre S.</t>
  </si>
  <si>
    <t>Unraveling the Genomic Potential of the Thermophilic Bacterium Anoxybacillus flavithermus from an Antarctic Geothermal Environment</t>
  </si>
  <si>
    <t>Anoxybacillus; comparative genomics; phylogeny; potential metabolic functions; antarctica; polar volcano</t>
  </si>
  <si>
    <t>THERMOSTABLE ALPHA-AMYLASE; SP-NOV.; DECEPTION ISLAND; EXTREME ENVIRONMENTS; GEN. NOV.; SEQUENCE; GEOBACILLUS; SPRINGS; VERSION; SOIL</t>
  </si>
  <si>
    <t>Antarctica is a mosaic of extremes. It harbors active polar volcanoes, such as Deception Island, a marine stratovolcano having notable temperature gradients over very short distances, with the temperature reaching up to 100 degrees C near the fumaroles and subzero temperatures being noted in the glaciers. From the sediments of Deception Island, we isolated representatives of the genus Anoxybacillus, a widely spread genus that is mainly encountered in thermophilic environments. However, the phylogeny of this genus and its adaptive mechanisms in the geothermal sites of cold environments remain unknown. To the best of our knowledge, this is the first study to unravel the genomic features and provide insights into the phylogenomics and metabolic potential of members of the genus Anoxybacillus inhabiting the Antarctic thermophilic ecosystem. Here, we report the genome sequencing data of seven A. flavithermus strains isolated from two geothermal sites on Deception Island, Antarctic Peninsula. Their genomes were approximately 3.0 Mb in size, had a G + C ratio of 42%, and were predicted to encode 3500 proteins on average. We observed that the strains were phylogenomically closest to each other (Average Nucleotide Identity (ANI) &gt; 98%) and to A. flavithermus (ANI 95%). In silico genomic analysis revealed 15 resistance and metabolic islands, as well as genes related to genome stabilization, DNA repair systems against UV radiation threats, temperature adaptation, heat- and cold-shock proteins (Csps), and resistance to alkaline conditions. Remarkably, glycosyl hydrolase enzyme-encoding genes, secondary metabolites, and prophage sequences were predicted, revealing metabolic and cellular capabilities for potential biotechnological applications.</t>
  </si>
  <si>
    <t>[Schultz, Junia; Rosado, Alexandre S.] King Abdullah Univ Sci &amp; Technol, Red Sea Res Ctr, Biol &amp; Environm Sci &amp; Engn Div, Mecca 23955, Saudi Arabia; [Schultz, Junia; Rosado, Alexandre S.] King Abdullah Univ Sci &amp; Technol, Computat Biosci Res Ctr, Biol &amp; Environm Sci &amp; Engn Div, Mecca 23955, Saudi Arabia; [Dornelles Parise, Mariana Teixeira; Parise, Doglas; Sousa, Thiago J.; Kato, Rodrigo B.; Trovatti Uetanabaro, Ana Paula; de Carvalho Azevedo, Vasco Ariston; Goes-Neto, Aristoteles] Univ Fed Minas Gerais, Inst Biol Sci, BR-31270901 Belo Horizonte, MG, Brazil; [Medeiros, Laenne G.] Univ Fed Rio de Janeiro, Inst Microbiol, Lab Mol Microbial Ecol, BR-21941902 Rio De Janeiro, RJ, Brazil; [Trovatti Uetanabaro, Ana Paula] Univ Estadual Santa Cruz UESC, Dept Biol Sci, BR-45662900 Ilheus, BA, Brazil; [Araujo, Fabricio; Juca Ramos, Rommel Thiago] Fed Univ Para, Inst Biol Sci, BR-66075110 Belem, Para, Brazil; [Soares, Siomar de Castro] Univ Fed Triangulo Mineiro, Inst Biol &amp; Nat Sci, BR-38025180 Uberaba, MG, Brazil; [Brenig, Bertram] Georg August Univ, Inst Vet Med, Dept Mol Biol Livestock, D-37077 Gottingen, Germany; [Rosado, Alexandre S.] King Abdullah Univ Sci &amp; Technol, Biol &amp; Environm Sci &amp; Engn Div, Biosci Program, Mecca 23955, Saudi Arabia</t>
  </si>
  <si>
    <t>King Abdullah University of Science &amp; Technology; King Abdullah University of Science &amp; Technology; Universidade Federal de Minas Gerais; Universidade Federal do Rio de Janeiro; Universidade Estadual de Santa Cruz; Universidade Federal do Para; Universidade Federal do Triangulo Mineiro; University of Gottingen; King Abdullah University of Science &amp; Technology</t>
  </si>
  <si>
    <t>Rosado, AS (corresponding author), King Abdullah Univ Sci &amp; Technol, Red Sea Res Ctr, Biol &amp; Environm Sci &amp; Engn Div, Mecca 23955, Saudi Arabia.;Rosado, AS (corresponding author), King Abdullah Univ Sci &amp; Technol, Computat Biosci Res Ctr, Biol &amp; Environm Sci &amp; Engn Div, Mecca 23955, Saudi Arabia.;Góes-Neto, A (corresponding author), Univ Fed Minas Gerais, Inst Biol Sci, BR-31270901 Belo Horizonte, MG, Brazil.;Rosado, AS (corresponding author), King Abdullah Univ Sci &amp; Technol, Biol &amp; Environm Sci &amp; Engn Div, Biosci Program, Mecca 23955, Saudi Arabia.</t>
  </si>
  <si>
    <t>arigoesneto@icb.ufmg.br; alexandre.rosado@kaust.edu.sa</t>
  </si>
  <si>
    <t>Goes-Neto, Aristoteles/A-6955-2013; Ramos, Rommel Thiago Juca/L-9329-2013; Kato, Rodrigo Bentes/Q-2242-2017; Rosado, Alexandre Soares/G-1955-2012; de Castro Soares, Siomar/I-2705-2012; Azevedo, Vasco/B-1556-2019; Teixeira Dornelles Parise, Mariana/K-9754-2015; Araujo, Fabricio/B-9294-2018; Parise, Doglas/L-1182-2015</t>
  </si>
  <si>
    <t>Goes-Neto, Aristoteles/0000-0002-7692-6243; Ramos, Rommel Thiago Juca/0000-0002-8032-1474; Kato, Rodrigo Bentes/0000-0002-9046-1702; Rosado, Alexandre Soares/0000-0001-5135-1394; de Castro Soares, Siomar/0000-0001-7299-3724; Azevedo, Vasco/0000-0002-4775-2280; Teixeira Dornelles Parise, Mariana/0000-0003-4101-1016; Schultz, Junia/0000-0002-8147-4659; Uetanabaro, Ana Paula/0000-0003-3992-8474; Araujo, Fabricio/0000-0001-8134-5964; Parise, Doglas/0000-0002-0947-3459; Brenig, Bertram/0000-0002-7635-9656</t>
  </si>
  <si>
    <t>National Council for Research and Development (CNPq); National Council for the Improvement of Higher Education (CAPES); KAUST Baseline Grant [BAS/1/1096-01-01]</t>
  </si>
  <si>
    <t>National Council for Research and Development (CNPq)(Conselho Nacional de Desenvolvimento Cientifico e Tecnologico (CNPQ)); National Council for the Improvement of Higher Education (CAPES)(Coordenacao de Aperfeicoamento de Pessoal de Nivel Superior (CAPES)); KAUST Baseline Grant</t>
  </si>
  <si>
    <t>This work was financially supported by the National Council for Research and Development (CNPq), the National Council for the Improvement of Higher Education (CAPES), and a KAUST Baseline Grant (to A. S. Rosado) (BAS/1/1096-01-01).</t>
  </si>
  <si>
    <t>10.3390/microorganisms10081673</t>
  </si>
  <si>
    <t>4C6CM</t>
  </si>
  <si>
    <t>WOS:000846538900001</t>
  </si>
  <si>
    <t>Salvi, G; Anderson, JB; Bertoli, M; Castagno, P; Falco, P; Fernetti, M; Montagna, P; Taviani, M</t>
  </si>
  <si>
    <t>Salvi, Gianguido; Anderson, John B.; Bertoli, Marco; Castagno, Pasquale; Falco, Pierpaolo; Fernetti, Michele; Montagna, Paolo; Taviani, Marco</t>
  </si>
  <si>
    <t>Recent Ostracod Fauna of the Western Ross Sea (Antarctica): A Poorly Known Ingredient of Polar Carbonate Factories</t>
  </si>
  <si>
    <t>MINERALS</t>
  </si>
  <si>
    <t>Ostracoda; Western Ross Sea Shelf; richness; biogeography; oceanographic settings; nutrients; surface sediment</t>
  </si>
  <si>
    <t>SOUTHERN-OCEAN; BENTHIC COMMUNITIES; NORTH-ATLANTIC; WEDDELL SEA; ICE-SHEET; SHELF; VARIABILITY; RETREAT; EXCHANGE; INSIGHTS</t>
  </si>
  <si>
    <t>Ostracoda are a minor but recurrent component of Southern Ocean marine carbonate factories, and their low-Mg calcitic skeletal mineralogy helps in ensuring a noteworthy post-mortem resilience. Our study, based upon surface sediment occurrences, contributes to the better definition of their distribution vs. potential controlling factors in Antarctic waters. The ostracod fauna from the Western Ross Sea Shelf appears dominated by Australicythere polylyca, Australicythere devexa, Xestoleberis rigusa, Loxoreticulatum fallax, Cativella bensoni, Austrotrachyleberis antarctica and Patagonacythere longiducta, colonizing a variety of shelf environments along a wide bathymetric range. The abundance and richness values correlate well to nutrient distribution and sediment supply, primarily related to the circulation of different oceanographic regimes affecting the floor of the Ross Sea Shelf. Circumpolar Deep Water could represent the main factor controlling the distribution of ostracods. Similar results (high abundance and richness in ostracod values) were also recorded in the Terra Nova Bay and in a nearby area characterized by warm water rich in nutrients and composed of water of circumpolar origin flowing from the open ocean southwards onto the continental shelf. Particulate Fe (pFe), in suspended particulate matter (SPM), and other particulate trace metals in TNB could support the hypothesis that biogenic iron may significantly contribute to the bioavailable iron pool, sustaining both primary production and ostracod fauna richness in this area.</t>
  </si>
  <si>
    <t>[Salvi, Gianguido; Fernetti, Michele] Univ Trieste, Dept Math &amp; Geosci, Via E Weiss 2, I-34127 Trieste, Italy; [Salvi, Gianguido] Univ Trieste, Italian Natl Antarctic Museum Sect Trieste, Via E Weiss 21, I-34127 Trieste, Italy; [Anderson, John B.] Rice Univ, Dept Earth Environm &amp; Planetary Sci, 6100 Main St, Houston, TX 77005 USA; [Bertoli, Marco] Univ Trieste, Dept Life Sci, Via Giorgieri 10, I-34127 Trieste, Italy; [Castagno, Pasquale] Univ Messina, Dept Math Comp Sci Phys &amp; Earth Sci, Viale Ferdinando Stagno dAlcontres 31, I-98166 Messina, Italy; [Falco, Pierpaolo] Univ Politecn Marche, Dept Life &amp; Environm Sci, I-60131 Ancona, Italy; [Montagna, Paolo] Natl Res Council CNR ISP, Inst Polar Sci, Via Gobetti 101, I-40129 Bologna, Italy; [Montagna, Paolo; Taviani, Marco] Stn Zool Anton Dohrn, I-80121 Naples, Italy; [Taviani, Marco] Natl Res Council CNR ISMAR, Inst Marine Sci, Via Gobetti 101, I-40129 Bologna, Italy</t>
  </si>
  <si>
    <t>University of Trieste; University of Trieste; Rice University; University of Trieste; University of Messina; Marche Polytechnic University; Consiglio Nazionale delle Ricerche (CNR); Istituto di Scienze Polari (ISP-CNR); Stazione Zoologica Anton Dohrn di Napoli; Consiglio Nazionale delle Ricerche (CNR); Istituto di Scienze Marine (ISMAR-CNR)</t>
  </si>
  <si>
    <t>Salvi, G (corresponding author), Univ Trieste, Dept Math &amp; Geosci, Via E Weiss 2, I-34127 Trieste, Italy.;Salvi, G (corresponding author), Univ Trieste, Italian Natl Antarctic Museum Sect Trieste, Via E Weiss 21, I-34127 Trieste, Italy.</t>
  </si>
  <si>
    <t>gsalvi@units.it; johna@rice.edu; marco.ber3@gmail.com; pasquale.castagno@unime.it; pierpaolo.falco@staff.unipvm.it; fernetti@units.it; paolo.montagna@cnr.it; marco.taviani@bo.ismar.cnr.it</t>
  </si>
  <si>
    <t>Castagno, Pasquale/HCI-3939-2022; Castagno, Pasquale/JAC-6923-2023; Taviani, Marco/AAF-2168-2020; Montagna, Paolo/H-9632-2015</t>
  </si>
  <si>
    <t>Taviani, Marco/0000-0003-0414-4274; Montagna, Paolo/0000-0001-5598-2214; Castagno, Pasquale/0000-0002-5705-1066; Salvi, Gianguido/0000-0002-9394-1138; Falco, Pierpaolo/0000-0002-5130-5440</t>
  </si>
  <si>
    <t>GRACEFUL project [PNRA16_00069]; Italian National Antarctic Research Program; [PNRA18_00233]</t>
  </si>
  <si>
    <t>GRACEFUL project; Italian National Antarctic Research Program;</t>
  </si>
  <si>
    <t>This research was supported by GRACEFUL (grant No. PNRA16_00069, 11 October 2017-10 October 2020) and IODP374_28 (grant No. PNRA18_00233, 12 April 2019) projects and funded by the Italian National Antarctic Research Program.</t>
  </si>
  <si>
    <t>2075-163X</t>
  </si>
  <si>
    <t>MINERALS-BASEL</t>
  </si>
  <si>
    <t>Minerals</t>
  </si>
  <si>
    <t>10.3390/min12080937</t>
  </si>
  <si>
    <t>Geochemistry &amp; Geophysics; Mineralogy; Mining &amp; Mineral Processing</t>
  </si>
  <si>
    <t>4B0LF</t>
  </si>
  <si>
    <t>WOS:000845480000001</t>
  </si>
  <si>
    <t>Nooteboom, PD; Baatsen, M; Bijl, PK; Kliphuis, MA; van Sebille, E; Sluijs, A; Dijkstra, HA; von der Heydt, AS</t>
  </si>
  <si>
    <t>Nooteboom, Peter D.; Baatsen, Michiel; Bijl, Peter K.; Kliphuis, Michael A.; van Sebille, Erik; Sluijs, Appy; Dijkstra, Henk A.; von der Heydt, Anna S.</t>
  </si>
  <si>
    <t>Improved Model-Data Agreement With Strongly Eddying Ocean Simulations in the Middle-Late Eocene</t>
  </si>
  <si>
    <t>SOUTHWEST PACIFIC-OCEAN; OLIGOCENE TRANSITION; SOUTHERN-HEMISPHERE; MESOSCALE EDDIES; DRAKE PASSAGE; GLOBAL OCEAN; CLIMATE; RESOLUTION; CIRCULATION; HEAT</t>
  </si>
  <si>
    <t>Model simulations of past climates are increasingly found to compare well with proxy data at a global scale, but regional discrepancies remain. A persistent issue in modeling past greenhouse climates has been the temperature difference between equatorial and (sub-)polar regions, which is typically much larger in simulations than proxy data suggest. Particularly in the Eocene, multiple temperature proxies suggest extreme warmth in the southwest Pacific Ocean, where model simulations consistently suggest temperate conditions. Here, we present new global ocean model simulations at 0.1 degrees horizontal resolution for the middle-late Eocene. The eddies in the high-resolution model affect poleward heat transport and local time-mean flow in critical regions compared to the noneddying flow in the standard low-resolution simulations. As a result, the high-resolution simulations produce higher surface temperatures near Antarctica and lower surface temperatures near the equator compared to the low-resolution simulations, leading to better correspondence with proxy reconstructions. Crucially, the high-resolution simulations are also much more consistent with biogeographic patterns in endemic-Antarctic and low-latitude-derived plankton, and thus resolve the long-standing discrepancy of warm subpolar ocean temperatures and isolating polar gyre circulation. The results imply that strongly eddying model simulations are required to reconcile discrepancies between regional proxy data and models, and demonstrate the importance of accurate regional paleobathymetry for proxy-model comparisons.</t>
  </si>
  <si>
    <t>[Nooteboom, Peter D.; Baatsen, Michiel; Kliphuis, Michael A.; van Sebille, Erik; Dijkstra, Henk A.; von der Heydt, Anna S.] Univ Utrecht, Dept Phys, Inst Marine &amp; Atmospher Res Utrecht IMAU, Utrecht, Netherlands; [Nooteboom, Peter D.; van Sebille, Erik; Dijkstra, Henk A.; von der Heydt, Anna S.] Univ Utrecht, Ctr Complex Syst Studies, Utrecht, Netherlands; [Bijl, Peter K.; Sluijs, Appy] Univ Utrecht, Dept Earth Sci, Utrecht, Netherlands</t>
  </si>
  <si>
    <t>Utrecht University; Utrecht University; Utrecht University</t>
  </si>
  <si>
    <t>Nooteboom, PD (corresponding author), Univ Utrecht, Dept Phys, Inst Marine &amp; Atmospher Res Utrecht IMAU, Utrecht, Netherlands.;Nooteboom, PD (corresponding author), Univ Utrecht, Ctr Complex Syst Studies, Utrecht, Netherlands.</t>
  </si>
  <si>
    <t>p.d.nooteboom@uu.nl</t>
  </si>
  <si>
    <t>Dijkstra, Henk A./H-2559-2016; Sluijs, Appy/B-3726-2009; von der Heydt, Anna/B-9250-2008; van Sebille, Erik/F-6781-2010</t>
  </si>
  <si>
    <t>von der Heydt, Anna/0000-0002-5557-3282; van Sebille, Erik/0000-0003-2041-0704; Nooteboom, Peter/0000-0003-3689-0845</t>
  </si>
  <si>
    <t>Netherlands Organization for Scientific Research (NWO), Earth and Life Sciences [ALWOP.207]; Netherlands Earth System Science Center; NWO-EW (Netherlands Organization for Scientific Research, Exact Sciences) [17189, 2020.022]; European Research Council for ERC [802835, 771497]; European Research Council (ERC) [771497, 802835] Funding Source: European Research Council (ERC)</t>
  </si>
  <si>
    <t>Netherlands Organization for Scientific Research (NWO), Earth and Life Sciences(Netherlands Organization for Scientific Research (NWO)); Netherlands Earth System Science Center; NWO-EW (Netherlands Organization for Scientific Research, Exact Sciences); European Research Council for ERC(European Research Council (ERC)); European Research Council (ERC)(European Research Council (ERC)Spanish Government)</t>
  </si>
  <si>
    <t>This work was funded by the Netherlands Organization for Scientific Research (NWO), Earth and Life Sciences, through project ALWOP.207 and supported by the Netherlands Earth System Science Center. The use of SURFsara computing facilities was sponsored by NWO-EW (Netherlands Organization for Scientific Research, Exact Sciences) under the project 17189 and 2020.022. PKB and AS thank the European Research Council for ERC starting Grant #802835 (OceaNice) and Consolidator Grant #771497 (SPANC), respectively.</t>
  </si>
  <si>
    <t>e2021PA004405</t>
  </si>
  <si>
    <t>10.1029/2021PA004405</t>
  </si>
  <si>
    <t>3Z6GF</t>
  </si>
  <si>
    <t>WOS:000844514800001</t>
  </si>
  <si>
    <t>Smith, AW; Rodger, CJ; Mac Manus, DH; Forsyth, C; Rae, IJ; Freeman, MP; Clilverd, MA; Petersen, T; Dalzell, M</t>
  </si>
  <si>
    <t>Smith, A. W.; Rodger, C. J.; Mac Manus, D. H.; Forsyth, C.; Rae, I. J.; Freeman, M. P.; Clilverd, M. A.; Petersen, T.; Dalzell, M.</t>
  </si>
  <si>
    <t>The Correspondence Between Sudden Commencements and Geomagnetically Induced Currents: Insights From New Zealand</t>
  </si>
  <si>
    <t>SPACE WEATHER-THE INTERNATIONAL JOURNAL OF RESEARCH AND APPLICATIONS</t>
  </si>
  <si>
    <t>GICs; Sudden Commencements; coupling; Geomagnetically Induced Currents; power networks</t>
  </si>
  <si>
    <t>EXTREME GEOELECTRIC FIELDS; INTERPLANETARY SHOCKS; HYDRO-QUEBEC; SYSTEMS; MODEL</t>
  </si>
  <si>
    <t>Variability of the geomagnetic field induces anomalous Geomagnetically Induced Currents (GICs) in grounded conducting infrastructure. GICs represent a serious space weather hazard but are not often measured directly and the rate of change of the magnetic field is often used as a proxy. We assess the correlation between the rate of change of the magnetic field and GICs during Sudden Commencements (SCs) at a location in New Zealand. We observe excellent correlations (r(2) similar to 0.9) between the maximum 1-min rate of change of the field and maximum GIC. Nonetheless, though SCs represent a relatively simple geomagnetic signature, we find that the correspondence systematically depends on several factors. If the SC occurs when New Zealand is on the dayside of the Earth, then the magnetic changes are linked to 30% greater GICs than if New Zealand is on the nightside. We investigate the finding that the orientation of the strongest magnetic deflection is important: changes predominantly in the east-west direction drive 36% stronger GICs. Dayside SCs are also associated with faster maximum rates of change of the field at a resolution of 1 s. Therefore, while the maximum rates of change of the magnetic field and GICs are well correlated, the orientation and sub-1-min resolution details of the field change are important to consider when estimating the associated currents. Finally, if the SC is later followed by a geomagnetic storm, then a given rate of change of the magnetic field is associated with 22% larger GICs, compared to if the SC is isolated.</t>
  </si>
  <si>
    <t>[Smith, A. W.; Forsyth, C.] UCL, Mullard Space Sci Lab, Dorking, Surrey, England; [Rodger, C. J.; Mac Manus, D. H.] Univ Otago, Dept Phys, Dunedin, New Zealand; [Rae, I. J.] Northumbria Univ, Dept Math Phys &amp; Elect Engn, Newcastle Upon Tyne, Tyne &amp; Wear, England; [Freeman, M. P.; Clilverd, M. A.] British Antarctic Survey, Cambridge, England; [Petersen, T.] GNS Sci, Wellington, New Zealand; [Dalzell, M.] Transpower New Zealand Ltd, Wellington, New Zealand</t>
  </si>
  <si>
    <t>University of London; University College London; University of Otago; Northumbria University; UK Research &amp; Innovation (UKRI); Natural Environment Research Council (NERC); NERC British Antarctic Survey; GNS Science - New Zealand</t>
  </si>
  <si>
    <t>Smith, AW (corresponding author), UCL, Mullard Space Sci Lab, Dorking, Surrey, England.</t>
  </si>
  <si>
    <t>andy.w.smith@ucl.ac.uk</t>
  </si>
  <si>
    <t>Freeman, Mervyn/E-5687-2019; Rodger, Craig/A-1501-2011; Rae, Jonathan/D-8132-2013; Smith, Andy/AAT-7849-2020; Forsyth, Colin/E-4159-2010</t>
  </si>
  <si>
    <t>Rae, Jonathan/0000-0002-2637-4786; Smith, Andy/0000-0001-7321-4331; Rodger, Craig J./0000-0002-6770-2707; Petersen, Tanja/0000-0001-8409-9500; Mac Manus, Daniel/0000-0003-1175-2251; Forsyth, Colin/0000-0002-0026-8395</t>
  </si>
  <si>
    <t>STFC [ST/S000240/1]; NERC [NE/P017150/1, NE/V002724/1]; New Zealand Ministry of Business, Innovation, and Employment Endeavour Fund Research Programme [UOOX2002]; NERC Independent Research Fellowship [NE/N014480/1]; Institute of Geological and Nuclear Sciences Limited (GNS); New Zealand Ministry of Business, Innovation &amp; Employment (MBIE) [UOOX2002] Funding Source: New Zealand Ministry of Business, Innovation &amp; Employment (MBIE); NERC [NE/N014480/1, NE/P017150/1] Funding Source: UKRI; SPF [NE/V002724/1] Funding Source: UKRI; STFC [ST/S000240/1, ST/V006320/1] Funding Source: UKRI</t>
  </si>
  <si>
    <t>STFC(UK Research &amp; Innovation (UKRI)Science &amp; Technology Facilities Council (STFC)); NERC(UK Research &amp; Innovation (UKRI)Natural Environment Research Council (NERC)); New Zealand Ministry of Business, Innovation, and Employment Endeavour Fund Research Programme; NERC Independent Research Fellowship(UK Research &amp; Innovation (UKRI)Natural Environment Research Council (NERC)); Institute of Geological and Nuclear Sciences Limited (GNS); New Zealand Ministry of Business, Innovation &amp; Employment (MBIE)(New Zealand Ministry of Business, Innovation and Employment (MBIE)); NERC(UK Research &amp; Innovation (UKRI)Natural Environment Research Council (NERC)); SPF; STFC(UK Research &amp; Innovation (UKRI)Science &amp; Technology Facilities Council (STFC))</t>
  </si>
  <si>
    <t>The authors thank the Institute of Geological and Nuclear Sciences Limited (GNS) for supporting its operation and INTERMAGNET for promoting high standards of magnetic observatory practice (www.intermagnet.org).A.W.Smith and I. J. Rae were supported by the STFC Consolidated Grant ST/S000240/1 and the NERC grants NE/P017150/1 and NE/V002724/1. C. J. Rodger and D. H. Mac Manus were supported by the New Zealand Ministry of Business, Innovation, and Employment Endeavour Fund Research Programme contract UOOX2002. C. Forsyth was supported by the NERC Independent Research Fellowship NE/N014480/1.</t>
  </si>
  <si>
    <t>1542-7390</t>
  </si>
  <si>
    <t>SPACE WEATHER</t>
  </si>
  <si>
    <t>Space Weather</t>
  </si>
  <si>
    <t>e2021SW002983</t>
  </si>
  <si>
    <t>10.1029/2021SW002983</t>
  </si>
  <si>
    <t>Astronomy &amp; Astrophysics; Geochemistry &amp; Geophysics; Meteorology &amp; Atmospheric Sciences</t>
  </si>
  <si>
    <t>3Z5VG</t>
  </si>
  <si>
    <t>WOS:000844484700001</t>
  </si>
  <si>
    <t>Potapov, A; Palumbo, ME; Dionnet, Z; Longobardo, A; Jäger, C; Baratta, G; Rotundi, A; Henning, T</t>
  </si>
  <si>
    <t>Potapov, Alexey; Palumbo, Maria Elisabetta; Dionnet, Zelia; Longobardo, Andrea; Jaeger, Cornelia; Baratta, Giuseppe; Rotundi, Alessandra; Henning, Thomas</t>
  </si>
  <si>
    <t>Exploring Refractory Organics in Extraterrestrial Particles</t>
  </si>
  <si>
    <t>ULTRACARBONACEOUS ANTARCTIC MICROMETEORITES; AMORPHOUS-CARBON; COMET 81P/WILD-2; ION IRRADIATION; AMINO-ACIDS; WATER ICE; ULTRAVIOLET-IRRADIATION; INFRARED-SPECTROSCOPY; NITROGEN GAS; INTERSTELLAR</t>
  </si>
  <si>
    <t>The origin of organic compounds detected in meteorites and comets, some of which could have served as precursors of life on Earth, remains an open question. The aim of the present study is to make one more step in revealing the nature and composition of organic materials of extraterrestrial particles by comparing infrared spectra of laboratory-made refractory organic residues to spectra of cometary particles returned by the Stardust mission, interplanetary dust particles, and meteorites. Our results reinforce the idea of a pathway for the formation of refractory organics through energetic and thermal processing of molecular ices in the solar nebula. There is also the possibility that some of the organic material had formed already in the parental molecular cloud before it entered the solar nebula. The majority of the IR organic bands of the studied extraterrestrial particles can be reproduced in the spectra of the laboratory organic residues. We confirm the detection of water, nitriles, hydrocarbons, and carbonates in extraterrestrial particles and link it to the formation location of the particles in the outer regions of the solar nebula. To clarify the genesis of the species, high-sensitivity observations in combination with laboratory measurements like those presented in this paper are needed. Thus, this study presents one more piece of the puzzle of the origin of water and organic compounds on Earth and motivation for future collaborative laboratory and observational projects.</t>
  </si>
  <si>
    <t>[Potapov, Alexey; Jaeger, Cornelia] Friedrich Schiller Univ Jena, Inst Solid State Phys, Lab Astrophys Grp, Max Planck Inst Astron, Helmholtzweg 3, D-07743 Jena, Germany; [Palumbo, Maria Elisabetta; Baratta, Giuseppe] INAF Osservatorio Astrofis Catania, Via Santa Sofia 78, I-95123 Catania, Italy; [Dionnet, Zelia] Univ Paris Saclay, CNRS, Inst Astrophys Spatiale, F-91405 Orsay, France; [Longobardo, Andrea; Rotundi, Alessandra] Univ Napoli Parthenope, Dip Sci &amp; Tecnol, Ctr Direz I C4, I-80143 Naples, Italy; [Longobardo, Andrea; Rotundi, Alessandra] INAF Ist Astrofis &amp; Planetol Spaziali, Via Fosso Cavaliere 100, I-00133 Rome, Italy; [Henning, Thomas] Max Planck Inst Astron, Konigstuhl 17, D-69117 Heidelberg, Germany</t>
  </si>
  <si>
    <t>Max Planck Society; Friedrich Schiller University of Jena; Istituto Nazionale Astrofisica (INAF); Centre National de la Recherche Scientifique (CNRS); Sorbonne Universite; Universite Paris Cite; Universite Paris Saclay; Parthenope University Naples; Istituto Nazionale Astrofisica (INAF); Max Planck Society</t>
  </si>
  <si>
    <t>Potapov, A (corresponding author), Friedrich Schiller Univ Jena, Inst Solid State Phys, Lab Astrophys Grp, Max Planck Inst Astron, Helmholtzweg 3, D-07743 Jena, Germany.</t>
  </si>
  <si>
    <t>alexey.potapov@uni-jena.de</t>
  </si>
  <si>
    <t>Klahr, Hubert/AAY-6238-2021; Baratta, Giuseppe/AAY-6188-2021</t>
  </si>
  <si>
    <t>Klahr, Hubert/0000-0002-8227-5467; Zelia, Dionnet/0000-0002-3679-6333; Palumbo, MariaElisabetta/0000-0002-9122-491X; Rotundi, Alessandra/0000-0001-5467-157X; Baratta, Giuseppe/0000-0002-3688-160X</t>
  </si>
  <si>
    <t>Deutsche Forschungsgemeinschaft [FOR 2285, JA 2107/3-2]; Italian Ministero dell'Istruzione, dell'Universita e della Ricerca through the grant Progetti Premiali 2012-iALMA; Italian Space Agency (ASI) [2013-073-R.0]; European Research Council (ERC) under the Horizon 2020 Framework Program via the ERC Advanced Grant Origins [83 24 28]</t>
  </si>
  <si>
    <t>Deutsche Forschungsgemeinschaft(German Research Foundation (DFG)); Italian Ministero dell'Istruzione, dell'Universita e della Ricerca through the grant Progetti Premiali 2012-iALMA; Italian Space Agency (ASI)(Agenzia Spaziale Italiana (ASI)); European Research Council (ERC) under the Horizon 2020 Framework Program via the ERC Advanced Grant Origins(European Research Council (ERC))</t>
  </si>
  <si>
    <t>We thank Hope Ishii for providing the IDP U217B19 data and Torsten Lohne for providing the values for stellar UV fluxes. A.P. and C.J. acknowledge support from Research Unit FOR 2285 Debris Disks in Planetary Systems of Deutsche Forschungsgemeinschaft (grant JA 2107/3-2). M.E.P. acknowledges the support of the Italian Ministero dell'Istruzione, dell'Universita e della Ricerca through the grant Progetti Premiali 2012-iALMA. G.B. acknowledges financial support from the Italian Space Agency (ASI) contract No. 2013-073-R.0: PSS (Photochemistry on the Space Station). T.H. acknowledges support from the European Research Council (ERC) under the Horizon 2020 Framework Program via the ERC Advanced Grant Origins 83 24 28.</t>
  </si>
  <si>
    <t>AUG 1</t>
  </si>
  <si>
    <t>10.3847/1538-4357/ac7f32</t>
  </si>
  <si>
    <t>3X8OE</t>
  </si>
  <si>
    <t>WOS:000843293100001</t>
  </si>
  <si>
    <t>Upadhyay, A; Kakad, B; Kakad, A; Rawat, R</t>
  </si>
  <si>
    <t>Upadhyay, Aditi; Kakad, Bharati; Kakad, Amar; Rawat, Rahul</t>
  </si>
  <si>
    <t>A Statistical Study of Modulation of Electromagnetic Ion Cyclotron Waves Observed on Ground</t>
  </si>
  <si>
    <t>EMIC waves; radiation belts; modulation; ULF pulsations</t>
  </si>
  <si>
    <t>VAN ALLEN PROBES; PC1 PEARL PULSATIONS; EMIC WAVES; SUBPACKET STRUCTURES; RING CURRENT; ULF WAVES; EMISSIONS; MICROPULSATIONS; MAGNETOSPHERE; PRECIPITATION</t>
  </si>
  <si>
    <t>The modulation of electromagnetic ion cyclotron (EMIC) waves by different geomagnetic pulsations is known to us from both ground and satellite observations. However, their dependence on the EMIC wave characteristics is not well explored. We report a statistical analysis of modulation of EMIC waves by short and long periodicities at the Indian Antarctic station, Maitri (L approximate to 5). We have analyzed the induction coil magnetometer data for the period of 2011-2017 and identified 6,845 EMIC wave events, out of which 5,502 events (80%) clearly showed the presence of short period modulation. These short period modulations are associated with repetitive rising tone EMIC wave emissions. Among these 5,502 EMIC wave events only 2,413 events showed presence of long period modulation, in addition to the short period modulation. Next we have examined the characteristics like start time, end time, peak frequency, frequency extent, maximum power, and dominant short and long periodicities present in each EMIC wave event. Based on the statistical analysis, we found that the dominant short and long periodicities in the EMIC waves are in the range of 1.5-3 min and 10-60 min, respectively. These short period decreases with an increase in the peak frequency of the EMIC wave. It is attributed to the decrease in magnetic field line oscillation period at lower L-shells. Additionally, we noticed that the stronger EMIC wave events are likely to have a higher peak frequency. All these observed tendencies are examined in light of nonlinear theory, and they are found to be in good agreement.</t>
  </si>
  <si>
    <t>[Upadhyay, Aditi; Kakad, Bharati; Kakad, Amar; Rawat, Rahul] Indian Inst Geomagnetism, New Panvel, Navi Mumbai, India</t>
  </si>
  <si>
    <t>Department of Science &amp; Technology (India); Indian Institute of Geomagnetism (IIG)</t>
  </si>
  <si>
    <t>Upadhyay, A (corresponding author), Indian Inst Geomagnetism, New Panvel, Navi Mumbai, India.</t>
  </si>
  <si>
    <t>aditiu147@gmail.com</t>
  </si>
  <si>
    <t>Kakad, Amar/K-3061-2017</t>
  </si>
  <si>
    <t>Kakad, Amar/0000-0002-1308-4245; Upadhyay, Aditi/0000-0001-8779-3135</t>
  </si>
  <si>
    <t>e2022JA030340</t>
  </si>
  <si>
    <t>10.1029/2022JA030340</t>
  </si>
  <si>
    <t>3X9LI</t>
  </si>
  <si>
    <t>WOS:000843353700001</t>
  </si>
  <si>
    <t>Colesie, C; Pan, YM; Cary, SC; Gemal, E; Brabyn, L; Kim, JH; Green, TGA; Lee, CK</t>
  </si>
  <si>
    <t>Colesie, Claudia; Pan, Yueming; Cary, S. Craig; Gemal, Emma; Brabyn, Lars; Kim, Jeong-Hoon; Green, T. G. Allan; Lee, Charles K.</t>
  </si>
  <si>
    <t>The Longest Baseline Record of Vegetation Dynamics in Antarctica Reveals Acute Sensitivity to Water Availability</t>
  </si>
  <si>
    <t>baseline environment; terrestrial ecosystem; climate change; Antarctica; remote sensing; moss</t>
  </si>
  <si>
    <t>SUMMER ACTIVITY PATTERNS; NORTHERN VICTORIA LAND; CAPE HALLETT; TERRESTRIAL VEGETATION; ROSS SEA; CLIMATE-CHANGE; LICHEN; TRAITS; GROWTH; BIODIVERSITY</t>
  </si>
  <si>
    <t>Against a changing climate, the development of evidence-based and progressive conservation policies depends on robust and quantitative baseline studies to resolve habitat natural variability and rate of change. Despite Antarctica's significant role in global climate regulation, climate trend estimates for continental Antarctica are ambiguous due to sparse long-term in situ records. Here, we present the longest, spatially explicit survey of Antarctic vegetation by harmonizing historic vegetation mapping with modern remote sensing techniques. In 1961, E. D. Rudolph established a permanent survey plot at Cape Hallett, one of the most botanically diverse areas along the Ross Sea coastline, harboring all known types of non-vascular Antarctic vegetation. Following a survey in 2004 using ground-based photography, we conducted the third survey of Rudolph's Plot in 2018 using near-ground remote sensing and methodologies closely mirroring the two historic surveys to identify long-term changes and trends. Our results revealed that the vegetation at Cape Hallett remained stable over the past six decades with no evidence of transformation related to a changing climate. Instead, the local vegetation shows strong seasonal phenology, distribution patterns that are driven by water availability, and steady perennial growth of moss. Given that East Antarctica is at the tipping point of drastic change in the near future, with biological change having been reported at certain locations, this record represents a unique and potentially the last opportunity to establish a meaningful biological sentinel that will allow us to track subtle yet impactful environmental change in terrestrial Antarctica in the 21st century.</t>
  </si>
  <si>
    <t>[Colesie, Claudia; Pan, Yueming; Gemal, Emma] Univ Edinburgh, Global Change Res Inst, Sch GeoSci, Edinburgh, Midlothian, Scotland; [Colesie, Claudia] Swedish Univ Agr Sci, Forest Genet &amp; Plant Physiol, Umea, Sweden; [Cary, S. Craig; Green, T. G. Allan; Lee, Charles K.] Univ Waikato, Int Ctr Terr Antarctic Res, Hamilton, New Zealand; [Cary, S. Craig; Lee, Charles K.] Univ Waikato, Sch Sci, Hamilton, New Zealand; [Brabyn, Lars] Univ Waikato, Div Arts Law Psychol &amp; Social Sci, Hamilton, New Zealand; [Kim, Jeong-Hoon] Korea Polar Res Inst, Div Life Sci, Incheon, South Korea; [Green, T. G. Allan] Univ Complutense, Fac Farm, Unidad Bot, Madrid, Spain; [Lee, Charles K.] Univ Waikato, Environm Res Inst, Hamilton, New Zealand</t>
  </si>
  <si>
    <t>University of Edinburgh; Swedish University of Agricultural Sciences; University of Waikato; University of Waikato; University of Waikato; Korea Polar Research Institute (KOPRI); Complutense University of Madrid; University of Waikato</t>
  </si>
  <si>
    <t>Colesie, C (corresponding author), Univ Edinburgh, Global Change Res Inst, Sch GeoSci, Edinburgh, Midlothian, Scotland.;Colesie, C (corresponding author), Swedish Univ Agr Sci, Forest Genet &amp; Plant Physiol, Umea, Sweden.;Lee, CK (corresponding author), Univ Waikato, Int Ctr Terr Antarctic Res, Hamilton, New Zealand.;Lee, CK (corresponding author), Univ Waikato, Sch Sci, Hamilton, New Zealand.;Lee, CK (corresponding author), Univ Waikato, Environm Res Inst, Hamilton, New Zealand.</t>
  </si>
  <si>
    <t>claudia.colesie@ed.ac.uk; charles.lee@waikato.ac.nz</t>
  </si>
  <si>
    <t>Brabyn, Lars/N-1479-2016; Lee, Charles/AAC-9417-2019; Colesie, Claudia/H-4258-2015</t>
  </si>
  <si>
    <t>Lee, Charles/0000-0002-6562-4733; Gemal, Emma/0000-0002-5514-5739; Colesie, Claudia/0000-0003-1136-0290</t>
  </si>
  <si>
    <t>Alexander von Humboldt Foundation; Swedish University of Forest Research (SLU); University of Wisconsin-Madison Automatic Weather Station Program for the AWS data [1924730]; New Zealand Ministry of Business, Innovation and Employment; Resilience in Antarctic Biota and Ecosystems Project - New Zealand Antarctic Research Institute [NZARI 2016-2]; Dry Valley Ecosystem Resilience (DryVER) programme - New Zealand Ministry of Business, Innovation and Employment [UOWX1401]; New Zealand Antarctic Science Platform [ANTA1801]</t>
  </si>
  <si>
    <t>Alexander von Humboldt Foundation(Alexander von Humboldt Foundation); Swedish University of Forest Research (SLU); University of Wisconsin-Madison Automatic Weather Station Program for the AWS data; New Zealand Ministry of Business, Innovation and Employment(New Zealand Ministry of Business, Innovation and Employment (MBIE)); Resilience in Antarctic Biota and Ecosystems Project - New Zealand Antarctic Research Institute; Dry Valley Ecosystem Resilience (DryVER) programme - New Zealand Ministry of Business, Innovation and Employment; New Zealand Antarctic Science Platform</t>
  </si>
  <si>
    <t>C.C. gratefully acknowledges the Alexander von Humboldt Foundation for financial support via the Feodor Lynen Research Fellowship and the Swedish University of Forest Research (SLU), Prof. V. Hurry for additional funding. The authors acknowledge the support of the University of Wisconsin-Madison Automatic Weather Station Program for the AWS data (NSF Grant No. 1924730). S.C.C. initiated this work under a Catalyst Award from the New Zealand Ministry of Business, Innovation and Employment. S.C.C. and C.K.L. were supported by the Resilience in Antarctic Biota and Ecosystems Project, funded by the New Zealand Antarctic Research Institute (NZARI 2016-2), and the Dry Valley Ecosystem Resilience (DryVER) programme, funded by the New Zealand Ministry of Business, Innovation and Employment (UOWX1401). C.K.L. was also supported by the New Zealand Antarctic Science Platform (ANTA1801). Ohio State University has our sincere gratitude for access to their archival records, and we particularly acknowledge Ronald L. Stuckey for not only archiving the Rudolph papers but also providing copies of the original map, images, and associated notes. We also thank Antarctica New Zealand and Korean Polar Research Institute for logistical support. For the purpose of open access, the author has applied a Creative Commons Attribution (CC BY) licence to any Author Accepted Manuscript version arising from this submission.</t>
  </si>
  <si>
    <t>e2022EF002823</t>
  </si>
  <si>
    <t>10.1029/2022EF002823</t>
  </si>
  <si>
    <t>3W7GC</t>
  </si>
  <si>
    <t>WOS:000842513900001</t>
  </si>
  <si>
    <t>Shi, PC; Wei, M; Barbot, S</t>
  </si>
  <si>
    <t>Shi, Pengcheng; Wei, Meng; Barbot, Sylvain</t>
  </si>
  <si>
    <t>Contribution of Viscoelastic Stress to the Synchronization of Earthquake Cycles on Oceanic Transform Faults</t>
  </si>
  <si>
    <t>MOLTEN UPPER-MANTLE; STRIKE-SLIP-FAULT; EXPERIMENTAL CONSTRAINTS; DISLOCATION CREEP; HIGH-TEMPERATURE; SEISMIC CYCLE; DEFORMATION; EVOLUTION; STRENGTH; WATER</t>
  </si>
  <si>
    <t>Earthquake clustering can be promoted by local, regional, and remote triggering. The interaction between faults by static and dynamic stress transfer has received much attention. However, the role of quasi-static stress interaction mediated by viscoelastic flow is still poorly understood. Here, we investigate whether the tight synchronization of moment-magnitude 6 earthquakes every about 6 years on distant asperities in the Gofar-Discovery fault system of the East Pacific Rise may be caused by mechanical coupling within the lithosphere-asthenosphere system. We build a three-dimensional numerical model of seismic cycles in the framework of rate- and state-dependent friction with a brittle layer overlaying a viscoelastic mantle with nonlinear rheology to simulate earthquake cycles on separate asperities. The brittle section of the West Gofar fault consists of two frictionally unstable 20 km-long by 5 km-wide asperities separated by a velocity-strengthening barrier, consistent with seismic observations, allowing stress transfer by afterslip and viscoelastic relaxation. We find that viscoelastic stress transfer can promote the synchronization of earthquakes. Even if the asperities are separated by as far as 30 km, synchronization is still possible for a viscosity of the underlying mantle of 10(17) Pa s, which can be attained by dislocation creep or transient creep during the postseismic period. Considering the similarities in tectonic and structural settings, viscoelastic stress transfer and earthquake synchronization may also occur at 15'20 (Mid-Atlantic Ridge), George V (Southeast Indian Ridge), Menard and Heezen transform fault (Pacific-Antarctic Ridge).</t>
  </si>
  <si>
    <t>[Shi, Pengcheng; Wei, Meng] Univ Rhode Isl, Grad Sch Oceanog, Narragansett, RI 02882 USA; [Barbot, Sylvain] Univ Southern Calif, Dept Earth Sci, Los Angeles, CA 90007 USA</t>
  </si>
  <si>
    <t>University of Rhode Island; University of Southern California</t>
  </si>
  <si>
    <t>Shi, PC (corresponding author), Univ Rhode Isl, Grad Sch Oceanog, Narragansett, RI 02882 USA.</t>
  </si>
  <si>
    <t>pengcheng_shi@uri.edu</t>
  </si>
  <si>
    <t>Barbot, Sylvain D/H-2959-2012</t>
  </si>
  <si>
    <t>Shi, Pengcheng/0000-0003-3558-458X; Barbot, Sylvain/0000-0003-4257-7409</t>
  </si>
  <si>
    <t>United States National Science Foundation [EAR-1848192]</t>
  </si>
  <si>
    <t>United States National Science Foundation(National Science Foundation (NSF))</t>
  </si>
  <si>
    <t>Pengcheng Shi and Meng Wei are supported by the United States National Science Foundation (OCE-1654416). Sylvain Barbot is supported by the United States National Science Foundation (EAR-1848192). We thank Sandra Slead for the internal review of this manuscript. We thank editor Rachel Abercrombie, the anonymous associate editor, and two anonymous reviewers for their suggestions in improving this manuscript.</t>
  </si>
  <si>
    <t>e2022JB024069</t>
  </si>
  <si>
    <t>10.1029/2022JB024069</t>
  </si>
  <si>
    <t>3X0LQ</t>
  </si>
  <si>
    <t>WOS:000842738200001</t>
  </si>
  <si>
    <t>Warnock, JP; Reilly, BT; Raymo, ME; Weber, ME; Peck, V; Williams, T; Armbrecht, L; Bailey, I; Brachfeld, S; Du, ZH; Fauth, G; García, MM; Glüder, A; Guitard, M; Gutjahr, M; Hemming, S; Hernández-Almeida, I; Hoem, FS; Hwang, JH; Iizuka, M; Kato, Y; Lee, B; Martos, YM; O'Connell, S; Pérez, LF; Ronge, TA; Seki, O; Tauxe, L; Tripathi, S; Zheng, XF; Stoner, J; Scherer, RP</t>
  </si>
  <si>
    <t>Warnock, Jonathan P.; Reilly, Brendan T.; Raymo, Maureen E.; Weber, Michael E.; Peck, Victoria; Williams, Trevor; Armbrecht, Linda; Bailey, Ian; Brachfeld, Stefanie; Du, Zhiheng; Fauth, Gerson; Garcia, Marga M.; Gluder, Anna; Guitard, Michelle; Gutjahr, Marcus; Hemming, Sidney; Hernandez-Almeida, Ivan; Hoem, Freida S.; Hwang, Ji-Hwan; Iizuka, Mutsumi; Kato, Yuji; Lee, Bridget; Martos, Yasmina M.; O'Connell, Suzanne; Perez, Lara F.; Ronge, Thomas A.; Seki, Osamu; Tauxe, Lisa; Tripathi, Shubham; Zheng, Xufeng; Stoner, Joseph; Scherer, Reed P.</t>
  </si>
  <si>
    <t>Latitudinal Variance in the Drivers and Pacing of Warmth During Mid-Pleistocene MIS 31 in the Antarctic Zone of the Southern Ocean</t>
  </si>
  <si>
    <t>climate change; Southern Ocean; cryosphere; diatoms; Antarctic ice sheet</t>
  </si>
  <si>
    <t>MAJOR DIATOM TAXA; ICE-SHEET; SURFACE SEDIMENTS; SEA-ICE; WEDDELL SEA; CLIMATE; PRODUCTIVITY; BIOGEOGRAPHY; VARIABILITY; CYCLES</t>
  </si>
  <si>
    <t>Early Pleistocene Marine Isotope Stage (MIS)-31 (1.081-1.062 Ma) is a unique interval of extreme global warming, including evidence of a West Antarctic Ice Sheet (WAIS) collapse. Here we present a new 1,000-year resolution, spanning 1.110-1.030 Ma, diatom-based reconstruction of primary productivity, relative sea surface temperature changes, sea-ice proximity/open ocean conditions and diatom species absolute abundances during MIS-31, from the Scotia Sea (59 degrees S) using deep-sea sediments collected during International Ocean Discovery Program (IODP) Expedition 382. The lower Jaramillo magnetic reversal (base of C1r.1n, 1.071 Ma) provides a robust and independent time-stratigraphic marker to correlate records from other drill cores in the Antarctic Zone of the Southern Ocean (AZSO). An increase in open ocean species Fragilariopsis kerguelensis in early MIS-31 at 53 degrees S (Ocean Drilling Program Site 1,094) correlates with increased obliquity forcing, whereas at 59 degrees S (IODP Site U1537; this study) three progressively increasing, successive peaks in the relative abundance of F. kerguelensis correlate with Southern Hemisphere-phased precession pacing. These observations reveal a complex pattern of ocean temperature change and sustained sea surface temperature increase lasting longer than a precession cycle within the Atlantic sector of the AZSO. Timing of an inferred WAIS collapse is consistent with delayed warmth (possibly driven by sea-ice dynamics) in the southern AZSO, supporting models that indicate WAIS sensitivity to local sub-ice shelf melting. Anthropogenically enhanced impingement of relatively warm water beneath the ice shelves today highlights the importance of understanding dynamic responses of the WAIS during MIS-31, a warmer than Holocene interglacial.</t>
  </si>
  <si>
    <t>[Warnock, Jonathan P.] Indiana Univ Penn, Dept Geog Geol Environm &amp; Planning, Indiana, PA 15705 USA; [Reilly, Brendan T.; Tauxe, Lisa] Univ Calif San Diego, Scripps Inst Oceanog, La Jolla, CA 92093 USA; [Raymo, Maureen E.; Hemming, Sidney] Columbia Univ, Lamont Doherty Earth Observ, Palisades, NY USA; [Weber, Michael E.] Univ Bonn, Inst Geosci, Dept Geochem &amp; Petrol, Bonn, Germany; [Peck, Victoria; Perez, Lara F.] British Antarctic Survey, Cambridge, England; [Williams, Trevor] Texas A&amp;M Univ, Int Ocean Discovery Program, College Stn, TX USA; [Armbrecht, Linda] Univ Tasmania, Inst Marine &amp; Antarctic Studies IMAS, Hobart, Tas, Australia; [Bailey, Ian] Univ Exeter, Camborne Sch Mines, Penryn Campus, Penryn, Cornwall, England; [Bailey, Ian] Univ Exeter, Environm Sustainabil Inst, Penryn Campus, Penryn, Cornwall, England; [Brachfeld, Stefanie] Montclair State Univ, Earth &amp; Environm Studies, Montclair, NJ USA; [Du, Zhiheng] Chinese Acad Sci, State Key Lab Cryospher Sci, Lanzhou, Gansu, Peoples R China; [Fauth, Gerson] Univ Vale Rio dos Sinos, Inst Tecnol Micropaleontol, Geol Program, San Leopoldo, Brazil; [Garcia, Marga M.] Spanish Inst Oceanog, Cadiz Oceanog Ctr, Cadiz, Spain; [Gluder, Anna; Stoner, Joseph] Oregon State Univ, Coll Earth Ocean &amp; Atmospher Sci, Corvallis, OR 97331 USA; [Guitard, Michelle] Univ S Florida, Coll Marine Sci, St Petersburg, FL USA; [Gutjahr, Marcus] GEOMAR Helmholtz Ctr Ocean Res Kiel, Kiel, Germany; [Hernandez-Almeida, Ivan] Swiss Fed Inst Technol, Dept Earth Sci, Zurich, Switzerland; [Hoem, Freida S.] Univ Utrecht, Marine Palynol &amp; Paleoceanog, Utrecht, Netherlands; [Hwang, Ji-Hwan] Korea Basic Sci Inst, Earth &amp; Environm Sci, Chungbuk, Cheongju, South Korea; [Iizuka, Mutsumi] Tokyo City Univ, Knowledge Engn, Tokyo, Japan; [Kato, Yuji] Univ Tsukuba, Fac Life &amp; Environm Sci, Ibaraki, Japan; [Lee, Bridget] Univ Calif Riverside, Dept Earth Sci, Riverside, CA 92521 USA; [Martos, Yasmina M.] Univ Maryland Syst, NASA, Goddard Space Flight Ctr, Greenbelt, MD USA; [Martos, Yasmina M.] Univ Maryland, Dept Astron, College Pk, MD 20742 USA; [O'Connell, Suzanne] Wesleyan Univ, Dept Earth &amp; Environm Sci, Middletown, CT USA; [Perez, Lara F.] Geol Survey Denmark &amp; Greenland, Dept Marine Geol, Aarhus, Denmark; [Ronge, Thomas A.] Alfred Wegener Inst, Hemholtz Ctr Polar &amp; Marine Res, Marine Geol, Bremerhaven, Germany; [Seki, Osamu] Hokkaido Univ, Inst Low Temp Sci, Sapporo, Hokkaido, Japan; [Tripathi, Shubham] Minist Earth Sci, Natl Ctr Polar &amp; Ocean Res, Vasco Da Gama, India; [Zheng, Xufeng] Hainan Univ, State Key Lab Marine Resource Utilizat South Chin, Haikou, Hainan, Peoples R China; [Scherer, Reed P.] Northern Illinois Univ, Dept Earth Atmosphere &amp; Environm, De Kalb, IL 60115 USA</t>
  </si>
  <si>
    <t>Pennsylvania State System of Higher Education (PASSHE); Indiana University of Pennsylvania; University of California System; University of California San Diego; Scripps Institution of Oceanography; Columbia University; University of Bonn; UK Research &amp; Innovation (UKRI); Natural Environment Research Council (NERC); NERC British Antarctic Survey; Texas A&amp;M University System; Texas A&amp;M University College Station; University of Tasmania; University of Exeter; University of Exeter; Montclair State University; Chinese Academy of Sciences; Universidade do Vale do Rio dos Sinos (Unisinos); Spanish Institute of Oceanography; Oregon State University; State University System of Florida; University of South Florida; Helmholtz Association; GEOMAR Helmholtz Center for Ocean Research Kiel; Swiss Federal Institutes of Technology Domain; ETH Zurich; Utrecht University; Korea Basic Science Institute (KBSI); Tokyo City University; University of Tsukuba; University of California System; University of California Riverside; National Aeronautics &amp; Space Administration (NASA); NASA Goddard Space Flight Center; University System of Maryland; University of Maryland College Park; Wesleyan University; Geological Survey Of Denmark &amp; Greenland; Helmholtz Association; Alfred Wegener Institute, Helmholtz Centre for Polar &amp; Marine Research; Hokkaido University; Ministry of Earth Sciences (MoES) - India; National Centre for Polar and Ocean Research (NCPOR); Hainan University; Northern Illinois University</t>
  </si>
  <si>
    <t>Warnock, JP (corresponding author), Indiana Univ Penn, Dept Geog Geol Environm &amp; Planning, Indiana, PA 15705 USA.</t>
  </si>
  <si>
    <t>jwarnock@iup.edu</t>
  </si>
  <si>
    <t>Garcia, Marga/L-7410-2014; 郑, 旭/JAO-2624-2023; Weber, Michael E/G-8707-2012; Zheng, Xufeng/HPC-4252-2023; Williams, Trevor/L-7670-2014; Gutjahr, Marcus/L-9158-2013; Pérez, Lara F./H-3572-2015; ALMEIDA, IVAN HERNANDEZ/G-3134-2015; Fauth, Gerson/AAE-3353-2021; Armbrecht, Linda/GZB-0547-2022</t>
  </si>
  <si>
    <t>Garcia, Marga/0000-0003-2632-6132; Gutjahr, Marcus/0000-0003-2556-2619; Pérez, Lara F./0000-0002-6229-4564; ALMEIDA, IVAN HERNANDEZ/0000-0002-9329-8357; Ronge, Thomas/0000-0003-2625-719X; Weber, Michael E/0000-0003-2175-8980; Tripathi, Shubham/0000-0002-0676-4744; Brachfeld, Stefanie/0000-0003-4612-2866; Reilly, Brendan/0000-0003-3666-4338; Kato, Yuji/0000-0001-9420-487X; Hoem, Frida/0000-0002-8834-6799; Warnock, Jonathan/0000-0002-0900-613X</t>
  </si>
  <si>
    <t>US Science Support Program; Columbia University [OCE 1450528]; NSF [ANT1939146, ANT1939139]; NSF Office of Polar Programs [2114769, 2114764, 2114777, 2114786, 2114768, 2114763]; Deutsche Forschungsgemeinschaft (DFG-Priority Programme) [We2039/17-1]; European Union [792773]; Natural Environment Research Council [NEB1782]; Australian and New Zealand International Ocean Discovery Program Consortium (ANZIC); Australian Research Council (ARC) Discovery Early Career Researcher Award (DECRA) [DE210100929]; Natural Environmental Research Council [NE/T006609/1]; Directorate For Geosciences [2114768] Funding Source: National Science Foundation; Directorate For Geosciences; Office of Polar Programs (OPP) [2114763, 2114764, 2114786] Funding Source: National Science Foundation; Office of Polar Programs (OPP) [2114768] Funding Source: National Science Foundation; Office of Polar Programs (OPP); Directorate For Geosciences [2114777, 2114769] Funding Source: National Science Foundation; Marie Curie Actions (MSCA) [792773] Funding Source: Marie Curie Actions (MSCA); Australian Research Council [DE210100929] Funding Source: Australian Research Council</t>
  </si>
  <si>
    <t>US Science Support Program; Columbia University; NSF(National Science Foundation (NSF)); NSF Office of Polar Programs(National Science Foundation (NSF)); Deutsche Forschungsgemeinschaft (DFG-Priority Programme)(German Research Foundation (DFG)); European Union(European Union (EU)); Natural Environment Research Council(UK Research &amp; Innovation (UKRI)Natural Environment Research Council (NERC)); Australian and New Zealand International Ocean Discovery Program Consortium (ANZIC); Australian Research Council (ARC) Discovery Early Career Researcher Award (DECRA)(Australian Research Council); Natural Environmental Research Council(UK Research &amp; Innovation (UKRI)Natural Environment Research Council (NERC));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 Marie Curie Actions (MSCA)(Marie Curie Actions); Australian Research Council(Australian Research Council)</t>
  </si>
  <si>
    <t>We would like to thank the crew and science staff of the JOIDES Resolution for their hard work. Without them this work would not be possible. Warnock, Reilly, and the US participants on IODP Expedition 382 received support from post expedition awards though the US Science Support Program and Columbia University (NSF award OCE 1450528). Scherer is supported by NSF award ANT1939146. Warnock, Reilly, Williams, Bailey, Brachfeld, Hemming, O'Connell, and Tauxe are supported through a collaborative award through NSF Office of Polar Programs (2114769, 2114764, 2114777, 2114786, 2114768, 2114763). M. E. Weber received funding by the Deutsche Forschungsgemeinschaft (DFG-Priority Programme 527, Grant We2039/17-1). L. F. Perez was funded by the European Union's Horizon 2020 Marie Skodowska-Curie grant agreement No. 792773 WAMSISE and the Natural Environment Research Council (NERC) UK-IODP programme grand NEB1782. L. Armbrecht is funded by the Australian and New Zealand International Ocean Discovery Program Consortium (ANZIC) and an Australian Research Council (ARC) Discovery Early Career Researcher Award (DECRA) (DE210100929). I. Bailey thanks the Natural Environmental Research Council for financial support for his participation in IODP Exp. 382 and for associated post-expedition research (UK IODP grant NE/T006609/1). Scherer is funded by NSF ANT1939139. We thank Adam Hasenfratz for helpful discussion on the stratigraphy of ODP Site 1,094. JW dedicates this work to the memory of Southern Ocean diatom specialist Dr. Leanne Armand, mentor, inspiration and friend.</t>
  </si>
  <si>
    <t>e2021PA004394</t>
  </si>
  <si>
    <t>10.1029/2021PA004394</t>
  </si>
  <si>
    <t>3W7GK</t>
  </si>
  <si>
    <t>WOS:000842514900001</t>
  </si>
  <si>
    <t>Kajtar, JB; Bachman, SD; Holbrook, NJ; Pilo, GS</t>
  </si>
  <si>
    <t>Kajtar, Jules B.; Bachman, Scott D.; Holbrook, Neil J.; Pilo, Gabriela S.</t>
  </si>
  <si>
    <t>Drivers, Dynamics, and Persistence of the 2017/2018 Tasman Sea Marine Heatwave</t>
  </si>
  <si>
    <t>marine heatwave; Tasman Sea; ocean model; MITgcm; submesoscale</t>
  </si>
  <si>
    <t>IN-SITU; OCEAN; MESOSCALE; TEMPERATURE; VARIABILITY; IMPACTS; EDDIES; WAVE</t>
  </si>
  <si>
    <t>During the austral summer of 2017/2018, the Tasman Sea experienced an intense marine heatwave over an extensive area. It persisted for approximately 3 months and caused substantial ecological impacts. The marine heatwave was understood to have been driven primarily by increased net downward heat flux associated with a high pressure system. However, it has been unclear why the marine heatwave persisted. Using an ultra-high-resolution (similar to 1 km) regional ocean model simulation, the drivers, dynamics, and persistence of the 2017/2018 marine heatwave are explored in detail. It is found that a burst of warm water advection helped to initiate the event, but a shallower than usual mixed layer, coupled with near continuous net downward air-sea heat flux, caused the marine heatwave to persist. Submesoscale dynamics were found to be relatively unimportant to the marine heatwave's persistence.</t>
  </si>
  <si>
    <t>[Kajtar, Jules B.; Holbrook, Neil J.; Pilo, Gabriela S.] Univ Tasmania, Inst Marine &amp; Antarctic Studies, Hobart, Tas, Australia; [Kajtar, Jules B.; Holbrook, Neil J.] Univ Tasmania, Australian Res Council Ctr Excellence Climate Ext, Hobart, Tas, Australia; [Bachman, Scott D.] Natl Ctr Atmospher Res, Climate &amp; Global Dynam Lab, POB 3000, Boulder, CO 80307 USA; [Pilo, Gabriela S.] CSIRO, Oceans &amp; Atmosphere, Hobart, Tas, Australia</t>
  </si>
  <si>
    <t>University of Tasmania; University of Tasmania; National Center Atmospheric Research (NCAR) - USA; Commonwealth Scientific &amp; Industrial Research Organisation (CSIRO)</t>
  </si>
  <si>
    <t>Kajtar, JB (corresponding author), Univ Tasmania, Inst Marine &amp; Antarctic Studies, Hobart, Tas, Australia.;Kajtar, JB (corresponding author), Univ Tasmania, Australian Res Council Ctr Excellence Climate Ext, Hobart, Tas, Australia.</t>
  </si>
  <si>
    <t>jules.kajtar@utas.edu.au</t>
  </si>
  <si>
    <t>Kajtar, Jules B./A-5897-2016; Holbrook, Neil/M-7544-2013</t>
  </si>
  <si>
    <t>Kajtar, Jules B./0000-0003-0114-6610; Holbrook, Neil/0000-0002-3523-6254; Pilo, Gabriela/0000-0002-8590-8645</t>
  </si>
  <si>
    <t>Australian Research Council Centre of Excellence for Climate Extremes (CLEX) [CE170100023]</t>
  </si>
  <si>
    <t>Australian Research Council Centre of Excellence for Climate Extremes (CLEX)(Australian Research Council)</t>
  </si>
  <si>
    <t>JBK and NJH acknowledge ongoing support from the Australian Research Council Centre of Excellence for Climate Extremes (CLEX; CE170100023). The authors thank Paola Petrelli of the CLEX CMS team for helping to publish the model output online. The National Computational Infrastructure, which is supported by the Australian Government, was utilized for processing and analyzing the data. The authors thank the National Oceanic and Atmospheric Administration (NOAA) for making available their OISST data set, and the European Union Copernicus Marine Service Information for providing their MOB and global ocean products. Some analysis was conducted using the Gibbs SeaWater (GSW) oceanographic toolbox, and the authors thank T.J. McDougall and P.M. Barker for making the code freely available. The authors wish to thank the two anonymous reviewers and the Editor for their careful examination and constructive reviews which helped to substantially improve this manuscript. Open access publishing facilitated by University of Tasmania, as part of the Wiley - University of Tasmania agreement via the Council of Australian University Librarians.</t>
  </si>
  <si>
    <t>e2022JC018931</t>
  </si>
  <si>
    <t>10.1029/2022JC018931</t>
  </si>
  <si>
    <t>3W5ZG</t>
  </si>
  <si>
    <t>WOS:000842422100001</t>
  </si>
  <si>
    <t>Bejach, L; Engrand, C; Duprat, J; Dartois, E; Mathurin, J; Dazzi, A; Deniset-Besseau, A; Rividi, N; Sandt, C; Borondics, F; Troadec, D; Nakamura, T; Morita, T; Kikuiri, M; Amano, K; Kagawa, E; Yabuta, H; Noguchi, T; Yurimoto, H; Okazaki, R; Naraoka, H; Sakamoto, K; Tachibana, S; Watanabe, S; Tsuda, Y</t>
  </si>
  <si>
    <t>Bejach, L.; Engrand, C.; Duprat, J.; Dartois, E.; Mathurin, J.; Dazzi, A.; Deniset-Besseau, A.; Rividi, N.; Sandt, C.; Borondics, F.; Troadec, D.; Nakamura, T.; Morita, T.; Kikuiri, M.; Amano, K.; Kagawa, E.; Yabuta, H.; Noguchi, T.; Yurimoto, H.; Okazaki, R.; Naraoka, H.; Sakamoto, K.; Tachibana, S.; Watanabe, S.; Tsuda, Y.</t>
  </si>
  <si>
    <t>Hayabusa2-Initial-Anal Stone IOM</t>
  </si>
  <si>
    <t>COMPARISON OF MINERALOGICAL COMPOSITION OF ASTEROID RYUGU SAMPLES RETURNED BY THE HAYABUSA2 MISSION AND ANTARCTIC MICROMETEORITES (AMMs).</t>
  </si>
  <si>
    <t>85th Annual Meeting of the Meteoritical-Society</t>
  </si>
  <si>
    <t>AUG 14-19, 2022</t>
  </si>
  <si>
    <t>Glasgow, SCOTLAND</t>
  </si>
  <si>
    <t>[Bejach, L.; Engrand, C.; Duprat, J.] Univ Paris Saclay, CNRS, IJCLab, Paris, France; [Dartois, E.] Univ Paris Saclay, CNRS, ISMO, Paris, France; [Mathurin, J.; Dazzi, A.; Deniset-Besseau, A.] Univ Paris Saclay, CNRS, ICP, Paris, France; [Rividi, N.] Univ Paris Sorbonne, CAMPARIS, Jussieu, France; [Sandt, C.; Borondics, F.] CEA, CNRS, Synchrotron SOLEIL, Paris, France; [Troadec, D.] CNRS, UMR 8520, Inst Elect Microelect &amp; Nanotechnol IEMN, Paris, France; [Nakamura, T.; Morita, T.; Kikuiri, M.; Amano, K.; Kagawa, E.] Tohoku Univ, Sendai, Miyagi 9808578, Japan; [Yabuta, H.] Hiroshima Univ, Higashihiroshima, Hiroshima 7398526, Japan; [Noguchi, T.] Kyoto Univ, Kyoto 6068502, Japan; [Yurimoto, H.] Hokkaido Univ, Sapporo, Hokkaido 0600810, Japan; [Okazaki, R.; Naraoka, H.] Kyushu Univ, Fukuoka 8190395, Japan; [Sakamoto, K.; Tachibana, S.; Tsuda, Y.] Japan Aerosp Explorat Agcy JAXA, Inst Space &amp; Astronaut Sci ISAS, Sagamihara, Kanagawa 2525210, Japan; [Tachibana, S.] Univ Tokyo, Bunkyo Ku, Tokyo 1130033, Japan; [Watanabe, S.] Nagoya Univ, Chikusa Ku, Nagoya, Aichi 4648601, Japan</t>
  </si>
  <si>
    <t>Universite Paris Saclay; Universite Paris Cite; Centre National de la Recherche Scientifique (CNRS); Universite Paris Saclay; Universite Paris Cite; Centre National de la Recherche Scientifique (CNRS); Universite Paris Saclay; Centre National de la Recherche Scientifique (CNRS); Universite Paris Cite; Sorbonne Universite; Centre National de la Recherche Scientifique (CNRS); CEA; SOLEIL Synchrotron; Centre National de la Recherche Scientifique (CNRS); Universite Polytechnique Hauts-de-France; Universite de Lille; CNRS - Institute for Engineering &amp; Systems Sciences (INSIS); Tohoku University; Hiroshima University; Kyoto University; Hokkaido University; Kyushu University; Japan Aerospace Exploration Agency (JAXA); Institute of Space &amp; Astronautical Science (ISAS); University of Tokyo; Nagoya University</t>
  </si>
  <si>
    <t>laure.bejach@ijclab.in2p3.fr</t>
  </si>
  <si>
    <t>Yurimoto, Hisayoshi/S-9938-2018; Tachibana, Shogo/R-7884-2018</t>
  </si>
  <si>
    <t>CNES (MIAMI-HY2); French ANR [ANR-18-CE31-0011]; INSU (PNP, PCMI); IN2P3; , DIM-ACAV+ (Region Ile de France); CNRS; Agence Nationale de la Recherche (ANR) [ANR-18-CE31-0011] Funding Source: Agence Nationale de la Recherche (ANR)</t>
  </si>
  <si>
    <t>CNES (MIAMI-HY2); French ANR(Agence Nationale de la Recherche (ANR)); INSU (PNP, PCMI); IN2P3; , DIM-ACAV+ (Region Ile de France)(Region Ile-de-France); CNRS(Centre National de la Recherche Scientifique (CNRS)); Agence Nationale de la Recherche (ANR)(Agence Nationale de la Recherche (ANR))</t>
  </si>
  <si>
    <t>This work was supported by CNES (MIAMI-HY2), the French ANR (COMETOR, ANR-18-CE31-0011) as well as INSU (PNP, PCMI), IN2P3, DIM-ACAV+ (Region Ile de France), CNRS. We are grateful to the French and Italian polar institutes IPEV and PNRA, for their financial and logistic support to the micrometeorites collection at the vicinity of the CONCORDIA station (Dome C).</t>
  </si>
  <si>
    <t>Science Citation Index Expanded (SCI-EXPANDED); Conference Proceedings Citation Index - Science (CPCI-S)</t>
  </si>
  <si>
    <t>3L2XY</t>
  </si>
  <si>
    <t>WOS:000834630400039</t>
  </si>
  <si>
    <t>Clog, M; Lindgren, P; Lee, MR; Modestou, S</t>
  </si>
  <si>
    <t>Clog, M.; Lindgren, P.; Lee, M. R.; Modestou, S.</t>
  </si>
  <si>
    <t>TEMPERATURES OF CARBONATE FORMATION IN CM CARBONACEOUS CHONDRITES: NEW CONSTRAINTS FROM CLUMPED ISOTOPE THERMOMETRY</t>
  </si>
  <si>
    <t>AQUEOUS ALTERATION</t>
  </si>
  <si>
    <t>[Clog, M.] Scottish Univ, Environm Res Ctr, Rankine Ave,Scottish Enterprise Technol Pk, East Kilbride G75 0QF, Scotland; [Lindgren, P.] Geol Survey Sweden, Kiliansgatan 10, S-22550 Lund, Sweden; [Lee, M. R.] Univ Glasgow, Sch Geog &amp; Earth Sci, Glasgow G12 8QQ, Lanark, Scotland; [Modestou, S.] Northumbria Univ, Dept Geog &amp; Environm Sci, Newcastle Upon Tyne NE1 8ST, Tyne &amp; Wear, England</t>
  </si>
  <si>
    <t>Scottish Universities Research &amp; Reactor Center; University of Glasgow; Northumbria University</t>
  </si>
  <si>
    <t>matthieu.clog@glasgow.ac.uk</t>
  </si>
  <si>
    <t>Lee, Martin/Q-1040-2019; Lee, Martin R/D-9169-2011</t>
  </si>
  <si>
    <t>Lee, Martin/0000-0002-6004-3622;</t>
  </si>
  <si>
    <t>UK STFC [ST/K000942/1]</t>
  </si>
  <si>
    <t>UK STFC(UK Research &amp; Innovation (UKRI)Science &amp; Technology Facilities Council (STFC))</t>
  </si>
  <si>
    <t>This work was funded by the UK STFC (ST/K000942/1). We thank the Natural History Museum London and the NASA Antarctic meteorite collection for supply of Murchison/Cold Bokkeveld and ALH 83100, respectively, and Andrew Tait and Terry Donnelly of SUERC for their support in the laboratory.</t>
  </si>
  <si>
    <t>WOS:000834630400089</t>
  </si>
  <si>
    <t>Corrigan, CM; McCoy, TJ; Righter, K; Satterwhite, C; Pando, K; Hoskin, CJ</t>
  </si>
  <si>
    <t>Corrigan, C. M.; McCoy, T. J.; Righter, K.; Satterwhite, C.; Pando, K.; Hoskin, C. J.</t>
  </si>
  <si>
    <t>ANTARCTIC METEORITES: A STATISTICAL LOOK AT A UNIQUELY VALUABLE RESOURCE</t>
  </si>
  <si>
    <t>H CHONDRITES; MODERN FALLS; DISTRIBUTIONS; FINDS</t>
  </si>
  <si>
    <t>[Corrigan, C. M.; McCoy, T. J.; Hoskin, C. J.] Smithsonian Inst, Natl Museum Nat Hist, Dept Mineral Sci, 10th &amp; Constitut NW, Washington, DC 20560 USA; [Righter, K.] NASA, Johnson Space Ctr, Astromat Curat, 2101 NASA Pkwy,Mail Code XI2, Houston, TX 77058 USA; [Satterwhite, C.; Pando, K.] NASA, Jacobs JETS, Johnson Space Ctr, Houston, TX 77058 USA</t>
  </si>
  <si>
    <t>Smithsonian Institution; Smithsonian National Museum of Natural History; National Aeronautics &amp; Space Administration (NASA); NASA Johnson Space Center; National Aeronautics &amp; Space Administration (NASA)</t>
  </si>
  <si>
    <t>corriganc@si.edu</t>
  </si>
  <si>
    <t>WOS:000834630400094</t>
  </si>
  <si>
    <t>Glenewinkel, B; Hanna, RD</t>
  </si>
  <si>
    <t>Glenewinkel, Bailey; Hanna, Romy D.</t>
  </si>
  <si>
    <t>INVESTIGATION OF FABRICS IN CO CHONDRITE MILLER RANGE 05024 USING XCT AND EBSD</t>
  </si>
  <si>
    <t>romy@jsg.utexas.edu</t>
  </si>
  <si>
    <t>Hanna, Romy/JVN-6120-2024</t>
  </si>
  <si>
    <t>NSF; NASA</t>
  </si>
  <si>
    <t>NSF(National Science Foundation (NSF)); NASA(National Aeronautics &amp; Space Administration (NASA))</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</si>
  <si>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Thank you to Roger Harrington for production of the CO thin section and for the special polishing done to accommodate our EBSD analysis.</t>
  </si>
  <si>
    <t>WOS:000834630400152</t>
  </si>
  <si>
    <t>Graff, PV; Willis, K; Miller, R; Foxworth, S; Blumenfeld, E; Charney, D</t>
  </si>
  <si>
    <t>Graff, P. V.; Willis, K.; Miller, R.; Foxworth, S.; Blumenfeld, E.; Charney, D.</t>
  </si>
  <si>
    <t>ENGAGING LEARNERS WITH NASA'S ANTARCTIC METEORITES AND APOLLO MOON ROCKS</t>
  </si>
  <si>
    <t>paige.v.graff@nasa.gov</t>
  </si>
  <si>
    <t>NASA's Science Activation Program; NASA's Astromaterials Research and Exploration Science (ARES) Division at NASA's Johnson Space Center</t>
  </si>
  <si>
    <t>This work is supported by NASA's Science Activation Program and NASA's Astromaterials Research and Exploration Science (ARES) Division at NASA's Johnson Space Center.</t>
  </si>
  <si>
    <t>WOS:000834630400162</t>
  </si>
  <si>
    <t>Ostrowski, DR</t>
  </si>
  <si>
    <t>Ostrowski, D. R.</t>
  </si>
  <si>
    <t>HIGH TEMPERATURE THERMAL CONDUCTIVITY OF STONY METEORITES.</t>
  </si>
  <si>
    <t>[Ostrowski, D. R.] Bay Area Environm Res Inst, Moffett Field, CA USA; [Ostrowski, D. R.] NASA Ames Res Ctr, Moffett Field, CA USA</t>
  </si>
  <si>
    <t>National Aeronautics &amp; Space Administration (NASA); NASA Ames Research Center</t>
  </si>
  <si>
    <t>daniel.r.ostrowski@nasa.gov</t>
  </si>
  <si>
    <t>NASA's Planetary Defense Coordination Office (PDCO)</t>
  </si>
  <si>
    <t>Funded by NASA's Planetary Defense Coordination Office (PDCO) and is conducted under the Asteroid Threat Assessment Project at NASA AMES Research Center. The Antarctic meteorites used for study are on loan from the Lyndon B. Johnson Space Center's Astromaterials Sample Control Center.</t>
  </si>
  <si>
    <t>WOS:000834630400360</t>
  </si>
  <si>
    <t>Righter, K; Jakubek, R; Fries, MD; Schutt, J; Pando, K; Harrington, R</t>
  </si>
  <si>
    <t>Righter, K.; Jakubek, R.; Fries, M. D.; Schutt, J.; Pando, K.; Harrington, R.</t>
  </si>
  <si>
    <t>PETROLOGIC SUB-TYPES, SUB-GROUPS, AND PAIRING FOR CV CHONDRITES IN THE US ANTARCTIC METEORITE COLLECTION.</t>
  </si>
  <si>
    <t>CHRONOLOGY</t>
  </si>
  <si>
    <t>kevin.righter-1@nasa.gov</t>
  </si>
  <si>
    <t>WOS:000834630400403</t>
  </si>
  <si>
    <t>Rojas, J; Duprat, J; Dartois, E; Wu, TD; Engrand, C; Nittler, LR; Bardin, N; Augé, B</t>
  </si>
  <si>
    <t>Rojas, J.; Duprat, J.; Dartois, E.; Wu, T-D.; Engrand, C.; Nittler, L. R.; Bardin, N.; Auge, B.</t>
  </si>
  <si>
    <t>The Isotopic Composition of Ultra-Carbonaceous Antarctic Micrometeorites Organics, Ion-Irradiation of Isotopically Heterogeneous Ices.</t>
  </si>
  <si>
    <t>Julien.Rojas@ijclab.in2p3.fr</t>
  </si>
  <si>
    <t>CNES (MIAMI2) [ANR-18-CE31-0011]; DIM-ACAV+ (C3E); CNRS-INSU/IN2P3 (PNP); IPEV [1120]; PNRA; Agence Nationale de la Recherche (ANR) [ANR-18-CE31-0011] Funding Source: Agence Nationale de la Recherche (ANR)</t>
  </si>
  <si>
    <t>CNES (MIAMI2); DIM-ACAV+ (C3E); CNRS-INSU/IN2P3 (PNP); IPEV; PNRA; Agence Nationale de la Recherche (ANR)(Agence Nationale de la Recherche (ANR))</t>
  </si>
  <si>
    <t>This work was funded by contract ANR-18-CE31-0011, CNES (MIAMI2), DIM-ACAV+ (C3E), CNRS-INSU/IN2P3 (PNP). The work at CONCORDIA Station (Projet#1120) was supported by IPEV and PNRA.</t>
  </si>
  <si>
    <t>WOS:000834630400405</t>
  </si>
  <si>
    <t>Satterwhite, CE; Pando, KM; Harrington, RS; Calva, CD; Righter, K</t>
  </si>
  <si>
    <t>Satterwhite, C. E.; Pando, K. M.; Harrington, R. S.; Calva, C. D.; Righter, K.</t>
  </si>
  <si>
    <t>Overview of the Antarctic Meteorite Collection at Johnson Space Center</t>
  </si>
  <si>
    <t>cecilia.e.satterwhite@nasa.gov</t>
  </si>
  <si>
    <t>WOS:000834630400416</t>
  </si>
  <si>
    <t>Tollenaar, V; Zekollari, H; Lhermitte, S; Tax, DMJ; Debaille, V; Goderis, S; Claeys, P; Pattyn, F</t>
  </si>
  <si>
    <t>Tollenaar, V.; Zekollari, H.; Lhermitte, S.; Tax, D. M. J.; Debaille, V.; Goderis, S.; Claeys, P.; Pattyn, F.</t>
  </si>
  <si>
    <t>DATA AND MACHINE LEARNING TO AID THE SEARCH FOR ANTARCTIC METEORITES</t>
  </si>
  <si>
    <t>[Tollenaar, V.; Zekollari, H.; Pattyn, F.] Univ Libre Bruxelles, Lab Glaciol, Brussels, Belgium; [Zekollari, H.; Lhermitte, S.] Delft Univ Technol, Dept Geosci &amp; Remote Sensing, Delft, Netherlands; [Tax, D. M. J.] Delft Univ Technol, Pattern Recognit Lab, Delft, Netherlands; [Debaille, V.] Univ Libre Bruxelles, Lab G Time, Brussels, Belgium; [Goderis, S.; Claeys, P.] Vrije Univ Brussel, Analyt Environm &amp; Geochem, Brussels, Belgium</t>
  </si>
  <si>
    <t>Universite Libre de Bruxelles; Delft University of Technology; Delft University of Technology; Universite Libre de Bruxelles; Vrije Universiteit Brussel</t>
  </si>
  <si>
    <t>Veronica.Tollenaar@ulb.be</t>
  </si>
  <si>
    <t>Lhermitte, Stef (Stefaan)/A-3385-2013; (VUB), VRIJE UNIVERSITEIT BRUSSEL/B-4895-2008; Goderis, Steven/F-9908-2011</t>
  </si>
  <si>
    <t>Lhermitte, Stef (Stefaan)/0000-0002-1622-0177; (VUB), VRIJE UNIVERSITEIT BRUSSEL/0000-0002-4585-7687; Goderis, Steven/0000-0002-6666-7153</t>
  </si>
  <si>
    <t>WOS:000834630400473</t>
  </si>
  <si>
    <t>Bahadori, A; Holt, WE; Feng, R; Austermann, J; Loughney, KM; Salles, T; Moresi, L; Beucher, R; Lu, N; Flesch, LM; Calvelage, CM; Rasbury, ET; Davis, DM; Potochnik, AR; Ward, WB; Hatton, K; Haq, SSB; Smiley, TM; Wooton, KM; Badgley, C</t>
  </si>
  <si>
    <t>Bahadori, Alireza; Holt, William E.; Feng, Ran; Austermann, Jacqueline; Loughney, Katharine M.; Salles, Tristan; Moresi, Louis; Beucher, Romain; Lu, Neng; Flesch, Lucy M.; Calvelage, Christopher M.; Rasbury, E. Troy; Davis, Daniel M.; Potochnik, Andre R.; Ward, W. Bruce; Hatton, Kevin; Haq, Saad S. B.; Smiley, Tara M.; Wooton, Kathleen M.; Badgley, Catherine</t>
  </si>
  <si>
    <t>Coupled influence of tectonics, climate, and surface processes on landscape evolution in southwestern North America</t>
  </si>
  <si>
    <t>METAMORPHIC CORE COMPLEXES; ANTARCTIC ICE-SHEET; COLORADO PLATEAU; JOINT INVERSION; FARALLON SLAB; CENTRAL ANDES; GRAND-CANYON; LOWER CRUST; WESTERN US; MANTLE</t>
  </si>
  <si>
    <t>Cenozoic landscape evolution of southwestern North America remains debated. Here, the authors reconstruct landscape using 4-D numerical models, which can explain extensional collapse and superficial geological record for the Basin and Range Province The Cenozoic landscape evolution in southwestern North America is ascribed to crustal isostasy, dynamic topography, or lithosphere tectonics, but their relative contributions remain controversial. Here we reconstruct landscape history since the late Eocene by investigating the interplay between mantle convection, lithosphere dynamics, climate, and surface processes using fully coupled four-dimensional numerical models. Our quantified depth-dependent strain rate and stress history within the lithosphere, under the influence of gravitational collapse and sub-lithospheric mantle flow, show that high gravitational potential energy of a mountain chain relative to a lower Colorado Plateau can explain extension directions and stress magnitudes in the belt of metamorphic core complexes during topographic collapse. Profound lithospheric weakening through heating and partial melting, following slab rollback, promoted this extensional collapse. Landscape evolution guided northeast drainage onto the Colorado Plateau during the late Eocene-late Oligocene, south-southwest drainage reversal during the late Oligocene-middle Miocene, and southwest drainage following the late Miocene.</t>
  </si>
  <si>
    <t>[Bahadori, Alireza; Austermann, Jacqueline] Columbia Univ City New York, Lamont Doherty Earth Observ, Palisades, NY 10964 USA; [Bahadori, Alireza; Holt, William E.; Rasbury, E. Troy; Davis, Daniel M.; Hatton, Kevin; Wooton, Kathleen M.] SUNY Stony Brook, Dept Geosci, Stony Brook, NY 11794 USA; [Feng, Ran] Univ Connecticut, Dept Geosci, Storrs, CT USA; [Loughney, Katharine M.] Univ Georgia, Dept Geol, Athens, GA 30602 USA; [Salles, Tristan] Univ Sydney, Sch Geosci, Sydney, NSW, Australia; [Moresi, Louis; Beucher, Romain; Lu, Neng] Australian Natl Univ, Res Sch Earth Sci, Canberra, ACT, Australia; [Flesch, Lucy M.; Calvelage, Christopher M.; Haq, Saad S. B.] Purdue Univ, Dept Earth Atmospher &amp; Planetary Sci, W Lafayette, IN 47907 USA; [Potochnik, Andre R.] Grand Canyon Conservancy Field Inst, Flagstaff, AZ USA; [Ward, W. Bruce] e4sciences, Sandy Hook, CT USA; [Smiley, Tara M.] SUNY Stony Brook, Dept Ecol &amp; Evolut, Stony Brook, NY 11794 USA; [Badgley, Catherine] Univ Michigan, Dept Ecol &amp; Evolutionary Biol, Ann Arbor, MI 48109 USA</t>
  </si>
  <si>
    <t>Columbia University; State University of New York (SUNY) System; State University of New York (SUNY) Stony Brook; University of Connecticut; University System of Georgia; University of Georgia; University of Sydney; Australian National University; Purdue University System; Purdue University; State University of New York (SUNY) System; State University of New York (SUNY) Stony Brook; University of Michigan System; University of Michigan</t>
  </si>
  <si>
    <t>Bahadori, A (corresponding author), Columbia Univ City New York, Lamont Doherty Earth Observ, Palisades, NY 10964 USA.;Bahadori, A (corresponding author), SUNY Stony Brook, Dept Geosci, Stony Brook, NY 11794 USA.</t>
  </si>
  <si>
    <t>abahadori@ldeo.columbia.edu</t>
  </si>
  <si>
    <t>Bahadori, Alireza/JHS-5135-2023; Davis, Daniel/F-9995-2012; Feng, Ran/HPE-3363-2023</t>
  </si>
  <si>
    <t>Davis, Daniel/0000-0002-1560-1955; Bahadori, Alireza/0000-0001-6924-4212; Lu, Neng/0000-0001-9424-2315; Moresi, Louis-Noel/0000-0003-3685-174X; Flesch, Lucy/0000-0002-4801-8192; Loughney, Katharine/0000-0001-6752-6152; Rasbury, Troy/0000-0003-0591-4461; Austermann, Jacqueline/0000-0003-3754-5082; Salles, Tristan/0000-0001-6095-7689; Holt, William/0000-0002-0267-5306</t>
  </si>
  <si>
    <t>National Science Foundation [EAR-1814051, EAR-1814029, EAR-1813996, EAR-0949446, EAR-1550901]; Australian Research Council [DP150102887]; AuScope Ltd.; NIH Research Facility Improvement Grant [1G20RR030893-01]; New York State Empire State Development Division of Science, Technology and Innovation (NYSTAR) [C090171]</t>
  </si>
  <si>
    <t>National Science Foundation(National Science Foundation (NSF)); Australian Research Council(Australian Research Council); AuScope Ltd.; NIH Research Facility Improvement Grant(United States Department of Health &amp; Human ServicesNational Institutes of Health (NIH) - USAOffice of the Administrator (NIH)); New York State Empire State Development Division of Science, Technology and Innovation (NYSTAR)</t>
  </si>
  <si>
    <t>This study was supported by the National Science Foundation grant EAR-1814051 to W.E.H., EAR-1814029 to R.F., EAR-1813996 to C.B., and the Australian Research Council Discovery Project DP150102887 to L.M. The development of UWGeodynamics code is supported by AuScope Ltd., funded under the Australian National Collaborative Research Infrastructure Strategy (NCRIS) as part of the Simulation Analysis Modelling platform (SAM). We thank the Computational Infrastructure for Geodynamics (https://geodynamics.org) which is funded by the National Science Foundation under award EAR-0949446 and EAR-1550901 for supporting the development of ASPECT. We acknowledge computing resources from Columbia University's Shared Research Computing Facility project, which is supported by NIH Research Facility Improvement Grant 1G20RR030893-01, and associated funds from the New York State Empire State Development Division of Science, Technology and Innovation (NYSTAR) Contract C090171, both awarded April 15, 2010. We acknowledge the computing resources from Cheyenne (doi:10.5065/D6RX99HX) provided by the National Center for Atmospheric Research's Computational and Information Systems Laboratory, sponsored by the National Science Foundation, used for CESM2 simulations. We also acknowledge computing resources from the State University of New York at Stony Brook (https://it.stonybrook.edu/services/high-performance-computing) made available for conducting the research reported in this paper.</t>
  </si>
  <si>
    <t>10.1038/s41467-022-31903-2</t>
  </si>
  <si>
    <t>3N8XF</t>
  </si>
  <si>
    <t>WOS:000836428700009</t>
  </si>
  <si>
    <t>Li, CJ; Ma, XY; Dowdy, A; Wang, XM; Ding, MH; Du, ZH; Wang, XX; Cui, XQ; Gao, SP; Liu, Y; Kang, SC; Xiao, CD</t>
  </si>
  <si>
    <t>Li, Chuanjin; Ma, Xiangyu; Dowdy, Andrew; Wang, Xiaoming; Ding, Minghu; Du, Zhiheng; Wang, Xiaoxiang; Cui, Xiaoqing; Gao, Shaopeng; Liu, Yan; Kang, Shichang; Xiao, Cunde</t>
  </si>
  <si>
    <t>Changes in Refractory Black Carbon (rBC) Deposition to Coastal Eastern Antarctica During the Past Century</t>
  </si>
  <si>
    <t>Black Carbon; Ice Core; Eastern Antarctica; ENSO; Southern America and Australia</t>
  </si>
  <si>
    <t>SEA-SALT AEROSOL; ICE-CORE RECORD; ZHONGSHAN STATION; TRAVERSE ROUTE; SNOW; VARIABILITY; DUST; DOME; EMISSIONS; CLIMATE</t>
  </si>
  <si>
    <t>Refractory black carbon (rBC) is an important climate-forcing agent emitted by biomass burning and fossil fuel combustion. Antarctica can receive rBC aerosols emitted in Southern Hemisphere (SH) and preserve the history of emissions and atmospheric transport. Here, we present a high-resolution record of rBC in an ice core (CA2016-75) acquired from the coastal Eastern Antarctica, which accumulated during the past 100 years (1915-2015). The rBC concentration (0.030 ng g(-1)) and flux (7.22 mu g m(-2) yr(-1)) are both among the lowest values in Antarctic snow and ice. The rBC concentration reaches higher values on average in the period aligned with the austral Winter. The rBC concentrations show a long-term descending trend during the period between 1950s and mid-1990s, followed by an ascending trend to 2015. Back trajectory analysis indicates that the emissions resulting from the biomass burning and anthropogenic biofuel consumption in Southern America and Australia were the main sources for the rBC deposition. Wavelet spectral analysis and temporal correlation analysis on rBC deposition and the atmospheric circulation indices (El Nino-Southern Oscillation, Southern Annular Mode and Antarctic Oscillation) confirmed that the atmospheric circulations have certain influences on the rBC deposition, likely by their direct effects on rBC transport and on weather conditions driving the occurrence of fires and subsequent emissions in source regions.</t>
  </si>
  <si>
    <t>[Li, Chuanjin; Ma, Xiangyu; Wang, Xiaoming; Ding, Minghu; Du, Zhiheng; Wang, Xiaoxiang; Cui, Xiaoqing; Liu, Yan; Kang, Shichang; Xiao, Cunde] Chinese Acad Sci, Northwest Inst Ecoenvironm &amp; Resources, State Key Lab Cryospher Sci, Lanzhou, Peoples R China; [Dowdy, Andrew] Bur Meteorol, Docklands, Vic, Australia; [Ding, Minghu] Chinese Acad Meteorol Sci, Inst Meteorol Sci Tibetan Plateau &amp; Polar Reg, Beijing, Peoples R China; [Gao, Shaopeng] Chinese Acad Sci, Inst Tibetan Plateau, Key Lab Tibetan Environm Changes &amp; Land Surface P, Beijing, Peoples R China; [Xiao, Cunde] Beijing Normal Univ, State Key Lab Earth Surface Proc &amp; Resource Ecol, Beijing, Peoples R China</t>
  </si>
  <si>
    <t>Chinese Academy of Sciences; Bureau of Meteorology - Australia; China Meteorological Administration; Chinese Academy of Meteorological Sciences (CAMS); Chinese Academy of Sciences; Institute of Tibetan Plateau Research, CAS; Beijing Normal University</t>
  </si>
  <si>
    <t>Li, CJ; Wang, XX (corresponding author), Chinese Acad Sci, Northwest Inst Ecoenvironm &amp; Resources, State Key Lab Cryospher Sci, Lanzhou, Peoples R China.</t>
  </si>
  <si>
    <t>lichuanjin@lzb.ac.cn; xiaomingwang@lzb.ac.cn</t>
  </si>
  <si>
    <t>Wang, lili/IXD-9828-2023; Wang, Yitong/KBA-1959-2024; yuan, liping/JPK-7584-2023; Dowdy, Andrew/AAI-6395-2020; liu, jiaming/IWE-3196-2023; liu, junyang/IXD-1252-2023; wang, wei/JBS-7400-2023; zhang, chen/JES-0371-2023; Shichang, Kang/AAB-5341-2020; Ding, Minghu/AFU-3600-2022; Liu, Yujie/IWU-6535-2023; liu, junyang/IXD-1201-2023; wang, yu/IUQ-6654-2023; LI, XIAO/JCE-6169-2023; lu, yang/IWE-3635-2023; Kang, Shichang/I-6830-2018</t>
  </si>
  <si>
    <t>Dowdy, Andrew/0000-0003-0720-4471; Shichang, Kang/0000-0002-2344-9519; Ding, Minghu/0000-0002-1142-6598; Liu, Yujie/0000-0002-1153-6156; Kang, Shichang/0000-0003-2115-9005</t>
  </si>
  <si>
    <t>State Key Laboratory of Cryospheric Science Supporting Fund in China [SKLCS-ZZ-2022]; Innovative Research Group project in China [1110000001]; National Natural Science Foundation of China [42176240, 41671063, 41701071, 41671073]; CAS Pioneer Hundred Talents Program in China</t>
  </si>
  <si>
    <t>State Key Laboratory of Cryospheric Science Supporting Fund in China; Innovative Research Group project in China; National Natural Science Foundation of China(National Natural Science Foundation of China (NSFC)); CAS Pioneer Hundred Talents Program in China</t>
  </si>
  <si>
    <t>The authors would like to give our sincere thanks to all the members who participated in the 2015-2016 Chinese National Antarctic Research Expedition inland field campaigns and their help on the ice core sampling works. Special thanks should also be given to Ms. Xiaoxiang Wang, Yuman Zhu, Qiufang Bao, Rui Xu, Guobao Xu and Xiaoqing Cui from the Northwestern Institute of Eco-Environment and Resources, Chinese Academy of Sciences (CAS), who completed parts of the analyzing works. The supporting financial funds are the self-dependent project of the State Key Laboratory of Cryospheric Science Supporting Fund in China (No. SKLCS-ZZ-2022), the Innovative Research Group project in China (No. 1110000001), the National Natural Science Foundation of China (Nos. 42176240, 41671063, 41701071, and 41671073) and CAS Pioneer Hundred Talents Program in China (X. Wang).</t>
  </si>
  <si>
    <t>e2021GB007223</t>
  </si>
  <si>
    <t>10.1029/2021GB007223</t>
  </si>
  <si>
    <t>3U9UW</t>
  </si>
  <si>
    <t>WOS:000841310500001</t>
  </si>
  <si>
    <t>Chen, HQ; Hu, Q; Kong, LF; Rong, H; Bi, BL</t>
  </si>
  <si>
    <t>Chen, Huiqin; Hu, Qing; Kong, Lingfu; Rong, Hua; Bi, Baoliang</t>
  </si>
  <si>
    <t>Effects of Temperature on the Growth Performance, Biochemical Indexes and Growth and Development-Related Genes Expression of Juvenile Hybrid Sturgeon (Acipenser baerii♀ x Acipenser schrenckii♂)</t>
  </si>
  <si>
    <t>Acipenser baerii female x Acipenser schrenckii male; thermal comfort zone; physiological status; growth performance; immunological characteristics; molecular change</t>
  </si>
  <si>
    <t>OXIDATIVE STRESS; THYROID-HORMONES; SEASONAL-CHANGES; ANTARCTIC FISH; ATLANTIC COD; GRASS CARP; SEA-BASS; RESPONSES; RECEPTOR; SYSTEM</t>
  </si>
  <si>
    <t>In order to investigate the effects of temperature on the growth performance, biochemical indexes and genes expression in juvenile hybrid sturgeon (Acipenser baerii female x Acipenser schrenckii male), five temperature treatment groups (18 degrees C, 21 degrees C, 24 degrees C, 27 degrees C, 30 degrees C) were set in this study. After 25 days of domestication, the specific growth rate (SGR) and relative weight gain rate of juvenile sturgeon increased at first and then decreased with the increase in temperature in the range of 18-30 degrees C and reached the highest value at 21 degrees C. A quadratic equation was used to fit the regression equation of SGR and temperature (T). The result showed that the temperature of the maximum SGR is 23.45 degrees C. Moreover, the expression level of the growth hormone (gh) and the content of blood glucose (GLU) increased significantly at 21 degrees C, while the expression level of the growth hormone receptor (ghr) in the liver decreased significantly. When the temperature exceeded 27 degrees C, the thyroid hormone levels were significantly affected, and the levels of total antioxidants (T-AOC) and reduced glutathione (GSH) were significantly higher than those in the control group. In addition, with the increase in temperature, the expression levels of hsp70 and hsp90 in the liver increased significantly, while the expression level of the luteinizing hormone (lh) in the brain decreased significantly. To summarize, the effect of temperature on the growth and development of juvenile sturgeon mainly occurs through the effects of glucose metabolism, thyroid hormone level, total antioxidant capacity and growth-related genes. Therefore, in a temperature range between 21 and 24 degrees C, juvenile sturgeon can obtain the maximum growth rate and survival rate.</t>
  </si>
  <si>
    <t>[Chen, Huiqin; Hu, Qing; Kong, Lingfu; Rong, Hua; Bi, Baoliang] Yunnan Agr Univ, Plateau Aquacultural Coll, Fac Anim Sci &amp; Technol, Kunming 650201, Yunnan, Peoples R China; [Hu, Qing; Kong, Lingfu; Rong, Hua; Bi, Baoliang] Yunnan Agr Univ, Key Lab Plateau Fishery Resources Protect &amp; Susta, Kunming 650201, Yunnan, Peoples R China</t>
  </si>
  <si>
    <t>Yunnan Agricultural University; Yunnan Agricultural University</t>
  </si>
  <si>
    <t>Hu, Q; Bi, BL (corresponding author), Yunnan Agr Univ, Plateau Aquacultural Coll, Fac Anim Sci &amp; Technol, Kunming 650201, Yunnan, Peoples R China.;Hu, Q; Bi, BL (corresponding author), Yunnan Agr Univ, Key Lab Plateau Fishery Resources Protect &amp; Susta, Kunming 650201, Yunnan, Peoples R China.</t>
  </si>
  <si>
    <t>chenhq1213@126.com; huqinggw@ynau.edu.cn; konglfynau@163.com; 15hrong@stu.edu.cn; kjc1314168@163.com</t>
  </si>
  <si>
    <t>Zhuangping expert workstation of Yunnan Province [202005AF150042]; Scientific Research Foundation Project of Yunnan Provincial Department of Education [2022Y268]; National Natural Science Foundation of China [32060825, 31602141]</t>
  </si>
  <si>
    <t>Zhuangping expert workstation of Yunnan Province; Scientific Research Foundation Project of Yunnan Provincial Department of Education; National Natural Science Foundation of China(National Natural Science Foundation of China (NSFC))</t>
  </si>
  <si>
    <t>This work was supported by the Zhuangping expert workstation of Yunnan Province (grant number 202005AF150042), the Scientific Research Foundation Project of Yunnan Provincial Department of Education (grant number 2022Y268), and the National Natural Science Foundation of China (grant number 32060825, 31602141).</t>
  </si>
  <si>
    <t>10.3390/w14152368</t>
  </si>
  <si>
    <t>3R7KR</t>
  </si>
  <si>
    <t>WOS:000839087500001</t>
  </si>
  <si>
    <t>Fan, S; Wheeler, J; Prior, DJ; Negrini, M; Cross, AJ; Hager, TF; Goldsby, DL; Wallis, D</t>
  </si>
  <si>
    <t>Fan, Sheng; Wheeler, John; Prior, David J.; Negrini, Marianne; Cross, Andrew J.; Hager, Travis F.; Goldsby, David L.; Wallis, David</t>
  </si>
  <si>
    <t>Using Misorientation and Weighted Burgers Vector Statistics to Understand Intragranular Boundary Development and Grain Boundary Formation at High Temperatures</t>
  </si>
  <si>
    <t>high temperature deformation; misorientation; weighted Burgers vector; intragranular boundary; grain boundary; boundary geometry</t>
  </si>
  <si>
    <t>ELECTRON BACKSCATTER DIFFRACTION; DYNAMIC RECRYSTALLIZATION; DEFORMATION MECHANISMS; DISLOCATION DENSITIES; ICE; EBSD; EVOLUTION; STRAIN; CREEP; MICROSTRUCTURES</t>
  </si>
  <si>
    <t>During plastic deformation, strain weakening can be achieved, in part, via strain energy reduction associated with intragranular boundary development and grain boundary formation. Grain boundaries (in 2D) are segments between triple junctions, that connect to encircle grains; every boundary segment in the encircling loop has a high (&gt;10 degrees) misorientation angle. Intragranular boundaries terminate within grains or dissect grains, usually containing boundary segments with a low (&lt;10 degrees) misorientation angle. We analyze electron backscatter diffraction (EBSD) data from ice deformed at -30 degrees C (Th approximate to ${T}_{h}\approx $ 0.9). Misorientation and weighted Burgers vector (WBV) statistics are calculated along planar intragranular boundaries. Misorientation angles change markedly along each intragranular boundary, linking low- (&lt;10 degrees) and high-angle (10-38 degrees) segments that exhibit distinct misorientation axes and WBV directions. We suggest that these boundaries might be produced by the growth and intersection of individual intragranular boundary segments comprising dislocations with distinct slip systems. There is a fundamental difference between misorientation axis distributions of intragranular boundaries (misorientation axes mostly confined to ice basal plane) and grain boundaries (no preferred misorientation axis). These observations suggest during progressive subgrain rotation, intragranular boundaries remain crystallographically controlled up to large misorientation angles (&gt;&gt;10 degrees). In contrast, the apparent lack of crystallographic control for grain boundaries suggests misorientation axes become randomized, likely due to the activation of additional mechanisms (such as grain boundary sliding) after grain boundary formation, linking boundary segments to encircle a grain. Our findings on ice intragranular boundary development and grain boundary formation may apply more broadly to other rock-forming minerals (e.g., olivine, quartz).</t>
  </si>
  <si>
    <t>[Fan, Sheng; Prior, David J.; Negrini, Marianne] Univ Otago, Dept Geol, Dunedin, New Zealand; [Fan, Sheng; Wallis, David] Univ Cambridge, Dept Earth Sci, Cambridge, England; [Wheeler, John] Univ Liverpool, Dept Earth &amp; Ocean Sci, Liverpool, Merseyside, England; [Cross, Andrew J.] Woods Hole Oceanog Inst, Dept Geol &amp; Geophys, Woods Hole, MA 02543 USA; [Hager, Travis F.; Goldsby, David L.] Univ Penn, Dept Earth &amp; Environm Sci, Philadelphia, PA 19104 USA</t>
  </si>
  <si>
    <t>University of Otago; University of Cambridge; University of Liverpool; Woods Hole Oceanographic Institution; University of Pennsylvania</t>
  </si>
  <si>
    <t>Fan, S (corresponding author), Univ Otago, Dept Geol, Dunedin, New Zealand.;Fan, S (corresponding author), Univ Cambridge, Dept Earth Sci, Cambridge, England.</t>
  </si>
  <si>
    <t>sheng.fan@otago.ac.nz</t>
  </si>
  <si>
    <t>Wheeler, John/B-8946-2008; Wallis, David/L-9156-2013</t>
  </si>
  <si>
    <t>Wheeler, John/0000-0002-7576-4465; Wallis, David/0000-0001-9212-3734; Negrini, Marianne/0000-0001-8439-8439; Fan, Sheng/0000-0002-0404-1374; Prior, David/0000-0002-4653-2112</t>
  </si>
  <si>
    <t>NASA fund [NNX15AM69G]; Royal Society of New Zealand [UOO1116, UOO052]; University of Otago doctoral scholarship; Antarctica New Zealand; New Zealand Ministry of Business, Innovation and Employment through the Antarctic Science Platform [ANTA1801, ASP-023-03]; New Zealand Antarctic Research Institute (NZARI) Early Career Researcher Seed Grant [NZARI 2020-1-5]</t>
  </si>
  <si>
    <t>NASA fund; Royal Society of New Zealand(Royal Society of New Zealand); University of Otago doctoral scholarship; Antarctica New Zealand; New Zealand Ministry of Business, Innovation and Employment through the Antarctic Science Platform(New Zealand Ministry of Business, Innovation and Employment (MBIE)); New Zealand Antarctic Research Institute (NZARI) Early Career Researcher Seed Grant</t>
  </si>
  <si>
    <t>We are thankful to Pat Langhorne for providing the cold-room facility at University of Otago. This work was supported by a NASA fund (Grant No. NNX15AM69G) to David L. Goldsby and two Marsden Funds of the Royal Society of New Zealand (Grant Nos. UOO1116, UOO052) to David J. Prior. Sheng Fan was supported by the University of Otago doctoral scholarship, the Antarctica New Zealand doctoral scholarship, a research grant from New Zealand Ministry of Business, Innovation and Employment through the Antarctic Science Platform (ANTA1801) (Grant No. ASP-023-03), and a New Zealand Antarctic Research Institute (NZARI) Early Career Researcher Seed Grant (Grant No. NZARI 2020-1-5).</t>
  </si>
  <si>
    <t>e2022JB024497</t>
  </si>
  <si>
    <t>10.1029/2022JB024497</t>
  </si>
  <si>
    <t>3R6VR</t>
  </si>
  <si>
    <t>WOS:000839048200001</t>
  </si>
  <si>
    <t>Revill, AT; Saul, R; Brewer, EA; Nichols, PD</t>
  </si>
  <si>
    <t>Revill, Andrew T.; Saul, Richard; Brewer, Elizabeth A.; Nichols, Peter D.</t>
  </si>
  <si>
    <t>Using Compound-Specific Carbon Stable Isotope Analysis of Squalene to Establish Provenance and Ensure Sustainability for the Deep-Water Shark Liver Oil Industry</t>
  </si>
  <si>
    <t>SUSTAINABILITY</t>
  </si>
  <si>
    <t>dogfish; squalene; compound-specific stable isotope analysis (CSIA); isotopes; provenance</t>
  </si>
  <si>
    <t>OLIVE OIL; DELTA-C-13; AUTHENTICITY; RATIOS; PRAWNS; TRACE; FOOD; CO2</t>
  </si>
  <si>
    <t>Deep-water dogfish (sharks) are caught on Australia's continental shelf as by-products to other deep-water species with revenue derived from fillets for human consumption and from the livers which are sold for their oil content. Deep-water dogfish utilise a large oil-rich liver for buoyancy, which may account for 20-25% of their body weight. An important constituent of certain dogfish liver oil is squalene, a highly unsaturated triterpenoid (C30H50) hydrocarbon which in some species can be up to 90% of the oil, though in the Australian commercial species it is typically around 50%. Squalene (and deep-water dogfish liver oil in general) has a long-standing high value in products, such as cosmetics and nutraceuticals. Manufacturers are increasingly required to demonstrate the sustainability of products, and this is integral to the importance of demonstrating product provenance. Australia's mid-slope deep-water dogfish fishery is recognised globally as well managed and sustainable; therefore, it is important to be able to distinguish products derived from these regions from other unregulated, unsustainable and cheaper sources in order to protect Australia's competitive advantages and ensure sustainability. In this study, we have sourced deep-water dogfish liver oil samples originating from Southeast Australia, New Zealand, India, Northeast Africa and the Arabian Sea. The squalene was isolated by commercial or laboratory processing. A compound-specific carbon stable isotope analysis of the derived squalene was then used to determine isotopic resolution and assign the likely origins of a variety of commonly available off-the-shelf nutraceuticals in Australian outlets. Squalene sourced and produced from Southeast Australian and New Zealand dogfish liver oils showed delta C-13 values in the range of -22.1 to -24.2 parts per thousand, with all other squalene samples distinguishable at -19.9 to -20.7 parts per thousand. Many of the off-the-shelf squalene products claiming to be of Australian origin showed delta C-13 values very distinct from the range of the genuine Southeast Australian- and New Zealand-produced squalene.</t>
  </si>
  <si>
    <t>[Revill, Andrew T.; Brewer, Elizabeth A.; Nichols, Peter D.] CSIRO Oceans &amp; Atmosphere, GPO Box 1538, Hobart, Tas 7001, Australia; [Saul, Richard] Ocean Oils Pty Ltd, Laverton North, Vic 3026, Australia; [Nichols, Peter D.] Univ Tasmania, Inst Marine &amp; Antarctic Studies, 20 Castray Esplanade, Hobart, Tas 7000, Australia</t>
  </si>
  <si>
    <t>Revill, AT (corresponding author), CSIRO Oceans &amp; Atmosphere, GPO Box 1538, Hobart, Tas 7001, Australia.</t>
  </si>
  <si>
    <t>andy.revill@csiro.au; oceanoils@bigpond.com; elizabeth.brewer@csiro.au; peter.nichols@csiro.au</t>
  </si>
  <si>
    <t>Nichols, Peter D/C-5128-2011; Brewer, Elizabeth A./HGE-6812-2022; Revill, Andrew/B-8733-2011</t>
  </si>
  <si>
    <t>Revill, Andrew/0000-0003-2486-5976</t>
  </si>
  <si>
    <t>Ocean Oils Pty Ltd., Laverton North, Victoria, Australia</t>
  </si>
  <si>
    <t>Partial funding for the project was provided by Ocean Oils Pty Ltd., Laverton North, Victoria, Australia.</t>
  </si>
  <si>
    <t>2071-1050</t>
  </si>
  <si>
    <t>SUSTAINABILITY-BASEL</t>
  </si>
  <si>
    <t>Sustainability</t>
  </si>
  <si>
    <t>10.3390/su14159228</t>
  </si>
  <si>
    <t>3T3FN</t>
  </si>
  <si>
    <t>WOS:000840164700001</t>
  </si>
  <si>
    <t>Mandal, S; Pallamraju, D; Pant, TK</t>
  </si>
  <si>
    <t>Mandal, Subir; Pallamraju, Duggirala; Pant, Tarun Kumar</t>
  </si>
  <si>
    <t>Vertical Propagation Speeds of Gravity Waves in the Daytime as a Precursor to the Onset of the Equatorial Spread-F</t>
  </si>
  <si>
    <t>post-sunset ESF; daytime gravity waves; gravity wave seed perturbation; vertical propagation of gravity waves; energy transfer by gravity waves; vertical drift in the evening hours</t>
  </si>
  <si>
    <t>TO-DAY VARIABILITY; ELECTROJET STRENGTH; NONLINEAR EVOLUTION; SOLAR-CYCLE; MOUNT ABU; INITIATION; WINDS; ENHANCEMENT; GENERATION; DYNAMICS</t>
  </si>
  <si>
    <t>The equatorial spread-F (ESF) refers to the spread observed in return echoes of ionograms. Such spread in reflected echoes is found both in range and frequency, which can last for a few hours. These are due to large-scale plasma irregularities occurring in the ionospheric heights on some nights. Under seemingly identical background conditions, ESF might occur on one night but remain absent on the other. These plasma irregularities adversely affect the trans-ionospheric radio wave propagation but their occurrence on a given night continues to be one of the missing elements in our understanding of the equatorial ionospheric phenomena. In this work, the vertical propagation of gravity waves in daytime thermosphere has been shown to be a crucial parameter for the generation of ESF during post-sunset hours. Using electron density profiles obtained from digisonde at Trivandrum, a dip-equatorial location in India, we found that vertical propagation activity of gravity waves exists on 85% of the ESF days, whereas it is only 50% for the days without the occurrence of ESF during post-sunset hours. Further, vertical propagation speeds of these gravity waves are higher on the ESF days than on the non-ESF days. Also, ESF has been found to occur on 100% of the occasions, whenever the vertical speeds of these gravity waves are greater than 80 ms(-1). This threshold value of vertical propagation speeds of gravity waves can be used to predict the ESF occurrence around 12-14 LT on that day, which is much in advance of the occurrence of ESF.</t>
  </si>
  <si>
    <t>[Mandal, Subir; Pallamraju, Duggirala] Phys Res Lab, Ahmadabad, Gujarat, India; [Mandal, Subir] British Antarctic Survey, Cambridge, England; [Pant, Tarun Kumar] Space Phys Lab, Trivandrum, Kerala, India</t>
  </si>
  <si>
    <t>Department of Space (DoS), Government of India; Physical Research Laboratory - India; UK Research &amp; Innovation (UKRI); Natural Environment Research Council (NERC); NERC British Antarctic Survey</t>
  </si>
  <si>
    <t>Mandal, S (corresponding author), Phys Res Lab, Ahmadabad, Gujarat, India.;Mandal, S (corresponding author), British Antarctic Survey, Cambridge, England.</t>
  </si>
  <si>
    <t>tsubirmandal@gmail.com</t>
  </si>
  <si>
    <t>Mandal, Subir/0000-0002-8694-404X; Pant, Tarun Kumar/0000-0002-9497-8848; Pallamraju, Duggirala/0000-0002-5841-9360</t>
  </si>
  <si>
    <t>Council of Scientific and Industrial Research (CSIR), India; Department of Space, Government of India</t>
  </si>
  <si>
    <t>Council of Scientific and Industrial Research (CSIR), India(Council of Scientific &amp; Industrial Research (CSIR) - India); Department of Space, Government of India(Department of Space (DoS), Government of India)</t>
  </si>
  <si>
    <t>Some of the initial results of this work were presented at the Beacon Satellite Symposium 2019, held at Olsztyn, Poland. The author SM sincerely acknowledges the travel support received from the Council of Scientific and Industrial Research (CSIR), India, to attend the symposium. This work is supported by the Department of Space, Government of India.</t>
  </si>
  <si>
    <t>e2022JA030401</t>
  </si>
  <si>
    <t>10.1029/2022JA030401</t>
  </si>
  <si>
    <t>3Q4GV</t>
  </si>
  <si>
    <t>WOS:000838192400001</t>
  </si>
  <si>
    <t>Ouyang, JN; Fan, H; Wang, LY; Zhu, DY; Yang, M</t>
  </si>
  <si>
    <t>Ouyang, Jiani; Fan, Hong; Wang, Luyao; Zhu, Dongyu; Yang, Mei</t>
  </si>
  <si>
    <t>Revealing urban vibrancy stability based on human activity time-series</t>
  </si>
  <si>
    <t>SUSTAINABLE CITIES AND SOCIETY</t>
  </si>
  <si>
    <t>Urban vibrancy; Stability; Human activities; Social media; Point of interest</t>
  </si>
  <si>
    <t>ENVIRONMENT; VITALITY</t>
  </si>
  <si>
    <t>Stability is one dimension of urban vibrancy, capturing routine temporal variations in the use pattern of urban spaces. Understanding the spatiotemporal patterns and relationships between the factors influencing vibrancy stability is crucial for policy makers and urban planners. Previous studies have focused on the static indicators of vibrancy stability and ignored the temporal regularities in human activities and interactions. This study employed a dynamic time series baseline derived from global social media check-ins over 24 hours as a proxy for routine patterns in the study area, and propose a comprehensive framework to quantify urban vibrancy stability. Global and geographically weighted regressions were used to explore the relationship between vibrancy stability, the built environment, and population. The empirical study was conducted in Shenzhen, China. The results indicate that a significant positive correlation exists between stability and intensity of vibrancy; and that highstability areas are mainly distributed at the center of city or districts. Furthermore, educational and cultural facilities rather than population were the leading contributor to vibrancy stability in the west of Shenzhen; while dynamic influences of factors associated with vibrancy stability display varying patterns. This study supports efforts to optimize urban vibrancy stability and design urban space rationally.</t>
  </si>
  <si>
    <t>[Ouyang, Jiani; Fan, Hong; Yang, Mei] Wuhan Univ, State Key Lab Informat Engn Surveying Mapping &amp; Re, Wuhan 430079, Peoples R China; [Fan, Hong] Wuhan Univ, Collaborat Innovat Ctr Geospatial Technol, Wuhan 430079, Peoples R China; [Wang, Luyao] Natl Univ Def Technol, Coll Informat &amp; Commun, Wuhan 430010, Peoples R China; [Zhu, Dongyu] Wuhan Univ, Chinese Antarctic Ctr Surveying &amp; Mapping, Wuhan 430079, Peoples R China</t>
  </si>
  <si>
    <t>Wuhan University; Wuhan University; National University of Defense Technology - China; Wuhan University</t>
  </si>
  <si>
    <t>Fan, H (corresponding author), Wuhan Univ, State Key Lab Informat Engn Surveying Mapping &amp; Re, Wuhan 430079, Peoples R China.</t>
  </si>
  <si>
    <t>hfan3@whu.edu.cn</t>
  </si>
  <si>
    <t>ren, jing/JXN-8411-2024; Wang, Luyao/HKO-6458-2023; Wang, Luyao/JLL-2001-2023</t>
  </si>
  <si>
    <t>Ouyang, Jiani/0000-0002-8258-4147</t>
  </si>
  <si>
    <t>National Key Research and Development Program of China [2019YFB1405600]</t>
  </si>
  <si>
    <t>National Key Research and Development Program of China</t>
  </si>
  <si>
    <t>This research was supported by the National Key Research and Development Program of China (Grant No. 2019YFB1405600) .</t>
  </si>
  <si>
    <t>2210-6707</t>
  </si>
  <si>
    <t>2210-6715</t>
  </si>
  <si>
    <t>SUSTAIN CITIES SOC</t>
  </si>
  <si>
    <t>Sust. Cities Soc.</t>
  </si>
  <si>
    <t>10.1016/j.scs.2022.104053</t>
  </si>
  <si>
    <t>Construction &amp; Building Technology; Green &amp; Sustainable Science &amp; Technology; Energy &amp; Fuels</t>
  </si>
  <si>
    <t>Construction &amp; Building Technology; Science &amp; Technology - Other Topics; Energy &amp; Fuels</t>
  </si>
  <si>
    <t>3Q3TT</t>
  </si>
  <si>
    <t>WOS:000838158100003</t>
  </si>
  <si>
    <t>Jones, CA; Closset, I; Riesselman, CR; Kelly, RP; Brzezinski, MA; Robinson, RS</t>
  </si>
  <si>
    <t>Jones, C. A.; Closset, I; Riesselman, C. R.; Kelly, R. P.; Brzezinski, M. A.; Robinson, R. S.</t>
  </si>
  <si>
    <t>New Constraints on Assemblage-Driven Variation in the Relationship Amongst Diatom-Bound, Biomass, and Nitrate Nitrogen Isotope Values</t>
  </si>
  <si>
    <t>SOUTHERN-OCEAN; ATMOSPHERIC CO2; PACIFIC SECTOR; SILICA; IRON; DENITRIFICATION; FRACTIONATION; ASSIMILATION; POLYAMINES; N-15/N-14</t>
  </si>
  <si>
    <t>Tracking variations in the surface ocean supply and demand of nitrate, a key marine nutrient, can help constrain the contribution of biological production in driving past climate shifts. The nitrogen isotopic composition (as delta N-15) of organic matter in marine sediments is a proxy for surface ocean nitrate supply and demand over time, but it may be subject to alteration during sinking and burial. The isotopic composition of nitrogen occluded in the opal shells, or frustules, of diatoms (delta N-15(DB)) is protected and is, therefore, a potentially more robust tracer of nitrate use in the past. Here, we show that delta N-15(DB) in Southern Ocean growout cultures of natural communities does not depend on species composition. We found that the epsilon(DB) (= biomass delta N-15-delta N-15(DB)) of the community growouts was -4.8 +/- 0.8 parts per thousand, more than 10 parts per thousand different from previous monospecific growouts, but statistically indistinguishable from previous Southern Ocean and North Pacific surface ocean observations. The two community growouts, seeded with populations from similar to 66 degrees to similar to 61 degrees S, had distinct community compositions, but indistinguishable epsilon(DB), suggesting that species composition does not primarily set delta N-15(DB) values, at least in Antarctic and Polar Frontal Zones of the Southern Ocean. Our results demonstrate that under nitrate-replete conditions, delta N-15(DB) values of frustules sinking from the surface ocean robustly track surface ocean nitrate delta N-15 values, and therefore nitrate supply and demand.</t>
  </si>
  <si>
    <t>[Jones, C. A.; Kelly, R. P.; Robinson, R. S.] Univ Rhode Isl, Grad Sch Oceanog, Narragansett, RI 02882 USA; [Closset, I; Brzezinski, M. A.] Univ Calif Santa Barbara, Marine Sci Inst, Santa Barbara, CA 93106 USA; [Riesselman, C. R.] Univ Otago, Dept Geol, Dunedin, New Zealand; [Riesselman, C. R.] Univ Otago, Dept Marine Sci, Dunedin, New Zealand</t>
  </si>
  <si>
    <t>University of Rhode Island; University of California System; University of California Santa Barbara; University of Otago; University of Otago</t>
  </si>
  <si>
    <t>Robinson, RS (corresponding author), Univ Rhode Isl, Grad Sch Oceanog, Narragansett, RI 02882 USA.</t>
  </si>
  <si>
    <t>rebecca_r@uri.edu</t>
  </si>
  <si>
    <t>Kelly, Roger P/E-9396-2010; Riesselman, Christina R/H-5037-2012</t>
  </si>
  <si>
    <t>Robinson, Rebecca/0000-0002-8072-1603; Jones, Colin/0000-0002-2612-2837; Closset, Ivia/0000-0002-6286-3296; Riesselman, Christina/0000-0002-2436-4306</t>
  </si>
  <si>
    <t>NSF [PLR 1341464]; New Zealand Ministry of Business, Innovation and Employment Antarctic Science Platform [ANTA1801]; New Zealand Ministry of Business, Innovation &amp; Employment (MBIE) [ANTA1801] Funding Source: New Zealand Ministry of Business, Innovation &amp; Employment (MBIE)</t>
  </si>
  <si>
    <t>NSF(National Science Foundation (NSF)); New Zealand Ministry of Business, Innovation and Employment Antarctic Science Platform(New Zealand Ministry of Business, Innovation and Employment (MBIE)); New Zealand Ministry of Business, Innovation &amp; Employment (MBIE)(New Zealand Ministry of Business, Innovation and Employment (MBIE))</t>
  </si>
  <si>
    <t>This work was supported by NSF PLR 1341464 to R. S. R. and M. A. B., with additional support to C. R. R. from the New Zealand Ministry of Business, Innovation and Employment Antarctic Science Platform (ANTA1801). Special thanks to the N. B. Palmer captain and crew and the USAP scientific support staff on NBP1702 as well as the shipboard scientific party. Thanks to D. Mackie at the University of Otago Portobello Marine Lab for hosting C. A. J. for postcruise research, and to M. Bollen for assistance with diatom counts. Thanks to I. Dove for conversations around the data and diatom identification and R. Stevick and J. Langan for assistance with statistical analyses.</t>
  </si>
  <si>
    <t>e2022PA004428</t>
  </si>
  <si>
    <t>10.1029/2022PA004428</t>
  </si>
  <si>
    <t>3O7ZP</t>
  </si>
  <si>
    <t>WOS:000837053900001</t>
  </si>
  <si>
    <t>Prebble, JG; Dunbar, G; van den Bos, V; Li, X; Vandergoes, M; Richardson, S; Horgan, H; Holt, KA; Howarth, J; Levy, R</t>
  </si>
  <si>
    <t>Prebble, Joseph G.; Dunbar, Gavin; van den Bos, Valerie; Li, Xun; Vandergoes, Marcus; Richardson, Sarah; Horgan, Huw; Holt, Katherine A.; Howarth, Jamie; Levy, Richard</t>
  </si>
  <si>
    <t>Toward a novel multi-century archive of tree mast using pollen from lake sediments</t>
  </si>
  <si>
    <t>HOLOCENE</t>
  </si>
  <si>
    <t>lake sediments; masting; New Zealand; Nothofagaceae; seedfall; varves</t>
  </si>
  <si>
    <t>FAGUS-SYLVATICA L.; SCALE TEMPERATURE VARIABILITY; NEW-ZEALAND; EUROPEAN BEECH; HOUSE MICE; ORONGORONGO VALLEY; SOUTH ISLAND; MUS-MUSCULUS; NOTHOFAGUS; RESPONSES</t>
  </si>
  <si>
    <t>Mast seeding - the pronounced inter-annual variability and synchrony in seed production - can have profound local ecological impacts. We explore the potential for generating long (centuries to millennia) proxy records of tree mast seeding, from pollen deposited in lake sediments. This proxy record uses pollen recovered from annually-banded (varved) sediments from a core collected from Lake Ohau, South Island, New Zealand to reconstruct masting events for two genera of Southern Beech, Fuscospora spp. and Lophozonia spp. We find average mast frequencies inferred from Fuscospora pollen from a 43-year sediment core collected from Lake Ohau comparable to seed fall expected for the catchment using a differential-temperature (Delta T) statistical model for the period 1974-2016. In contrast, Lophozonia pollen mast frequency in the 1974-2016 timeseries was consistently lower than that predicted by the Delta T model, although the patterns of variability were broadly similar. We explore this approach in a second 32-year pollen timeseries from Lake Ohau, spanning the pre-instrumental period 1833-1864. During this interval, average air temperature was similar to 1 degrees C cooler than the late 20th century, and interannual variability of air temperature was subdued, such that mast frequency predicted by the Delta T model is the lowest in 200 years. We find mast frequency in our pollen records reflects this pattern for Fuscospora, with a minima of mast frequency from 1850, compared to the 1974-2016 record, but not for Lophozonia. This paper demonstrates that a centuries-long pollen record from the Lake Ohau sedimentary sequence has the potential to form a valuable proxy for Fuscospora masting that would supplement existing seedfall records. Long records of this type could significantly enhance our understanding of the environmental drivers of mast seeding.</t>
  </si>
  <si>
    <t>[Prebble, Joseph G.; van den Bos, Valerie; Li, Xun; Vandergoes, Marcus; Levy, Richard] GNS Sci, POB 30386, Lower Hutt 5010, New Zealand; [Dunbar, Gavin; van den Bos, Valerie; Horgan, Huw] Victoria Univ Wellington, Antarctic Res Ctr, Wellington, New Zealand; [Richardson, Sarah] Manaaki Whenua Landcare Res, Lincoln, New Zealand; [Holt, Katherine A.] Massey Univ, Sch Agr &amp; Environm, Palmerston North, New Zealand; [Howarth, Jamie] Victoria Univ Wellington, Sch Earth &amp; Environm Sci, Wellington, New Zealand</t>
  </si>
  <si>
    <t>GNS Science - New Zealand; Victoria University Wellington; Landcare Research - New Zealand; Massey University; Victoria University Wellington</t>
  </si>
  <si>
    <t>Prebble, JG (corresponding author), GNS Sci, POB 30386, Lower Hutt 5010, New Zealand.</t>
  </si>
  <si>
    <t>j.prebble@gns.cri.nz</t>
  </si>
  <si>
    <t>Howarth, Jamie/0000-0003-4365-0292; Horgan, Huw/0000-0002-4836-0078</t>
  </si>
  <si>
    <t>Global Change Through Time Programme via the New Zealand Strategic Science Investment Fund (SSIF); SSIF</t>
  </si>
  <si>
    <t>The author(s) disclosed receipt of the following financial support for the research, authorship and/or publication of this article: GNS Science contribution to this project was supported by the Global Change Through Time Programme via the New Zealand Strategic Science Investment Fund (SSIF). SJR was supported by SSIF provided to Manaaki Whenua-Landcare Research.</t>
  </si>
  <si>
    <t>SAGE PUBLICATIONS LTD</t>
  </si>
  <si>
    <t>1 OLIVERS YARD, 55 CITY ROAD, LONDON EC1Y 1SP, ENGLAND</t>
  </si>
  <si>
    <t>0959-6836</t>
  </si>
  <si>
    <t>1477-0911</t>
  </si>
  <si>
    <t>Holocene</t>
  </si>
  <si>
    <t>10.1177/09596836221114292</t>
  </si>
  <si>
    <t>4U8UL</t>
  </si>
  <si>
    <t>WOS:000835458900001</t>
  </si>
  <si>
    <t>Zhang, AL; Hou, YH; Wang, QF; Wang, YT</t>
  </si>
  <si>
    <t>Zhang, Ailin; Hou, Yanhua; Wang, Quanfu; Wang, Yatong</t>
  </si>
  <si>
    <t>Characteristics and polyethylene biodegradation function of a novel cold-adapted bacterial laccase from Antarctic sea ice psychrophile Psychrobacter sp. NJ228</t>
  </si>
  <si>
    <t>Antarctic sea ice bacterium; Laccases; Cold adaptation; Polyethylene plastics; Degradation</t>
  </si>
  <si>
    <t>LOW-DENSITY POLYETHYLENE; MULTICOPPER OXIDASE; BIOFILM FORMATION; DEGRADATION; ADAPTATION; CRYSTALLINITY; MICROPLASTICS; COLONIZATION; PURIFICATION; EXPRESSION</t>
  </si>
  <si>
    <t>Biotreatment of polyethylene (PE) waste is an emerging topic in environmental remediation; in particular, the degrading enzymes requires further exploration. This study described a novel cold-adapted laccase (PsLAC) from an Antarctic psychrophile and characterized its PE-degradation ability. Homology modeling revealed that PsLAC possessed a typical bacterial laccase catalytic structure and unique cold adaptation structural characteristics such as few hydrogen bonds. Recombinant PsLAC (rPsLAC) retained 54.3% residual activity at 0 celcius and presented increased Km values at low temperatures and a relatively high kcat value (42.65 s-1). Collectively, these factors help resist cold stress. rPsLAC possessed substantial salt tolerance at 1.5 M NaCl, with 119.80% activity, and Cu2+ enhanced its activity to 127.10%. PE-degradation experiments indicated that 13.2% weight was lost, and the water contact angle was decreased to 74.6. Polar functional groups such as carbonyl and carboxyl groups on PE surface were detected in Fourier transform infrared spectroscopy; X-ray diffraction exhibited that crystallinity reduced by 25%. Enormous damage to PE surface and interior was observed via scanning electron microscopy. Overall, PsLAC, with its unique cold-adapted catalytic structure and biochemical characteristics, could supplement the diversity of sources and properties of bacterial laccases and ensure PE-degradation with a novel cold-adapted enzyme resource.</t>
  </si>
  <si>
    <t>[Zhang, Ailin; Wang, Quanfu; Wang, Yatong] Harbin Inst Technol, Sch Environm, Harbin 150090, Peoples R China; [Hou, Yanhua; Wang, Quanfu] Harbin Inst Technol, Sch Marine Sci &amp; Technol, Weihai 264209, Peoples R China</t>
  </si>
  <si>
    <t>Harbin Institute of Technology; Harbin Institute of Technology</t>
  </si>
  <si>
    <t>Wang, QF (corresponding author), Harbin Inst Technol, Sch Environm, Harbin 150090, Peoples R China.;Hou, YH; Wang, QF (corresponding author), Harbin Inst Technol, Sch Marine Sci &amp; Technol, Weihai 264209, Peoples R China.</t>
  </si>
  <si>
    <t>houyanhuahit@hit.edu.cn; wangquanfuhit@hit.edu.cn</t>
  </si>
  <si>
    <t>wang, yatong/KDN-3824-2024</t>
  </si>
  <si>
    <t>National Natural Science Foundation of China, China [41876149]; Natural Science Foundation of Shandong Province, China [ZR2019MD018, ZR2021MD040]; School-local Cooperation Talent Funding Program of Weihai, China</t>
  </si>
  <si>
    <t>National Natural Science Foundation of China, China(National Natural Science Foundation of China (NSFC)); Natural Science Foundation of Shandong Province, China(Natural Science Foundation of Shandong Province); School-local Cooperation Talent Funding Program of Weihai, China</t>
  </si>
  <si>
    <t>Acknowledgments This work was funded by the National Natural Science Foundation of China, China (41876149) ; the Natural Science Foundation of Shandong Province, China (ZR2019MD018 and ZR2021MD040) ; and the School-local Cooperation Talent Funding Program of Weihai, China.</t>
  </si>
  <si>
    <t>OCT 5</t>
  </si>
  <si>
    <t>10.1016/j.jhazmat.2022.129656</t>
  </si>
  <si>
    <t>3M7WM</t>
  </si>
  <si>
    <t>WOS:000835668000001</t>
  </si>
  <si>
    <t>Mariscal, CJL; Classen, L; Elorrieta, MAU; Kappes, A</t>
  </si>
  <si>
    <t>Lozano Mariscal, C. J.; Classen, L.; Unland Elorrieta, M. A.; Kappes, A.</t>
  </si>
  <si>
    <t>Sensitivity of multi-PMT optical modules in Antarctic ice to supernova neutrinos of MeV energy (vol 81, 1058, 2021)</t>
  </si>
  <si>
    <t>EUROPEAN PHYSICAL JOURNAL C</t>
  </si>
  <si>
    <t>[Lozano Mariscal, C. J.; Classen, L.; Unland Elorrieta, M. A.; Kappes, A.] Westfal Wilhelms Univ Munster, Inst Kernphys, Wilhelm Klemm Str 9, D-48149 Munster, Germany</t>
  </si>
  <si>
    <t>University of Munster</t>
  </si>
  <si>
    <t>Mariscal, CJL (corresponding author), Westfal Wilhelms Univ Munster, Inst Kernphys, Wilhelm Klemm Str 9, D-48149 Munster, Germany.</t>
  </si>
  <si>
    <t>c.lozano@wwu.de</t>
  </si>
  <si>
    <t>1434-6044</t>
  </si>
  <si>
    <t>1434-6052</t>
  </si>
  <si>
    <t>EUR PHYS J C</t>
  </si>
  <si>
    <t>Eur. Phys. J. C</t>
  </si>
  <si>
    <t>10.1140/epjc/s10052-022-10602-8</t>
  </si>
  <si>
    <t>Physics, Particles &amp; Fields</t>
  </si>
  <si>
    <t>3L5NR</t>
  </si>
  <si>
    <t>WOS:000834808700001</t>
  </si>
  <si>
    <t>Reisinger, RR; Brooks, CM; Raymond, B; Freer, JJ; Cotté, C; Xavier, JC; Trathan, PN; Bornemann, H; Charrassin, JB; Costa, DP; Danis, B; Hückstädt, L; Jonsen, ID; Lea, MA; Torres, L; Van de Putte, A; Wotherspoon, S; Friedlaender, AS; Ropert-Coudert, Y; Hindell, M</t>
  </si>
  <si>
    <t>Reisinger, Ryan R.; Brooks, Cassandra M.; Raymond, Ben; Freer, Jennifer J.; Cotte, Cedric; Xavier, Jose C.; Trathan, Philip N.; Bornemann, Horst; Charrassin, Jean-Benoit; Costa, Daniel P.; Danis, Bruno; Huckstadt, Luis; Jonsen, Ian D.; Lea, Mary-Anne; Torres, Leigh; Van de Putte, Anton; Wotherspoon, Simon; Friedlaender, Ari S.; Ropert-Coudert, Yan; Hindell, Mark</t>
  </si>
  <si>
    <t>Predator-derived bioregions in the Southern Ocean: Characteristics, drivers and representation in marine protected areas</t>
  </si>
  <si>
    <t>Biogeography; Conservation; Management; MPA; Antarctica; Subantarctic</t>
  </si>
  <si>
    <t>CONSERVATION; MANAGEMENT; BIOGEOGRAPHY; PRIORITIES; ISLAND; MPAS</t>
  </si>
  <si>
    <t>Multiple initiatives have called for large-scale representative networks of marine protected areas (MPAs). MPAs should be ecologically representative to be effective, but in large, remote regions this can be difficult to quantify and assess. We present a novel bioregionalization for the Southern Ocean, which uses the modelled circumpolar habitat importance of 17 marine bird and mammal species. The habitat-use of these predators indicates biodi-versity patterns that require representation in Southern Ocean conservation and management planning. In the predator habitat importance predictions, we identified 17 statistical clusters, falling into four larger groups. We characterized and contrasted these clusters based on their predator, prey and oceanographic characteristics. Under the existing Southern Ocean MPA network, some clusters fall short of 10 % representation, yet others meet or exceed these targets. Implementation of currently proposed MPAs can in some cases contribute to meeting even 30 % spatial coverage conservation targets. However, the effectiveness of mixed-use versus no-take MPAs should be taken into consideration, since some clusters are not adequately represented by no-take MPAs. These results, combined with previous studies in the Southern Ocean, can help inform the continued design, imple-mentation, and evaluation of a representative system of MPAs for Southern Ocean conservation and management.</t>
  </si>
  <si>
    <t>[Reisinger, Ryan R.; Trathan, Philip N.] Univ Southampton, Natl Oceanog Ctr Southampton, Sch Ocean &amp; Earth Sci, European Way, Southampton SO14 3ZH, Hants, England; [Brooks, Cassandra M.] Univ Colorado, Dept Environm Studies, Boulder, CO 80309 USA; [Raymond, Ben; Wotherspoon, Simon] Dept Agr Water &amp; Environm, Australian Antarctic Div, 203 Channel Hwy, Kingston, Tas 7050, Australia; [Raymond, Ben; Lea, Mary-Anne; Wotherspoon, Simon; Hindell, Mark] Univ Tasmania, Inst Marine &amp; Antarctic Studies, Hobart, Tas, Australia; [Freer, Jennifer J.; Xavier, Jose C.; Trathan, Philip N.] British Antarctic Survey, Madingley Rd, Cambridge CB3 0ET, England; [Cotte, Cedric; Charrassin, Jean-Benoit] Sorbonne Univ, UPMC Univ, LOCEAN IPSL, UMR CNRS IRD MNHN 7159,Paris 06, F-75005 Paris, France; [Xavier, Jose C.] Univ Coimbra, Marine &amp; Environm Sci Ctr, Dept Life Sci, P-3000456 Coimbra, Portugal; [Bornemann, Horst] Helmholtz Zentrum Polar &amp; Meeresforsch, Alfred Wegener Inst, Bremerhaven, Germany; [Costa, Daniel P.] Univ Calif Santa Cruz, Inst Marine Sci, Dept Ecol &amp; Evolutionary Biol, Santa Cruz, CA 95064 USA; [Danis, Bruno; Van de Putte, Anton] Univ Libre Bruxelles, Marine Biol Lab, B-1050 Brussels, Belgium; [Huckstadt, Luis] Univ Exeter, Ctr Ecol &amp; Conservat, Penryn, Cornwall, England; [Jonsen, Ian D.] Macquarie Univ, Sch Nat Sci, Sydney, NSW, Australia; [Torres, Leigh] Oregon State Univ, Marine Mammal Inst, Dept Fisheries &amp; Wildlife, Newport, OR USA; [Van de Putte, Anton] Royal Belgian Inst Nat Sci, B-1000 Brussels, Belgium; [Van de Putte, Anton] Katholieke Univ Leuven, Lab Biodivers &amp; Evolutionary Genom, Leuven, Belgium; [Friedlaender, Ari S.] Univ Calif Santa Cruz, Inst Marine Sci, Santa Cruz, CA 95064 USA; [Ropert-Coudert, Yan] La Rochelle Univ, Ctr Etud Biol Chize, UMR 7372, CNRS, Villiers En Bois, France</t>
  </si>
  <si>
    <t>University of Southampton; NERC National Oceanography Centre; University of Colorado System; University of Colorado Boulder; Australian Antarctic Division; University of Tasmania; UK Research &amp; Innovation (UKRI); Natural Environment Research Council (NERC); NERC British Antarctic Survey; Sorbonne Universite; Museum National d'Histoire Naturelle (MNHN); Universidade de Coimbra; Helmholtz Association; Alfred Wegener Institute, Helmholtz Centre for Polar &amp; Marine Research; University of California System; University of California Santa Cruz; Universite Libre de Bruxelles; University of Exeter; Macquarie University; Oregon State University; Royal Belgian Institute of Natural Sciences; KU Leuven; University of California System; University of California Santa Cruz; Centre National de la Recherche Scientifique (CNRS); CNRS - Institute of Ecology &amp; Environment (INEE)</t>
  </si>
  <si>
    <t>Reisinger, RR (corresponding author), Univ Southampton, Natl Oceanog Ctr Southampton, Ocean &amp; Earth Sci, European Way, Southampton SO14 3ZH, Hants, England.</t>
  </si>
  <si>
    <t>r.r.reisinger@southampton.ac.uk</t>
  </si>
  <si>
    <t>Xavier, José/KFB-6739-2024; Cotte, Cedric/C-3296-2013; Hindell, Mark A/K-1131-2013; Huckstadt, Luis/JNR-7637-2023; Lea, Mary-Anne/E-9054-2013; Huckstadt, Luis/A-5838-2018; Reisinger, Ryan/D-6151-2014</t>
  </si>
  <si>
    <t>Cotte, Cedric/0000-0002-8307-6435; Lea, Mary-Anne/0000-0001-8318-9299; /0000-0002-9621-6660; Van de Putte, Anton/0000-0003-1336-5554; Huckstadt, Luis/0000-0002-2453-7350; Reisinger, Ryan/0000-0002-8933-6875; Freer, Jennifer/0000-0002-3947-9261; Jonsen, Ian/0000-0001-5423-6076</t>
  </si>
  <si>
    <t>French Foundation for Research on Biodiversity (FRB)</t>
  </si>
  <si>
    <t>Funding was provided by the French Foundation for Research on Biodiversity (FRB; www.fondationbiodiversite.fr) in the context of the CESAB project RAATD and by WWF. The funders had no role in study design, data collection and analysis, decision to publish, or preparation of the manuscript.</t>
  </si>
  <si>
    <t>10.1016/j.biocon.2022.109630</t>
  </si>
  <si>
    <t>2U3VY</t>
  </si>
  <si>
    <t>Green Accepted, Green Published, hybrid</t>
  </si>
  <si>
    <t>WOS:000823090300008</t>
  </si>
  <si>
    <t>Moras, CA; Bach, LT; Cyronak, T; Joannes-Boyau, R; Schulz, KG</t>
  </si>
  <si>
    <t>Moras, Charly A.; Bach, Lennart T.; Cyronak, Tyler; Joannes-Boyau, Renaud; Schulz, Kai G.</t>
  </si>
  <si>
    <t>Ocean alkalinity enhancement - avoiding runaway CaCO3 precipitation during quick and hydrated lime dissolution</t>
  </si>
  <si>
    <t>CALCIUM-CARBONATE; ARAGONITE PRECIPITATION; CO2 SEQUESTRATION; ATMOSPHERIC CO2; CORAL-REEFS; SEAWATER; CLIMATE; ACIDIFICATION; DIOXIDE; GROWTH</t>
  </si>
  <si>
    <t>Ocean alkalinity enhancement (OAE) is a method that can remove carbon dioxide (CO2) from the atmosphere and counteract ocean acidification through the dissolution of alkaline minerals. Currently, critical knowledge gaps exist regarding the dissolution of different minerals suitable for OAE in natural seawater. Of particular importance is to understand how much alkaline mineral can be dissolved before secondary precipitation of calcium carbonate (CaCO3) occurs, since secondary CaCO3 precipitation reduces the atmospheric CO2 uptake potential of OAE. Using two types of mineral proposed for OAE, quick lime (CaO) and hydrated lime (Ca(OH)(2)), we show that both (&lt;63 mu m of diameter) dissolved in seawater within a few hours. No CaCO3 precipitation occurred at a saturation state (Omega(A)) of similar to 5, but CaCO3 precipitation in the form of aragonite occurred above an Omega(A) value of 7. This limit is lower than expected for typical pseudo-homogeneous precipitation, i.e. in the presence of colloids and organic matter. Secondary precipitation at low Omega(A) ( similar to 7) was the result of heterogeneous precipitation onto mineral surfaces, most likely onto the added CaO and Ca(OH)(2) particles. Most importantly, runaway CaCO3 precipitation was observed, a condition where significantly more total alkalinity (TA) was removed than initially added. Such runaway precipitation could reduce the OAE CO2 uptake efficiency from similar to 0.8 mol of CO2 per mole of added TA down to 0.1 mol of CO2 per mole of TA. Runaway precipitation appears to be avoidable by dilution below the critical Omega(A) threshold of 5, ideally within hours of the mineral additions to minimise initial CaCO3 precipitation. Finally, OAE simulations suggest that for the same Omega(A) threshold, the amount of TA that can be added to seawater would be more than 3 times higher at 5 degrees C than at 30 degrees C. The maximum TA addition could also be increased by equilibrating the seawater to atmospheric CO2 levels (i.e. to a pCO(2) of similar to 416 mu atm) during addition. This would allow for more TA to be added in seawater without inducing CaCO3 precipitation, using OAE at its CO2 removal potential.</t>
  </si>
  <si>
    <t>[Moras, Charly A.; Joannes-Boyau, Renaud; Schulz, Kai G.] Southern Cross Univ, Fac Sci &amp; Engn, Lismore, NSW, Australia; [Bach, Lennart T.] Univ Tasmania, Inst Marine &amp; Antarctic Studies, Ecol &amp; Biodivers, Hobart, Tas, Australia; [Cyronak, Tyler] Nova Southeastern Univ, Dept Marine &amp; Environm Sci, Ft Lauderdale, FL 33314 USA</t>
  </si>
  <si>
    <t>Southern Cross University; University of Tasmania; Nova Southeastern University</t>
  </si>
  <si>
    <t>Moras, CA (corresponding author), Southern Cross Univ, Fac Sci &amp; Engn, Lismore, NSW, Australia.</t>
  </si>
  <si>
    <t>c.moras.10@student.scu.edu.au</t>
  </si>
  <si>
    <t>; Schulz, Kai/Q-5608-2017; Joannes-Boyau, Renaud/D-6058-2012</t>
  </si>
  <si>
    <t>Moras, Charly Andre/0000-0001-6819-6167; Bach, Lennart/0000-0003-0202-3671; Cyronak, Tyler/0000-0003-3556-7616; Schulz, Kai/0000-0002-8481-4639; Joannes-Boyau, Renaud/0000-0002-0452-486X</t>
  </si>
  <si>
    <t>Cat. 5-SCU Grad School scholarship from the Southern Cross University, Lismore, Australia; Australian Research Council [LE200100022, LE120100201]; Australian Research Council [LE200100022, LE120100201] Funding Source: Australian Research Council</t>
  </si>
  <si>
    <t>Cat. 5-SCU Grad School scholarship from the Southern Cross University, Lismore, Australia; Australian Research Council(Australian Research Council); Australian Research Council(Australian Research Council)</t>
  </si>
  <si>
    <t>This research is part of the PhD project of Charly A. Moras that is funded by a Cat. 5-SCU Grad School scholarship from the Southern Cross University, Lismore, Australia. The ICP-MS analyses were made possible by Australian Research Council grants to Renaud Joannes-Boyau and Kai G. Schulz (grant no. LE200100022) and to Renaud Joannes-Boyau (grant no. LE120100201).</t>
  </si>
  <si>
    <t>10.5194/bg-19-3537-2022</t>
  </si>
  <si>
    <t>3K7MN</t>
  </si>
  <si>
    <t>WOS:000834259400001</t>
  </si>
  <si>
    <t>Ebanks, B; Katyal, G; Lucassen, M; Papetti, C; Chakrabarti, L</t>
  </si>
  <si>
    <t>Ebanks, Brad; Katyal, Gunjan; Lucassen, Magnus; Papetti, Chiara; Chakrabarti, Lisa</t>
  </si>
  <si>
    <t>Proteomic analysis of the ATP synthase interactome in notothenioids highlights a pathway that inhibits ceruloplasmin production</t>
  </si>
  <si>
    <t>AMERICAN JOURNAL OF PHYSIOLOGY-REGULATORY, INTEGRATIVE AND COMPARATIVE PHYSIOLOGY</t>
  </si>
  <si>
    <t>ATP synthase; ceruloplasmin; mitochondria; notothenioid; proteomics</t>
  </si>
  <si>
    <t>PROTEIN-PROTEIN INTERACTIONS; OXIDATIVE STRESS; RESPIRATORY-CHAIN; MITOCHONDRIA; HEMOGLOBIN; EXPRESSION; MYOGLOBIN; MASS; MECHANISM; TRANSPORT</t>
  </si>
  <si>
    <t>Antarctic notothenioids have unique adaptations that allow them to thrive in subzero Antarctic waters. Within the suborder Notothenioidei, species of the family Channichthyidae (icefish) lack hemoglobin and in some instances myoglobin too. In studies of mitochondrial function of notothenioids, few have focused specifically on ATP synthase. In this study, we find that the icefish Champsocephalus gunnari has a significantly higher level of ATP synthase subunit alpha expression than the red-blooded Notothenia rossii, but a much smaller interactome than the other species. We characterize the interactome of ATP synthase subunit a in two red-blooded species Trematomus bernacchii, N. rossii, and in the icefish Chionodraco rastrospinosus and C. gunnari and find that, in comparison with the other species, reactome enrichment for C. gunnari lacks chaperonin-mediated protein folding, and fewer oxidative-stress-associated proteins are present in the identified interactome of C. gunnari. Reactome enrichment analysis also identifies a transcript-specific translational silencing pathway for the iron oxidase protein ceruloplasmin, which has previously been reported in studies of icefish as distinct from other red-blooded fish and vertebrates in its activity and RNA transcript expression. Ceruloplasmin protein expression is detected by Western blot in the liver of T. bernacchii, but not in N. rossii, C. rastrospinosus, and C. gunnari. We suggest that the translation of ceruloplasmin transcripts is silenced by the identified pathway in icefish notothenioids, which is indicative of altered iron metabolism and Fe(II) detoxification.</t>
  </si>
  <si>
    <t>[Ebanks, Brad; Katyal, Gunjan; Chakrabarti, Lisa] Univ Nottingham, Sch Vet Med &amp; Sci, Nottingham, England; [Lucassen, Magnus] Alfred Wegener Inst, Bremerhaven, Germany; [Papetti, Chiara] Univ Padua, Biol Dept, Padua, Italy; [Chakrabarti, Lisa] MRC Versus Arthrit Ctr Musculoskeletal Ageing Res, Nottingham, England</t>
  </si>
  <si>
    <t>University of Nottingham; Helmholtz Association; Alfred Wegener Institute, Helmholtz Centre for Polar &amp; Marine Research; University of Padua</t>
  </si>
  <si>
    <t>Ebanks, B (corresponding author), Univ Nottingham, Sch Vet Med &amp; Sci, Nottingham, England.</t>
  </si>
  <si>
    <t>mbybdpo@nottingham.ac.uk</t>
  </si>
  <si>
    <t>Ebanks, Brad/0000-0002-0067-430X; Papetti, Chiara/0000-0002-4567-459X; Chakrabarti, Lisa/0000-0001-7213-6837</t>
  </si>
  <si>
    <t>Biotechnology and Biological Sciences Research Council [BB/J014508/1]; University of Nottingham Vice-Chancellors International Scholarship award</t>
  </si>
  <si>
    <t>Biotechnology and Biological Sciences Research Council(UK Research &amp; Innovation (UKRI)Biotechnology and Biological Sciences Research Council (BBSRC)); University of Nottingham Vice-Chancellors International Scholarship award</t>
  </si>
  <si>
    <t>B. E. is supported by the Biotechnology and Biological Sciences Research Council (grant number BB/J014508/1). G.K. is supported by a University of Nottingham Vice-Chancellors International Scholarship award.</t>
  </si>
  <si>
    <t>AMER PHYSIOLOGICAL SOC</t>
  </si>
  <si>
    <t>Rockville</t>
  </si>
  <si>
    <t>6120 Executive Blvd, Suite 600, Rockville, MD, UNITED STATES</t>
  </si>
  <si>
    <t>0363-6119</t>
  </si>
  <si>
    <t>1522-1490</t>
  </si>
  <si>
    <t>AM J PHYSIOL-REG I</t>
  </si>
  <si>
    <t>Am. J. Physiol.-Regul. Integr. Comp. Physiol.</t>
  </si>
  <si>
    <t>R181</t>
  </si>
  <si>
    <t>R192</t>
  </si>
  <si>
    <t>10.1152/ajpregu.00069.2022</t>
  </si>
  <si>
    <t>Physiology</t>
  </si>
  <si>
    <t>5B3ZW</t>
  </si>
  <si>
    <t>WOS:000863511800003</t>
  </si>
  <si>
    <t>Seo, J; Choi, W</t>
  </si>
  <si>
    <t>Seo, Jihoon; Choi, Wookap</t>
  </si>
  <si>
    <t>Stratospheric Polar Vortex Revisited: New Diagnostic for the Vortex Breakup</t>
  </si>
  <si>
    <t>JOURNAL OF THE METEOROLOGICAL SOCIETY OF JAPAN</t>
  </si>
  <si>
    <t>polar vortex; vortex breakup; vortex formation; stratospheric final warming; potential vorticity</t>
  </si>
  <si>
    <t>OZONE; TRANSPORT; SPECTROMETER; VORTICES</t>
  </si>
  <si>
    <t>The stratospheric polar vortex and its breakup are important dynamical phenomena. In previous studies, three diagnostics for vortex breakup have been suggested using the potential vorticity (PV) and zonal wind for the lower stratosphere. These three diagnostics, however, cannot be applied for the upper stratosphere, since the evolution of the polar vortex is more complicated and, therefore, it is more difficult to prescribe key parameters. Here we define the dates of the breakup and formation of the polar vortex by obtaining the maximum peaks in the averaged rates of change in the equivalent latitude, PV, and wind speed at the vortex edge. By applying our new definition to the ERA-Interim reanalysis data, the breakup and formation dates of the Arctic and Antarctic polar vortices for the whole stratosphere were obtained for 1979 ??? 2018. Our newly defined vortex breakup date is compared with the date of the stratospheric final warming, which is defined as the timing of zonal-mean westerlies changing to easterlies without recovering to a westerly exceeding the threshold westerly wind speed. To see if our definition is consistent with atmospheric transport near the vortex edge, the dates of the formation and breakup of the polar vortex are compared with the mixing ratios of long-lived trace species. It turns out that the newly defined dates well match the changes of concentrations of trace gases in the stratosphere for the winter of 1996 ??? 1997. Considering all the above observations, our definition of the vortex formation and breakup appears to be applicable to the whole stratosphere.</t>
  </si>
  <si>
    <t>[Seo, Jihoon; Choi, Wookap] Seoul Natl Univ, Sch Earth &amp; Environm Sci, 1 Gwanak Ro, Seoul 08826, South Korea; [Seo, Jihoon] Korea Inst Sci &amp; Technol, Climate &amp; Environm Res Inst, Seoul, South Korea</t>
  </si>
  <si>
    <t>Seoul National University (SNU); Korea Institute of Science &amp; Technology (KIST)</t>
  </si>
  <si>
    <t>Choi, W (corresponding author), Seoul Natl Univ, Sch Earth &amp; Environm Sci, 1 Gwanak Ro, Seoul 08826, South Korea.</t>
  </si>
  <si>
    <t>wchoi@snu.ac.kr</t>
  </si>
  <si>
    <t>Seo, Jihoon/A-9499-2013</t>
  </si>
  <si>
    <t>Seo, Jihoon/0000-0002-2878-4551</t>
  </si>
  <si>
    <t>National Research Foundation of Korea [2018R1A2B 6003197]</t>
  </si>
  <si>
    <t>National Research Foundation of Korea(National Research Foundation of Korea)</t>
  </si>
  <si>
    <t>We are grateful to Prof. Kwang-Y. Kim for his help on the manuscript. This work was supported by the National Research Foundation of Korea (2018R1A2B 6003197) .</t>
  </si>
  <si>
    <t>METEOROLOGICAL SOC JAPAN</t>
  </si>
  <si>
    <t>C/O JAPAN METEOROLOGICAL AGENCY 1-3-4 OTE-MACHI, CHIYODA-KU, TOKYO, 100-0004, JAPAN</t>
  </si>
  <si>
    <t>0026-1165</t>
  </si>
  <si>
    <t>2186-9057</t>
  </si>
  <si>
    <t>J METEOROL SOC JPN</t>
  </si>
  <si>
    <t>J. Meteorol. Soc. Jpn.</t>
  </si>
  <si>
    <t>10.2151/jmsj.2022-036</t>
  </si>
  <si>
    <t>3D7VP</t>
  </si>
  <si>
    <t>WOS:000829506000001</t>
  </si>
  <si>
    <t>Petrova, AA; Latysheva, OV; Kopytenko, YA</t>
  </si>
  <si>
    <t>Petrova, A. A.; Latysheva, O., V; Kopytenko, Yu A.</t>
  </si>
  <si>
    <t>Deep Structure of the Arctic and Antarctic according to Component Magnetic and Gravitational Anomalies</t>
  </si>
  <si>
    <t>COSMIC RESEARCH</t>
  </si>
  <si>
    <t>ICE; LITHOSPHERE; GREENLAND; MODEL</t>
  </si>
  <si>
    <t>The results of a study of the deep structure of the Earth's polar regions based on the interpretation of gravitational anomalies, geomagnetic-field anomalies, and seismological data are presented. Based on measurements on the CHAMP and Swarm satellites, vector models of the magnetic field of the Arctic and Antarctic have been verified. To study the magnetically active zones and roots of the lithosphere observed in near-Earth space, deep sections were constructed. Density sections were obtained from gravitational anomalies, and magnetic sections were obtained from anomalies in the modulus and components of the geomagnetic field. To estimate climate risks, a joint analysis of deep sections with satellite data on variations in the ice cover of the polar regions was carried out. It showed that vertical thermofluid channels play a significant role in the process of ice melting. Distinctive features of melting centers caused by endogenous factors are revealed. The migration paths of fluid flows destroying the ice cover are visualized in sections in the form of channels with reduced magnetic and density properties. The conducted studies allows to understand the possible reasons for the localization of centers of ice and permafrost destruction. It was shown that in the permafrost zones of ancient basement blocks, thermal areas of through taliks arise under the influence of heat flows of fluid-supply channels. Melting areas can be represented by hot spots of ore clusters, within which mineral deposits are concentrated under the influence of hydrothermal flows of mineralized fluids. Studies of the deep structure of the Arctic and Antarctic are of scientific and applied importance for solving exploratory geological and geophysical problems and estimating climate risks.</t>
  </si>
  <si>
    <t>[Petrova, A. A.; Latysheva, O., V; Kopytenko, Yu A.] Russian Acad Sci, Pushkov Inst Terr Magnetism Ionosphere &amp; Radio Wa, St Petersburg Branch, St Petersburg 199034, Russia</t>
  </si>
  <si>
    <t>Russian Academy of Sciences; St. Petersburg Scientific Centre of the Russian Academy of Sciences</t>
  </si>
  <si>
    <t>Petrova, AA (corresponding author), Russian Acad Sci, Pushkov Inst Terr Magnetism Ionosphere &amp; Radio Wa, St Petersburg Branch, St Petersburg 199034, Russia.</t>
  </si>
  <si>
    <t>aa_petrova@inbox.ru</t>
  </si>
  <si>
    <t>0010-9525</t>
  </si>
  <si>
    <t>1608-3075</t>
  </si>
  <si>
    <t>COSMIC RES+</t>
  </si>
  <si>
    <t>Cosmic Res.</t>
  </si>
  <si>
    <t>10.1134/S0010952522030078</t>
  </si>
  <si>
    <t>Engineering, Aerospace; Astronomy &amp; Astrophysics</t>
  </si>
  <si>
    <t>Engineering; Astronomy &amp; Astrophysics</t>
  </si>
  <si>
    <t>3C4BY</t>
  </si>
  <si>
    <t>WOS:000828571200006</t>
  </si>
  <si>
    <t>Clement, L; McDonagh, EL; Gregory, JM; Wu, Q; Marzocchi, A; Zika, JD; Nurser, AJG</t>
  </si>
  <si>
    <t>Clement, Louis; McDonagh, E. L.; Gregory, J. M.; Wu, Q.; Marzocchi, A.; Zika, J. D.; Nurser, A. J. G.</t>
  </si>
  <si>
    <t>Mechanisms of Ocean Heat Uptake along and across Isopycnals</t>
  </si>
  <si>
    <t>Ocean circulation; Ocean dynamics; Water masses; storage; Climate change; Climate variability; Heat budgets; fluxes; Ocean models</t>
  </si>
  <si>
    <t>NORTH-ATLANTIC OCEAN; WATER MASS FORMATION; AIR-SEA FLUXES; OVERTURNING CIRCULATION; CLIMATE-CHANGE; LEVEL RISE; MODEL; VARIABILITY; TEMPERATURE; TRANSPORT</t>
  </si>
  <si>
    <t>Warming of the climate system accumulates mostly in the ocean and discrepancies in how this is modeled contribute to uncertainties in predicting sea level rise. In this study, regional temperature changes in an atmosphere-ocean general circulation model (HadCM3) are partitioned between excess (due to perturbed surface heat fluxes) and redistributed (arising from changing circulation and perturbations to mixing) components. In simulations with historical forcing, we first compare this excess-redistribution partitioning with the spice and heave decomposition, in which temperature anomalies enter the ocean interior either along isopycnals (spice) or across isopycnals (heave, without affecting the temperature-salinity curve). Second, heat and salinity budgets projected into thermohaline space naturally reveal the mechanisms behind temperature change by spice and heave linked with water mass generation or destruction. Excess warming enters the ocean as warming by heave in subtropical gyres whereas it mainly projects onto warming by spice in the Southern Ocean and the tropical Atlantic. In subtropical gyres, Ekman pumping generates excess warming as confirmed by Eulerian heat budgets. In contrast, isopycnal mixing partly drives warming and salinification by spice, as confirmed by budgets in thermohaline space, underlying the key role of salinity changes for the ocean warming signature. Our study suggests a method to detect excess warming using spice and heave calculated from observed repeat profiles of temperature and salinity.</t>
  </si>
  <si>
    <t>[Clement, Louis; McDonagh, E. L.; Marzocchi, A.; Nurser, A. J. G.] Natl Oceanog Ctr, Southampton, England; [McDonagh, E. L.] Bjerknes Ctr Climate Res, Norwegian Res Ctr NORCE, Bergen, Norway; [Gregory, J. M.; Wu, Q.] Univ Reading, Natl Ctr Atmospher Sci, Reading, England; [Gregory, J. M.] Met Off Hadley Ctr, Exeter, England; [Zika, J. D.] Univ New South Wales, Sch Math &amp; Stat, Sydney, Australia; [Zika, J. D.] Univ New South Wales, UNSW Data Sci Hub uDaSH, Sydney, NSW, Australia; [Zika, J. D.] Univ New South Wales, Australian Ctr Excellence Antarctic Sci, Sydney, NSW, Australia</t>
  </si>
  <si>
    <t>NERC National Oceanography Centre; Bjerknes Centre for Climate Research; Norwegian Research Centre (NORCE); UK Research &amp; Innovation (UKRI); Natural Environment Research Council (NERC); NERC National Centre for Atmospheric Science; University of Reading; Met Office - UK; Hadley Centre; University of New South Wales Sydney; University of New South Wales Sydney; University of New South Wales Sydney</t>
  </si>
  <si>
    <t>Clement, L (corresponding author), Natl Oceanog Ctr, Southampton, England.</t>
  </si>
  <si>
    <t>l.clement@noc.ac.uk</t>
  </si>
  <si>
    <t>Zika, Jan/0000-0003-3462-3559</t>
  </si>
  <si>
    <t>Natural Environment Research Council [NE/P019099/1, NE/R000727/1, NE/P019293/1]; European Union [817578]</t>
  </si>
  <si>
    <t>Natural Environment Research Council(UK Research &amp; Innovation (UKRI)Natural Environment Research Council (NERC)); European Union(European Union (EU))</t>
  </si>
  <si>
    <t>L. Clement, E. McDonagh, A. Marzocchi, and G. Nurser were supported by Natural Environment Research Council Grant NE/P019293/1 (TICTOC), and E. McDonagh was also supported by European Union Horizon 2020 Grant 817578 (TRIATLAS). J. Gregory was supported by Natural Environment Research Council Grants NE/P019099/1 (TICTOC) and NE/R000727/1 (U.K.-FAFMIP).</t>
  </si>
  <si>
    <t>10.1175/JCLI-D-21-0793.1</t>
  </si>
  <si>
    <t>3B8SP</t>
  </si>
  <si>
    <t>hybrid, Green Accepted, Green Published</t>
  </si>
  <si>
    <t>WOS:000828206000001</t>
  </si>
  <si>
    <t>Goyal, R; Jucker, M; Gupta, AS; England, MH</t>
  </si>
  <si>
    <t>Goyal, Rishav; Jucker, Martin; Gupta, Alex Sen; England, Matthew H.</t>
  </si>
  <si>
    <t>A New Zonal Wave-3 Index for the Southern Hemisphere</t>
  </si>
  <si>
    <t>Southern Oscillation; Blocking; Atmospheric waves; Teleconnections; Empirical orthogonal functions</t>
  </si>
  <si>
    <t>ANTARCTIC SEA-ICE; VARIABILITY; RETREAT; MODES</t>
  </si>
  <si>
    <t>Zonal wave 3 (ZW3) is an important feature of the Southern Hemisphere extratropical atmospheric circulation and has strong impacts on meridional heat and momentum transport, regional Antarctic sea ice extent, and Southern Hemisphere blocking events. Attempts have been made in the past to define an index that quantifies the variability in the ZW3 pattern; however, existing methods are based on fixed geographical locations and fail to capture certain ZW3 events because of strong variability in phase. In addition, a fixed spatial index poorly characterizes ZW3 in CMIP models, which can exhibit biases in the mean phase of the ZW3 pattern. In this study, we introduce a new way to characterize ZW3 variability by incorporating two indices, one each for magnitude and phase, based on the combination of the first two empirical orthogonal functions (EOFs) of the 500-hPa meridional wind anomalies. We show that the new ZW3 index provides a clear advantage over past indices because it captures a substantially higher proportion of variance (similar to 40% compared to similar to 16%), and it can be used for both reanalysis datasets and coupled climate models regardless of model biases. A composite analysis associated with the new index reveals a strong relationship between the ZW3 defined by our index and sea ice fraction around Antarctica, with significant regional sea ice anomalies during strong ZW3 events with different phases.</t>
  </si>
  <si>
    <t>[Goyal, Rishav; Jucker, Martin; Gupta, Alex Sen; England, Matthew H.] Univ New South Wales, Climate Change Res Ctr, Sydney, NSW, Australia; [Goyal, Rishav; Gupta, Alex Sen; England, Matthew H.] Univ New South Wales, ARC Australian Ctr Excellence Antarctic Sci ACEAS, Sydney, NSW, Australia; [Jucker, Martin; Gupta, Alex Sen] Univ New South Wales, ARC Ctr Excellence Climate Extremes, Sydney, NSW, Australia</t>
  </si>
  <si>
    <t>University of New South Wales Sydney; University of New South Wales Sydney; University of New South Wales Sydney</t>
  </si>
  <si>
    <t>Goyal, R (corresponding author), Univ New South Wales, Climate Change Res Ctr, Sydney, NSW, Australia.;Goyal, R (corresponding author), Univ New South Wales, ARC Australian Ctr Excellence Antarctic Sci ACEAS, Sydney, NSW, Australia.</t>
  </si>
  <si>
    <t>rishav.goyal@unsw.edu.au</t>
  </si>
  <si>
    <t>Jucker, Martin/C-3914-2014; England, Matthew/A-7539-2011; Sen Gupta, Alexander/B-7995-2011</t>
  </si>
  <si>
    <t>Jucker, Martin/0000-0002-4227-315X; England, Matthew/0000-0001-9696-2930; Sen Gupta, Alexander/0000-0001-5226-871X</t>
  </si>
  <si>
    <t>Australian Research Council Special Research Initiative; Australian Centre for Excellence in Antarctic Science [SR200100008]; Australian Research Council [SR200100008, CE170100023, FL150100035]; Earth Science and Climate Change Hub of the Australian Government's National Environmental Science Programme (NESP); Centre for Southern Hemisphere Oceans Research (CSHOR); Australian Research Council [SR200100008] Funding Source: Australian Research Council</t>
  </si>
  <si>
    <t>Australian Research Council Special Research Initiative(Australian Research Council); Australian Centre for Excellence in Antarctic Science; Australian Research Council(Australian Research Council); Earth Science and Climate Change Hub of the Australian Government's National Environmental Science Programme (NESP); Centre for Southern Hemisphere Oceans Research (CSHOR); Australian Research Council(Australian Research Council)</t>
  </si>
  <si>
    <t>This research was supported by the Australian Research Council Special Research Initiative, Australian Centre for Excellence in Antarctic Science (Project Number SR200100008), and by the Australian Research Council (Grants CE170100023, FL150100035, and SR200100008). M.H.E. is also supported by the Earth Science and Climate Change Hub of the Australian Government's National Environmental Science Programme (NESP) and the Centre for Southern Hemisphere Oceans Research (CSHOR), a joint research center between QNLM, CSIRO, UNSW, and UTAS. We thank Steve Rintoul for drawing our attention to the absence of an update to the Raphael (2004) index, something that helped motivate this work. All the analysis were conducted on the National Computational Infrastructure (NCI) facility based in Canberra, Australia.</t>
  </si>
  <si>
    <t>10.1175/JCLI-D-21-0927.1</t>
  </si>
  <si>
    <t>WOS:000828206000015</t>
  </si>
  <si>
    <t>Cerovecki, I; Sun, R; Bromwich, DH; Zou, X; Mazloff, MR; Wang, SH</t>
  </si>
  <si>
    <t>Cerovecki, Ivana; Sun, Rui; Bromwich, David H.; Zou, Xun; Mazloff, Matthew R.; Wang, Sheng-Hung</t>
  </si>
  <si>
    <t>Impact of downward longwave radiative deficits on Antarctic sea-ice extent predictability during the sea ice growth period</t>
  </si>
  <si>
    <t>Antarctic subseasonal sea ice predictability; downward longwave radiation deficit; coupled modeling of the Southern Ocean</t>
  </si>
  <si>
    <t>POLAR WEATHER RESEARCH; OCEAN; MODEL; SHELF</t>
  </si>
  <si>
    <t>Forecasting Antarctic atmospheric, oceanic, and sea ice conditions on subseasonal to seasonal scales remains a major challenge. During both the freezing and melting seasons current operational ensemble forecasting systems show a systematic overestimation of the Antarctic sea-ice edge location. The skill of sea ice cover prediction is closely related to the accuracy of cloud representation in models, as the two are strongly coupled by cloud radiative forcing. In particular, surface downward longwave radiation (DLW) deficits appear to be a common shortcoming in atmospheric models over the Southern Ocean. For example, a recent comparison of ECMWF reanalysis 5th generation (ERA5) global reanalysis with the observations from McMurdo Station revealed a year-round deficit in DLW of approximately 50 Wm(-2) in marine air masses due to model shortages in supercooled cloud liquid water. A comparison with the surface DLW radiation observations from the Ocean Observatories Initiative mooring in the South Pacific at 54.08 degrees S, 89.67 degrees W, for the time period January 2016-November 2018, confirms approximately 20 Wm(-2) deficit in DLW in ERA5 well north of the sea-ice edge. Using a regional ocean model, we show that when DLW is artificially increased by 50 Wm(-2) in the simulation driven by ERAS atmospheric forcing, the predicted sea ice growth agrees much better with the observations. A wide variety of sensitivity tests show that the anomalously large, predicted sea-ice extent is not due to limitations in the ocean model and that by implication the cause resides with the atmospheric forcing.</t>
  </si>
  <si>
    <t>[Cerovecki, Ivana; Sun, Rui; Zou, Xun; Mazloff, Matthew R.] Univ Calif San Diego, Scripps Inst Oceanog, La Jolla, CA 92093 USA; [Bromwich, David H.; Zou, Xun; Wang, Sheng-Hung] Ohio State Univ, Byrd Polar &amp; Climate Res Ctr, Columbus, OH 43210 USA</t>
  </si>
  <si>
    <t>University of California System; University of California San Diego; Scripps Institution of Oceanography; University System of Ohio; Ohio State University</t>
  </si>
  <si>
    <t>Bromwich, DH (corresponding author), Ohio State Univ, Byrd Polar &amp; Climate Res Ctr, Columbus, OH 43210 USA.</t>
  </si>
  <si>
    <t>bromwich.1@osu.edu</t>
  </si>
  <si>
    <t>zou, xun/AAV-1306-2020; zou, xun/I-2438-2015</t>
  </si>
  <si>
    <t>Wang, Sheng-Hung/0000-0002-8057-835X; Sun, Rui/0000-0001-8357-4904; zou, xun/0000-0003-1620-3198; Bromwich, David/0000-0003-4608-8071</t>
  </si>
  <si>
    <t>NASA [80NSSC20K1076, 80NSSC22K0387, 80NSSC19K1115]; NSF [OCE-1924388, PLR-1425989, OPP-2149501, OPP-1936222, 1823135]; KAUST (King Abdullah University of Science and Technology) [OSR-2016-RPP-3268.02]; Office of Polar Programs (OPP); Directorate For Geosciences [1823135] Funding Source: National Science Foundation</t>
  </si>
  <si>
    <t>NASA(National Aeronautics &amp; Space Administration (NASA)); NSF(National Science Foundation (NSF)); KAUST (King Abdullah University of Science and Technology)(King Abdullah University of Science &amp; Technology); Office of Polar Programs (OPP); Directorate For Geosciences(National Science Foundation (NSF)NSF - Directorate for Geosciences (GEO))</t>
  </si>
  <si>
    <t>I C was supported by NASA Grant 80NSSC19K1115. D H B, X Z, and S H W were supported by NSF Grant No. 1823135. R S was supported by KAUST (King Abdullah University of Science and Technology) Grant No. OSR-2016-RPP-3268.02. M R Mazloff acknowledges support from NASA Grant Nos. 80NSSC20K1076 and 80NSSC22K0387, and NSF Grant Nos. OCE-1924388, PLR-1425989, OPP-2149501, and OPP-1936222. We also appreciate the computational resources on supercomputer Shaheen II for implementing and testing the coupled model. Contribution number C-1618 of Byrd Polar and Climate Research Center. We thank the two anonymous reviewers for their constructive comments.</t>
  </si>
  <si>
    <t>10.1088/1748-9326/ac7d66</t>
  </si>
  <si>
    <t>3A4PL</t>
  </si>
  <si>
    <t>WOS:000827243700001</t>
  </si>
  <si>
    <t>Harrison, CS; Rohr, T; DuVivier, A; Maroon, EA; Bachman, S; Bardeen, CG; Coupe, J; Garza, V; Heneghan, R; Lovenduski, NS; Neubauer, P; Rangel, V; Robock, A; Scherrer, K; Stevenson, S; Toon, OB</t>
  </si>
  <si>
    <t>Harrison, Cheryl S.; Rohr, Tyler; DuVivier, Alice; Maroon, Elizabeth A.; Bachman, Scott; Bardeen, Charles G.; Coupe, Joshua; Garza, Victoria; Heneghan, Ryan; Lovenduski, Nicole S.; Neubauer, Philipp; Rangel, Victor; Robock, Alan; Scherrer, Kim; Stevenson, Samantha; Toon, Owen B.</t>
  </si>
  <si>
    <t>A New Ocean State After Nuclear War</t>
  </si>
  <si>
    <t>AGU ADVANCES</t>
  </si>
  <si>
    <t>nuclear war; extreme climate; hysteresis; AMOC; iron scavenging; Arctic</t>
  </si>
  <si>
    <t>MERIDIONAL OVERTURNING CIRCULATION; EARTH SYSTEM MODEL; MARINE PRIMARY PRODUCTION; VOLCANIC-ERUPTIONS; CLIMATE; VARIABILITY; TEMPERATURE; COMMUNITY; HYSTERESIS; IMPACTS</t>
  </si>
  <si>
    <t>Nuclear war would produce dire global consequences for humans and our environment. We simulated climate impacts of US-Russia and India-Pakistan nuclear wars in an Earth System Model, here, we report on the ocean impacts. Like volcanic eruptions and large forest fires, firestorms from nuclear war would transport light-blocking aerosols to the stratosphere, resulting in global cooling. The ocean responds over two timescales: a rapid cooling event and a long recovery, indicating a hysteresis response of the ocean to global cooling. Surface cooling drives sea ice expansion, enhanced meridional overturning, and intensified ocean vertical mixing that is expanded, deeper, and longer lasting. Phytoplankton production and community structure are highly modified by perturbations to light, temperature, and nutrients, resulting in initial decimation of production, especially at high latitudes. A new physical and biogeochemical ocean state results, characterized by shallower pycnoclines, thermoclines, and nutriclines, ventilated deep water masses, and thicker Arctic sea ice. Persistent changes in nutrient limitation drive a shift in phytoplankton community structure, resulting in increased diatom populations, which in turn increase iron scavenging and iron limitation, especially at high latitudes. In the largest US-Russia scenario (150 Tg), ocean recovery is likely on the order of decades at the surface and hundreds of years at depth, while changes to Arctic sea-ice will likely last thousands of years, effectively a Nuclear Little Ice Age. Marine ecosystems would be highly disrupted by both the initial perturbation and in the new ocean state, resulting in long-term, global impacts to ecosystem services such as fisheries.</t>
  </si>
  <si>
    <t>[Harrison, Cheryl S.; Coupe, Joshua; Garza, Victoria] Louisiana State Univ, Ctr Computat &amp; Technol, Dept Ocean &amp; Coastal Sci, Baton Rouge, LA 70803 USA; [Rohr, Tyler] Australian Antarctic Partnership Program, Hobart, Tas, Australia; [DuVivier, Alice; Bachman, Scott] Natl Ctr Atmospher Res, Climate &amp; Global Dynam Lab, POB 3000, Boulder, CO 80307 USA; [Maroon, Elizabeth A.] Univ Wisconsin, Dept Atmospher &amp; Ocean Sci, Madison, WI USA; [Bardeen, Charles G.] Natl Ctr Atmospher Res, Atrnospher Chem Observat &amp; Modeling Lab, POB 3000, Boulder, CO 80307 USA; [Coupe, Joshua; Robock, Alan] Rutgers State Univ, Dept Environm Sci, New Brunswick, NJ USA; [Heneghan, Ryan] Queensland Univ Technol, Sch Math Sci, Brisbane, Qld, Australia; [Lovenduski, Nicole S.; Toon, Owen B.] Univ Colorado, Dept Atmospher &amp; Ocean Sci, Boulder, CO 80309 USA; [Lovenduski, Nicole S.] Univ Colorado, Inst Arctic &amp; Alpine Res, Boulder, CO 80309 USA; [Neubauer, Philipp] Dragonfly Data Sci, Wellington, New Zealand; [Rangel, Victor] Texas A&amp;M Univ, Dept Aerosp Engn, College Stn, TX 77843 USA; [Scherrer, Kim] Univ Bergen, Dept Biol Sci, Bergen, Norway; [Scherrer, Kim; Stevenson, Samantha] Univ Calif Santa Barbara, Bren Sch Environm Sci &amp; Management, Santa Barbara, CA 93106 USA; [Toon, Owen B.] Univ Colorado, Lab Atmospher &amp; Space Phys, Boulder, CO 80309 USA</t>
  </si>
  <si>
    <t>Louisiana State University System; Louisiana State University; National Center Atmospheric Research (NCAR) - USA; University of Wisconsin System; University of Wisconsin Madison; National Center Atmospheric Research (NCAR) - USA; Rutgers University System; Rutgers University New Brunswick; Queensland University of Technology (QUT); University of Colorado System; University of Colorado Boulder; University of Colorado System; University of Colorado Boulder; Texas A&amp;M University System; Texas A&amp;M University College Station; University of Bergen; University of California System; University of California Santa Barbara; University of Colorado System; University of Colorado Boulder</t>
  </si>
  <si>
    <t>Harrison, CS (corresponding author), Louisiana State Univ, Ctr Computat &amp; Technol, Dept Ocean &amp; Coastal Sci, Baton Rouge, LA 70803 USA.</t>
  </si>
  <si>
    <t>cherylharrison@lsu.edu</t>
  </si>
  <si>
    <t>Lovenduski, Nicole/V-4014-2019; DuVivier, Alice K./JJC-1516-2023; Robock, Alan/B-6385-2016; Harrison, Cheryl Shannon/IWV-0053-2023; Scherrer, Kim/V-3008-2019; Coupe, Joshua/HIK-2507-2022; Maroon, Elizabeth/JGD-5913-2023</t>
  </si>
  <si>
    <t>Lovenduski, Nicole/0000-0001-5893-1009; DuVivier, Alice K./0000-0001-6920-5926; Harrison, Cheryl Shannon/0000-0003-4544-947X; Scherrer, Kim/0000-0001-6198-5745; Coupe, Joshua/0000-0002-8652-9970; Maroon, Elizabeth/0000-0002-1660-7822; Heneghan, Ryan/0000-0001-7626-1248; Rohr, Tyler/0000-0001-6599-8068</t>
  </si>
  <si>
    <t>Open Philanthropy Project; Natural Environment Research Council; National Science Foundation [ACI-1532235, ACI-1532236]; University of Colorado Boulder; Colorado State University; Texas Advanced Computing Center at The University of Texas at Austin; National Science Foundation; National Science Foundation (NSF) at the National Center for Atmospheric Research (NCAR) - NSF [1852977]; Office of the Vice Chancellor for Research and Graduate Education at the University of Wisconsin-Madison; Wisconsin Alumni Research Foundation</t>
  </si>
  <si>
    <t>Open Philanthropy Project; Natural Environment Research Council(UK Research &amp; Innovation (UKRI)Natural Environment Research Council (NERC)); National Science Foundation(National Science Foundation (NSF)); University of Colorado Boulder; Colorado State University; Texas Advanced Computing Center at The University of Texas at Austin; National Science Foundation(National Science Foundation (NSF)); National Science Foundation (NSF) at the National Center for Atmospheric Research (NCAR) - NSF; Office of the Vice Chancellor for Research and Graduate Education at the University of Wisconsin-Madison; Wisconsin Alumni Research Foundation</t>
  </si>
  <si>
    <t>This work was supported by the Open Philanthropy Project. Data from the RAPID AMOC monitoring project is funded by the Natural Environment Research Council and are freely available from www.rapid.ac.uk/rapidmoc.The authors acknowledge the University of Colorado Boulder Research Computing Group, which is supported by the National Science Foundation (awards ACI-1532235 and ACI-1532236), the University of Colorado Boulder, and Colorado State University, the Texas Advanced Computing Center (http://www.tacc.utexas.edu) at The University of Texas at Austin for providing visualization resources that have contributed to the research results reported within this paper, as well as high-performance computing support from Cheyenne (https://doi.org/10.5065/D6RX99HX) provided by the NCAR's Computational and Information Systems Laboratory, sponsored by the National Science Foundation. A. DuVivier acknowledges the CESM project, which is supported primarily by the National Science Foundation (NSF) at the National Center for Atmospheric Research (NCAR), which is a major facility sponsored by the NSF under Cooperative Agreement 1852977. E. A. Maroon acknowledges support from the Office of the Vice Chancellor for Research and Graduate Education at the University of Wisconsin-Madison with funding from the Wisconsin Alumni Research Foundation. Keith Lindsay at NCAR aided in ocean model initialization and configuration. Jessica Stevens assisted with data analysis for an early version of this manuscript.</t>
  </si>
  <si>
    <t>2576-604X</t>
  </si>
  <si>
    <t>AGU ADV</t>
  </si>
  <si>
    <t>AGU Adv.</t>
  </si>
  <si>
    <t>e2021AV000610</t>
  </si>
  <si>
    <t>10.1029/2021AV000610</t>
  </si>
  <si>
    <t>2U3ZO</t>
  </si>
  <si>
    <t>WOS:000823100100001</t>
  </si>
  <si>
    <t>Borba, MP; Ferrero, APD; Lameira, RD; van der Sand, ST</t>
  </si>
  <si>
    <t>Borba, Marcela Proenca; Ferrero, Ana Paula da Silva; de Souza Lameira, Renata; van der Sand, Sueli Teresinha</t>
  </si>
  <si>
    <t>The intricate molecular identification of Streptomyces: a case study on Antarctic soil isolates</t>
  </si>
  <si>
    <t>ARCHIVES OF MICROBIOLOGY</t>
  </si>
  <si>
    <t>16S rRNA; Housekeeping genes; Genomic database</t>
  </si>
  <si>
    <t>MULTILOCUS SEQUENCE-ANALYSIS; NATURAL-PRODUCT; SP NOV.; 16S; PHYLOGENY; ENEDIYNE; BACTERIA</t>
  </si>
  <si>
    <t>Despite the worldwide use of 16S rRNA to identify bacterial species, the use of this gene does not discriminate the 750 species in the genus Streptomyces. A MLST scheme was constructed with rpoB, gyrB, recA, trpB and atpD genes to access the genomic variances in Streptomyces species evolution. We analyze the housekeeping genes in 49 Streptomyces isolates from Antarctic soil. It was used two different databases, GenBank and EzBioCloud to compare the 16S sequences. The species founded in both databases are not the same, but in both cases, a few isolates achieve the necessary high percentage to consider the identification. There is a lack of deposited sequences in the other genes, as the data in GenBank proved to be insufficient. Isolate LMA323St_9 has the potential to be studied as a novel species. Besides that, the use of housekeeping genes gives robust phylogenetic information to understand in group relationships.</t>
  </si>
  <si>
    <t>[Borba, Marcela Proenca; Ferrero, Ana Paula da Silva; de Souza Lameira, Renata; van der Sand, Sueli Teresinha] Univ Fed Rio Grande do Sul, Programa Posgrad Microbiol Agr &amp; Ambiente, Inst Ciencias Basicas Saude, Porto Alegre, RS, Brazil</t>
  </si>
  <si>
    <t>Universidade Federal do Rio Grande do Sul</t>
  </si>
  <si>
    <t>Borba, MP (corresponding author), Univ Fed Rio Grande do Sul, Programa Posgrad Microbiol Agr &amp; Ambiente, Inst Ciencias Basicas Saude, Porto Alegre, RS, Brazil.</t>
  </si>
  <si>
    <t>ceh.proenca@gmail.com</t>
  </si>
  <si>
    <t>Borba, Marcela/HTQ-9921-2023; Van Der Sand, Sueli T/M-9518-2016</t>
  </si>
  <si>
    <t>CoordenacAo de Aperfeicoamento de Pessoal de Nivel Superior</t>
  </si>
  <si>
    <t>CoordenacAo de Aperfeicoamento de Pessoal de Nivel Superior(Coordenacao de Aperfeicoamento de Pessoal de Nivel Superior (CAPES))</t>
  </si>
  <si>
    <t>The authors would like to thank the CoordenacAo de Aperfeicoamento de Pessoal de Nivel Superior for financial support and Prof. Dr. Paris Lavin for the discussions that help the sequences deposit and data analysis.</t>
  </si>
  <si>
    <t>0302-8933</t>
  </si>
  <si>
    <t>1432-072X</t>
  </si>
  <si>
    <t>ARCH MICROBIOL</t>
  </si>
  <si>
    <t>Arch. Microbiol.</t>
  </si>
  <si>
    <t>10.1007/s00203-022-03093-4</t>
  </si>
  <si>
    <t>2W6MD</t>
  </si>
  <si>
    <t>WOS:000824635600007</t>
  </si>
  <si>
    <t>Benaud, N; Chelliah, DS; Wong, SY; Ferrari, BC</t>
  </si>
  <si>
    <t>Benaud, Nicole; Chelliah, Devan S.; Wong, Sin Yin; Ferrari, Belinda C.</t>
  </si>
  <si>
    <t>Soil substrate culturing approaches recover diverse members of Actinomycetota from desert soils of Herring Island, East Antarctica</t>
  </si>
  <si>
    <t>EXTREMOPHILES</t>
  </si>
  <si>
    <t>Culturing; Natural products; Antimicrobial; Psychrotroph; Cold-adapted bacteria; Antarctic; Streptomyces</t>
  </si>
  <si>
    <t>16S RIBOSOMAL-RNA; AEROBIC ANOXYGENIC PHOTOTROPHS; NATURAL-PRODUCTS; WINDMILL-ISLANDS; SP-NOV.; ANTIMICROBIAL ACTIVITY; BACTERIAL DIVERSITY; SELECTIVE ISOLATION; HYDROCARBON SPILLS; RONDANE MOUNTAINS</t>
  </si>
  <si>
    <t>Antimicrobial resistance is an escalating health crisis requiring urgent action. Most antimicrobials are natural products (NPs) sourced from Actinomycetota, particularly the Streptomyces. Underexplored and extreme environments are predicted to harbour novel microorganisms with the capacity to synthesise unique metabolites. Herring Island is a barren and rocky cold desert in East Antarctica, remote from anthropogenic impact. We aimed to recover rare and cold-adapted NP-producing bacteria, by employing two culturing methods which mimic the natural environment: direct soil culturing and the soil substrate membrane system. First, we analysed 16S rRNA gene amplicon sequencing data from 18 Herring Island soils and selected the soil sample with the highest Actinomycetota relative abundance (78%) for culturing experiments. We isolated 166 strains across three phyla, including novel and rare strains, with 94% of strains belonging to the Actinomycetota. These strains encompassed thirty-five 'species' groups, 18 of which were composed of Streptomyces strains. We screened representative strains for genes which encode polyketide synthases and non-ribosomal peptide synthetases, indicating that 69% have the capacity to synthesise polyketide and non-ribosomal peptide NPs. Fourteen Streptomyces strains displayed antimicrobial activity against selected bacterial and yeast pathogens using an in situ assay. Our results confirm that the cold-adapted bacteria of the harsh East Antarctic deserts are worthy targets in the search for bioactive compounds.</t>
  </si>
  <si>
    <t>[Benaud, Nicole; Chelliah, Devan S.; Wong, Sin Yin; Ferrari, Belinda C.] UNSW Sydney, Sch Biotechnol &amp; Biomol Sci, Sydney, NSW 2052, Australia</t>
  </si>
  <si>
    <t>University of New South Wales Sydney</t>
  </si>
  <si>
    <t>Ferrari, BC (corresponding author), UNSW Sydney, Sch Biotechnol &amp; Biomol Sci, Sydney, NSW 2052, Australia.</t>
  </si>
  <si>
    <t>Ferrari, Belinda/0000-0001-5043-3726</t>
  </si>
  <si>
    <t>CAUL; Australian Research Council Future Fellowship [FT170100341]; HermonSlade Foundation [HSF15/13]; Australian Research Council [FT170100341] Funding Source: Australian Research Council</t>
  </si>
  <si>
    <t>CAUL; Australian Research Council Future Fellowship(Australian Research Council); HermonSlade Foundation; Australian Research Council(Australian Research Council)</t>
  </si>
  <si>
    <t>Open Access funding enabled and organized by CAUL and its Member Institutions. This research was funded through an Australian Research Council Future Fellowship (FT170100341) and a HermonSlade Foundation Grant HSF15/13, both awarded to B.C.F.</t>
  </si>
  <si>
    <t>1431-0651</t>
  </si>
  <si>
    <t>1433-4909</t>
  </si>
  <si>
    <t>Extremophiles</t>
  </si>
  <si>
    <t>10.1007/s00792-022-01271-2</t>
  </si>
  <si>
    <t>Biochemistry &amp; Molecular Biology; Microbiology</t>
  </si>
  <si>
    <t>2W7CV</t>
  </si>
  <si>
    <t>WOS:000824679300001</t>
  </si>
  <si>
    <t>Picard, G; Löwe, H; Domine, F; Arnaud, L; Larue, F; Favier, V; Le Meur, E; Lefebvre, E; Savarino, J; Royer, A</t>
  </si>
  <si>
    <t>Picard, G.; Lowe, H.; Domine, F.; Arnaud, L.; Larue, F.; Favier, V.; Le Meur, E.; Lefebvre, E.; Savarino, J.; Royer, A.</t>
  </si>
  <si>
    <t>The Microwave Snow Grain Size: A New Concept to Predict Satellite Observations Over Snow-Covered Regions</t>
  </si>
  <si>
    <t>snow; remote sensing; microwave; porous media; microstructure; modeling</t>
  </si>
  <si>
    <t>SMALL-ANGLE SCATTERING; MODELING TIME-SERIES; SURFACE-AREA; BRIGHTNESS TEMPERATURE; INFRARED REFLECTANCE; SPECTRAL ALBEDO; DOME C; EMISSION; MICROSTRUCTURE; EVOLUTION</t>
  </si>
  <si>
    <t>Satellite observations of snow-covered regions in the microwave range have the potential to retrieve essential climate variables such as snow height. This requires a precise understanding of how microwave scattering is linked to snow microstructural properties (density, grain size, grain shape and arrangement). This link has so far relied on empirical adjustments of the theories, precluding the development of robust retrieval algorithms. Here we solve this problem by introducing a new microstructural parameter able to consistently predict scattering. This microwave grain size is demonstrated to be proportional to the measurable optical grain size and to a new factor describing the chord length dispersion in the microstructure, a geometrical property known as polydispersity. By assuming that the polydispersity depends on the snow grain type only, we retrieve its value for rounded and faceted grains by optimization of microwave satellite observations in 18 Antarctic sites, and for depth hoar in 86 Canadian sites using ground-based observations. The value for the convex grains (0.6) compares favorably to the polydispersity calculated from 3D micro-computed tomography images for alpine grains, while values for depth hoar show wider variations (1.2-1.9) and are larger in Canada than in the Alps. Nevertheless, using one value for each grain type, the microwave observations in Antarctica and in Canada can be simulated from in-situ measurements with good accuracy with a fully physical model. These findings improve snow scattering modeling, enabling future more accurate uses of satellite observations in snow hydrological and meteorological applications.</t>
  </si>
  <si>
    <t>[Picard, G.; Arnaud, L.; Larue, F.; Favier, V.; Le Meur, E.; Lefebvre, E.; Savarino, J.] Univ Grenoble Alpes, CNRS, Inst Geosci Environm IGE, UMR 5001, Grenoble, France; [Lowe, H.] WSL Inst Snow &amp; Avalanche Res SLF, Davos, Switzerland; [Domine, F.] Univ Laval, Takuvik Joint Int Lab, Quebec City, PQ, Canada; [Domine, F.] CNRS, INSU, Plouzane, France; [Royer, A.] Univ Sherbrooke, Ctr Applicat &amp; Recherches Teledetect CARTEL, Sherbrooke, PQ, Canada</t>
  </si>
  <si>
    <t>Communaute Universite Grenoble Alpes; Universite Grenoble Alpes (UGA); Centre National de la Recherche Scientifique (CNRS); CNRS - National Institute for Earth Sciences &amp; Astronomy (INSU); Swiss Federal Institutes of Technology Domain; Swiss Federal Institute for Forest, Snow &amp; Landscape Research; Laval University; Universite de Bretagne Occidentale; Centre National de la Recherche Scientifique (CNRS); CNRS - National Institute for Earth Sciences &amp; Astronomy (INSU); University of Sherbrooke</t>
  </si>
  <si>
    <t>Picard, G (corresponding author), Univ Grenoble Alpes, CNRS, Inst Geosci Environm IGE, UMR 5001, Grenoble, France.</t>
  </si>
  <si>
    <t>ghislain.picard@univ-grenoble-alpes.fr</t>
  </si>
  <si>
    <t>Picard, Ghislain/D-4246-2013; savarino, joel/H-9730-2012; Favier, Vincent/T-1936-2017</t>
  </si>
  <si>
    <t>Picard, Ghislain/0000-0003-1475-5853; savarino, joel/0000-0002-6708-9623; Favier, Vincent/0000-0001-6024-9498</t>
  </si>
  <si>
    <t>European Space Agency; French Agence Nationale de la Recherche [ANR-16-CE01-0011, 1-JS56-005-01, ANR-14-CE01-0001, ANR-07-VULN-013]; Institut Polaire Francais Paul-Emile Victor (IPEV); National Antarctic Research Program (PNRA) [EAIIST PNRA16-00049-B]; BNP-Paribas Foundation through its Climate Initiative program; EQUIPEX CLIMCOR [ANR-11-EQPX-0009-CLIMCOR]; Natural Sciences and Engineering Research Council of Canada; Polar Knowledge Canada; Agence Nationale de la Recherche (ANR) [ANR-16-CE01-0011] Funding Source: Agence Nationale de la Recherche (ANR)</t>
  </si>
  <si>
    <t>European Space Agency(European Space Agency); French Agence Nationale de la Recherche(Agence Nationale de la Recherche (ANR)); Institut Polaire Francais Paul-Emile Victor (IPEV); National Antarctic Research Program (PNRA); BNP-Paribas Foundation through its Climate Initiative program; EQUIPEX CLIMCOR; Natural Sciences and Engineering Research Council of Canada(Natural Sciences and Engineering Research Council of Canada (NSERC)CGIAR); Polar Knowledge Canada; Agence Nationale de la Recherche (ANR)(Agence Nationale de la Recherche (ANR))</t>
  </si>
  <si>
    <t>The European Space Agency is funding the development of the Snow Microwave Radiative Model model (Microsnow project). The traverse data were obtained through the French Agence Nationale de la Recherche (EAIIST grant ANR-16-CE01-0011, MONISNOW grant 1-JS56-005-01, ASUMA grant ANR-14-CE01-0001 ASUMA, Vanish grant ANR-07-VULN-013), the Institut Polaire Francais Paul-Emile Victor (IPEV), the National Antarctic Research Program (PNRA, grant EAIIST PNRA16-00049-B). EAIIST was also supported by the BNP-Paribas Foundation through its Climate Initiative program. Technical supports during ASUMA and EAIIST were provided the French national ice core drilling program (F2G) and the EQUIPEX CLIMCOR (ANR-11-EQPX-0009-CLIMCOR). The Canadian field campaigns were supported by Natural Sciences and Engineering Research Council of Canada and Polar Knowledge Canada.</t>
  </si>
  <si>
    <t>e2021AV000630</t>
  </si>
  <si>
    <t>10.1029/2021AV000630</t>
  </si>
  <si>
    <t>2U4UL</t>
  </si>
  <si>
    <t>WOS:000823157700001</t>
  </si>
  <si>
    <t>Kung, HC; Hsieh, YK; Huang, BW; Cheruiyot, NK; Chang-Chien, GP</t>
  </si>
  <si>
    <t>Kung, Hsin-Chieh; Hsieh, Yen-Kung; Huang, Bo-Wun; Cheruiyot, Nicholas Kiprotich; Chang-Chien, Guo-Ping</t>
  </si>
  <si>
    <t>An Overview: Organophosphate Flame Retardants in the Atmosphere</t>
  </si>
  <si>
    <t>AEROSOL AND AIR QUALITY RESEARCH</t>
  </si>
  <si>
    <t>Atmospheric particle-bound contaminants; Emerging contaminants; Organophosphate esters; PM2.5; Long-range transport</t>
  </si>
  <si>
    <t>TRIS 2-BUTOXYETHYL PHOSPHATE; POLYBROMINATED DIPHENYL ETHERS; MESSENGER-RNA EXPRESSION; PASSIVE AIR SAMPLERS; EARLY-LIFE STAGES; TRICRESYL PHOSPHATE; TEMPORAL VARIATIONS; CHEMICAL-PROPERTIES; GAS-CHROMATOGRAPHY; TROPHIC TRANSFER</t>
  </si>
  <si>
    <t>Organophosphate flame retardants (OPFRs) have been adopted as safer alternatives to polybrominated biphenyl ether flame retardants. However, because of their ubiquitous presence in the environment and the growing evidence of health risks, there has been growing research interest in understanding the fate and effects of these compounds in the environment. This review focuses on the current knowledge of OPFRs in the atmosphere. There is no consensus on the target OPFR for analysis, making comparisons challenging. However, we can still conclude that OPFRs partition mainly in the particulate phase, and chlorinated-OPFRs are the main compounds in the atmosphere. The general concentration trends from the literature were: PM2.5 &gt; TSP &gt; air. However, the gas-phase OPFRs in the published studies might be significantly underestimated because of sampling artifacts. OPFRs were also found in remote environments in Antarctica, the Arctic, and high mountains, suggesting long-range transport potential. For example, concentrations up to 92.3 +/- 13.8 pg m(-3) in the air have been measured in the Antarctic. Lastly, atmospheric transformations of some OPFRs have been reported as more toxic and persistent than parent compounds, indicating additional risk. However, they are currently not measured or included during risk assessment.</t>
  </si>
  <si>
    <t>[Kung, Hsin-Chieh; Chang-Chien, Guo-Ping] Cheng Shiu Univ, Inst Environm Toxin &amp; Emerging Contaminant Res, Kaohsiung 833301, Taiwan; [Kung, Hsin-Chieh; Cheruiyot, Nicholas Kiprotich; Chang-Chien, Guo-Ping] Cheng Shiu Univ, Ctr Environm Toxin &amp; Emerging Contaminant Res, Kaohsiung 833301, Taiwan; [Cheruiyot, Nicholas Kiprotich; Chang-Chien, Guo-Ping] Cheng Shiu Univ, Super Micro Mass Res &amp; Technol Ctr, Kaohsiung 833301, Taiwan; [Huang, Bo-Wun] Cheng Shiu Univ, Dept Mech, Kaohsiung 833301, Taiwan; [Huang, Bo-Wun] Cheng Shiu Univ, Inst Engn Mech, Kaohsiung 833301, Taiwan; [Hsieh, Yen-Kung] Tajen Univ, Dept Environm Sci &amp; Occupat Safety &amp; Hlth, Pingtung 90703, Taiwan; [Hsieh, Yen-Kung] Natl Acad Marine Res, Marine Ecol &amp; Conservat Res Ctr, Kaohsiung 806614, Taiwan; [Kung, Hsin-Chieh] Cheng Shiu Univ, Dept Tourism &amp; Recreat, Kaohsiung 833301, Taiwan</t>
  </si>
  <si>
    <t>Cheng Shiu University; Cheng Shiu University; Cheng Shiu University; Cheng Shiu University; Cheng Shiu University; Cheng Shiu University</t>
  </si>
  <si>
    <t>Chang-Chien, GP (corresponding author), Cheng Shiu Univ, Inst Environm Toxin &amp; Emerging Contaminant Res, Kaohsiung 833301, Taiwan.;Cheruiyot, NK; Chang-Chien, GP (corresponding author), Cheng Shiu Univ, Ctr Environm Toxin &amp; Emerging Contaminant Res, Kaohsiung 833301, Taiwan.;Cheruiyot, NK; Chang-Chien, GP (corresponding author), Cheng Shiu Univ, Super Micro Mass Res &amp; Technol Ctr, Kaohsiung 833301, Taiwan.</t>
  </si>
  <si>
    <t>1790@gcloud.csu.edu.tw; guoping@gcloud.csu.edu.tw</t>
  </si>
  <si>
    <t>Cheruiyot, Nicholas/GRN-7988-2022</t>
  </si>
  <si>
    <t>TAIWAN ASSOC AEROSOL RES-TAAR</t>
  </si>
  <si>
    <t>TAICHUNG COUNTY</t>
  </si>
  <si>
    <t>CHAOYANG UNIV TECH, DEPT ENV ENG &amp; MGMT, PROD CTR AAQR, NO 168, JIFONG E RD, WUFONG TOWNSHIP, TAICHUNG COUNTY, 41349, TAIWAN</t>
  </si>
  <si>
    <t>1680-8584</t>
  </si>
  <si>
    <t>2071-1409</t>
  </si>
  <si>
    <t>AEROSOL AIR QUAL RES</t>
  </si>
  <si>
    <t>Aerosol Air Qual. Res.</t>
  </si>
  <si>
    <t>10.4209/aaqr.220148</t>
  </si>
  <si>
    <t>2G3XQ</t>
  </si>
  <si>
    <t>WOS:000813531500004</t>
  </si>
  <si>
    <t>Collinson, G; Glocer, A; Pfaff, R; Barjatya, A; Bissett, S; Blix, K; Breneman, A; Clemmons, J; Eparvier, F; Gass, T; Michell, R; Mitchell, D; Imber, S; Ghalib, A; Akbari, H; Ansted, G; Baddeley, L; Bahr, H; Bain, G; Bonsteel, B; Borgen, H; Bowden, D; Bowker, D; Cameron, T; Campbell, M; Cathell, P; Chornay, D; Clayton, R; Conser, L; Davis, L; Donohue, S; Eilertsen, LJ; Etheridge, C; Graves, N; Häggstrom, I; Hanssen, P; Haugh, H; Helgesen, E; Henderson, J; Herseth, KR; Hickman, J; Jensen, KG; Jester, T; Johnson, E; Johnson, H; Kavanagh, A; King, M; Knight, D; Laman, R; Lankford, T; Lien, R; Lester, M; Marsh, G; Martin, S; Morris, N; Nguyen, L; Nelson, R; Ogundere, W; Osbakk, KH; Page, D; Polidan, J; Raley, D; Raymond, R; Robertson, E; Rosanova, G; Rosnack, T; Serabian, B; Simonsen, R; Soreng, JA; Sveen, J; Swanson, D; Swift, R; Uribe, P; Valentine, H; Waters, F; West, L; Wilson, T</t>
  </si>
  <si>
    <t>Collinson, Glyn; Glocer, Alex; Pfaff, Rob; Barjatya, Aroh; Bissett, Scott; Blix, Kolbjorn; Breneman, Aaron; Clemmons, Jim; Eparvier, Francis; Gass, Ted; Michell, Robert; Mitchell, David; Imber, Suzie; Ghalib, Ahmed; Akbari, Hassanali; Ansted, Glen; Baddeley, Lisa; Bahr, Havard; Bain, Gary; Bonsteel, Brian; Borgen, Henry; Bowden, Daniel; Bowker, Dave; Cameron, Tim; Campbell, Meredith; Cathell, Philip; Chornay, Dennis; Clayton, Robert; Conser, Larry; Davis, Lance; Donohue, Sean; Eilertsen, Leif Jonny; Etheridge, Charles; Graves, Nathan; Haggstrom, Ingemar; Hanssen, Preben; Haugh, Herbert; Helgesen, Espen; Henderson, Jordan; Herseth, Kim Roar; Hickman, John; Jensen, Kent-Goran; Jester, Travis; Johnson, Eric; Johnson, Hunter; Kavanagh, Andrew; King, Max; Knight, David; Laman, Russell; Lankford, Trevor; Lien, Rolf; Lester, Mark; Marsh, Gordon; Martin, Steve; Morris, Norman; Nguyen, Long; Nelson, Richard; Ogundere, Wale; Osbakk, Karl Henning; Page, Dave; Polidan, Joe; Raley, Devon; Raymond, Richard; Robertson, Ellen; Rosanova, Giovanni; Rosnack, Traci; Serabian, Belinda; Simonsen, Roger; Soreng, Jan Arne; Sveen, Jostein; Swanson, Diana; Swift, Robert; Uribe, Paulo; Valentine, Henry; Waters, Frank; West, Libby; Wilson, Tim</t>
  </si>
  <si>
    <t>The Endurance Rocket Mission Gauging Earth's Ambipolar Electric Potential</t>
  </si>
  <si>
    <t>SPACE SCIENCE REVIEWS</t>
  </si>
  <si>
    <t>Ambipolar; Electric fields; Ionosphere; Sounding rocket; Atmospheric escape; Endurance</t>
  </si>
  <si>
    <t>IONOSPHERIC PHOTOELECTRONS; VENUS; ASPERA-4; EXPRESS; FLUXES; FIELDS; WIND; MARS</t>
  </si>
  <si>
    <t>NASA's Endurance sounding rocket (yard No. 47.001) will launch from Ny Alesund, Svalbard in May 2022 on a solid fueled Oriole III-A launch vehicle. Its similar to 19 minute flight will carry it to an altitude of similar to 780 km above Earth's sunlit polar cap. Its objective is to make the first measurement of the weak ambipolar electric field generated by Earth's ionosphere. This field is thought to play a critical role in the upwelling and escape of ionospheric ions, and thus potentially in the evolution of Earth's atmosphere. The results will enable us to determine the importance to ion escape of this previously unmeasured fundamental property of our planet, which will aid in a better understanding of what makes Earth habitable. Endurance will carry six science instruments (with 16 sensors) that will measure the total electrical potential drop below the spacecraft, and the physical parameters required to understand the physics of what generates the ambipolar field. The mission will be supported by simultaneous observations of solar and geomagnetic activity.</t>
  </si>
  <si>
    <t>[Collinson, Glyn; Glocer, Alex; Pfaff, Rob; Breneman, Aaron; Michell, Robert; Cameron, Tim; Martin, Steve; Nguyen, Long; Robertson, Ellen; Rosnack, Traci; Uribe, Paulo] NASA Goddard Space Flight Ctr, Heliophys Sci Div, Greenbelt, MD 20771 USA; [Collinson, Glyn] Catholic Univ Amer, Washington, DC USA; [Collinson, Glyn] G&amp;K Rocket Yards, Criccieth, Gwynedd, Wales; [Breneman, Aaron; Clayton, Robert; Graves, Nathan; Valentine, Henry] Embry Riddle Aeronaut Univ, Daytona Beach, FL USA; [Bissett, Scott; Bowden, Daniel; King, Max; Knight, David; Marsh, Gordon; Ogundere, Wale; West, Libby] NASA Sounding Rocket Program Off, NASA Wallops Flight Facil, Wallops Isl, VA USA; [Blix, Kolbjorn; Bahr, Havard; Borgen, Henry; Eilertsen, Leif Jonny; Hanssen, Preben; Herseth, Kim Roar; Jensen, Kent-Goran; Lien, Rolf; Osbakk, Karl Henning; Simonsen, Roger; Soreng, Jan Arne; Sveen, Jostein] Andoya Space, Andenes, Norway; [Clemmons, Jim; Davis, Lance; Swanson, Diana] Univ New Hampshire, Durham, NH USA; [Eparvier, Francis; Akbari, Hassanali] Univ Colorado, Lab Atmospher &amp; Space Phys, Boulder, CO USA; [Gass, Ted] NASA Wallops Flight Facil, Wallops Isl, VA USA; [Mitchell, David] Univ Calif Berkeley, Space Sci Lab, Berkeley, CA USA; [Imber, Suzie] Univ Leicester, Leicestershire, England; [Ghalib, Ahmed; Ansted, Glen; Bain, Gary; Bonsteel, Brian; Bowker, Dave; Campbell, Meredith; Cathell, Philip; Conser, Larry; Donohue, Sean; Etheridge, Charles; Haugh, Herbert; Henderson, Jordan; Jester, Travis; Johnson, Eric; Johnson, Hunter; Laman, Russell; Lankford, Trevor; Morris, Norman; Nelson, Richard; Page, Dave; Polidan, Joe; Raley, Devon; Raymond, Richard; Rosanova, Giovanni; Serabian, Belinda; Swift, Robert; Waters, Frank; Wilson, Tim] NASA Sounding Rocket Operat Contract, NASA Wallops Flight Facil, Wallops Isl, VA USA; [Baddeley, Lisa] Univ Ctr Svalbard, Longyearbyen, Svalbard; [Haggstrom, Ingemar] EISCAT Headquarters, Kiruna, Sweden; [Helgesen, Espen] Arctic Univ Norway, Longyearbyen, Svalbard; [Kavanagh, Andrew] British Antarctic Survey, Cambridge, England</t>
  </si>
  <si>
    <t>National Aeronautics &amp; Space Administration (NASA); NASA Goddard Space Flight Center; Catholic University of America; Embry-Riddle Aeronautical University; National Aeronautics &amp; Space Administration (NASA); NASA Goddard Space Flight Center; Wallops Flight Facility; University System Of New Hampshire; University of New Hampshire; University of Colorado System; University of Colorado Boulder; National Aeronautics &amp; Space Administration (NASA); NASA Goddard Space Flight Center; Wallops Flight Facility; University of California System; University of California Berkeley; University of Leicester; National Aeronautics &amp; Space Administration (NASA); NASA Goddard Space Flight Center; Wallops Flight Facility; UK Research &amp; Innovation (UKRI); Natural Environment Research Council (NERC); NERC British Antarctic Survey</t>
  </si>
  <si>
    <t>Collinson, G (corresponding author), NASA Goddard Space Flight Ctr, Heliophys Sci Div, Greenbelt, MD 20771 USA.</t>
  </si>
  <si>
    <t>glyn.a.collinson@nasa.gov</t>
  </si>
  <si>
    <t>Lester, Mark/C-9657-2016; Baddeley, Lisa/ABD-4414-2020; Collinson, Glyn/HZK-7390-2023</t>
  </si>
  <si>
    <t>Baddeley, Lisa/0000-0003-1246-0488; Collinson, Glyn/0000-0003-4883-9027; Swanson, Diana/0000-0001-7496-9832</t>
  </si>
  <si>
    <t>NASA's Heliophysics Technology and Instrument Development for Science (HTIDS) program [80NSSC19K1206]; NASA's Sounding Rocket program; STFC [ST/S000429/1, ST/W00089X/1] Funding Source: UKRI</t>
  </si>
  <si>
    <t>NASA's Heliophysics Technology and Instrument Development for Science (HTIDS) program; NASA's Sounding Rocket program; STFC(UK Research &amp; Innovation (UKRI)Science &amp; Technology Facilities Council (STFC))</t>
  </si>
  <si>
    <t>The Endurance Rocket Mission is funded through NASA's Heliophysics Technology and Instrument Development for Science (HTIDS) program (grant No. 80NSSC19K1206) and NASA's Sounding Rocket program. RADAR support for Endurance is funded through the United Kingdom's contribution to the European Incoherant Scatter (EISCAT) Scientific Association.</t>
  </si>
  <si>
    <t>0038-6308</t>
  </si>
  <si>
    <t>1572-9672</t>
  </si>
  <si>
    <t>SPACE SCI REV</t>
  </si>
  <si>
    <t>Space Sci. Rev.</t>
  </si>
  <si>
    <t>10.1007/s11214-022-00908-0</t>
  </si>
  <si>
    <t>2H4FJ</t>
  </si>
  <si>
    <t>WOS:000814252100001</t>
  </si>
  <si>
    <t>Rosa, LH; Ogaki, MB; Lirio, JM; Vieira, R; Coria, SH; Pinto, OHB; Carvalho-Silva, M; Convey, P; Rosa, CA; Câmara, PEAS</t>
  </si>
  <si>
    <t>Rosa, Luiz Henrique; Ogaki, Mayara Baptistucci; Manuel Lirio, Juan; Vieira, Rosemary; Coria, Silvia H.; Bezerra Pinto, Otavio Henrique; Carvalho-Silva, Micheline; Convey, Peter; Rosa, Carlos Augusto; Aguiar Saraiva Camara, Paulo Eduardo</t>
  </si>
  <si>
    <t>Fungal diversity in a sediment core from climate change impacted Boeckella Lake, Hope Bay, north-eastern Antarctic Peninsula assessed using metabarcoding</t>
  </si>
  <si>
    <t>Antarctica; Ecology; Fungi; Extremophile; Taxonomy</t>
  </si>
  <si>
    <t>We studied the fungal DNA present in a lake sediment core obtained from Trinity Peninsula, Hope Bay, north-eastern Antarctic Peninsula, using metabarcoding through high-throughput sequencing (HTS). Sequences obtained were assigned to 146 amplicon sequence variants (ASVs) primarily representing unknown fungi, followed by the phyla Ascomycota, Rozellomycota, Basidiomycota, Chytridiomycota and Mortierellomycota. The most abundant taxa were assigned to Fungal sp., Pseudeurotium hygrophilum, Rozellomycota sp. 1, Pseudeurotiaceae sp. 1 and Chytridiomycota sp. 1. The majority of the DNA reads, representing 40 ASVs, could only be assigned at higher taxonomic levels and may represent taxa not currently included in the sequence databases consulted and/or be previously undescribed fungi. Different sections of the core were characterized by high sequence diversity, richness and moderate ecological dominance indices. The assigned diversity was dominated by cosmopolitan cold-adapted fungi, including known saprotrophic, plant and animal pathogenic and symbiotic taxa. Despite the overall dominance of Ascomycota and Basidiomycota and psychrophilic Mortierellomycota, members of the cryptic phyla Rozellomycota and Chytridiomycota were also detected in abundance. As Boeckella Lake may cease to exist in approaching decades due the effects of local climatic changes, it also an important location for the study of the impacts of these changes on Antarctic microbial diversity.</t>
  </si>
  <si>
    <t>[Rosa, Luiz Henrique; Ogaki, Mayara Baptistucci; Rosa, Carlos Augusto] Univ Fed Minas Gerais, Inst Ciencias Biol, Dept Microbiol, Lab Microbiol Polar &amp; Conexoes Trop, POB 486, BR-31270901 Belo Horizonte, MG, Brazil; [Manuel Lirio, Juan; Coria, Silvia H.] Inst Antartico Argentino, Buenos Aires, DF, Argentina; [Vieira, Rosemary] Univ Fed Fluminense, Inst Geociencias, Niteroi, RJ, Brazil; [Bezerra Pinto, Otavio Henrique] Univ Brasilia, Dept Biol Celular, Brasilia, DF, Brazil; [Carvalho-Silva, Micheline; Aguiar Saraiva Camara, Paulo Eduardo] Univ Brasilia, Dept Bot, Brasilia, DF, Brazil; [Convey, Peter] British Antarctic Survey, NERC, Madingley Rd, Cambridge CB3 0ET, England; [Convey, Peter] Univ Johannesburg, Dept Zool, POB 524, ZA-2006 Auckland Pk, South Africa</t>
  </si>
  <si>
    <t>Universidade Federal de Minas Gerais; Instituto Antartico Argentino; Universidade Federal Fluminense; Universidade de Brasilia; Universidade de Brasilia; UK Research &amp; Innovation (UKRI); Natural Environment Research Council (NERC); NERC British Antarctic Survey; University of Johannesburg</t>
  </si>
  <si>
    <t>Convey, Peter/AAV-5728-2020; Camara, Paulo/GPP-2054-2022</t>
  </si>
  <si>
    <t>Convey, Peter/0000-0001-8497-9903; Camara, Paulo/0000-0002-3944-996X; Vieira, Rosemary/0000-0003-0312-2890; Pinto, Otavio/0000-0002-8382-2987</t>
  </si>
  <si>
    <t>CNPq; CAPES; FAPEMIG; FNDCT; INCT Criosfera; PROANTAR; NERC core funding; Instituto Antartico Argentino</t>
  </si>
  <si>
    <t>CNPq(Conselho Nacional de Desenvolvimento Cientifico e Tecnologico (CNPQ)); CAPES(Coordenacao de Aperfeicoamento de Pessoal de Nivel Superior (CAPES)); FAPEMIG(Fundacao de Amparo a Pesquisa do Estado de Minas Gerais (FAPEMIG)); FNDCT; INCT Criosfera; PROANTAR; NERC core funding; Instituto Antartico Argentino</t>
  </si>
  <si>
    <t>This study received financial support from CNPq, CAPES, FNDCT, FAPEMIG, INCT Criosfera, PROANTAR. P. Convey is supported by NERC core funding to the British Antarctic Survey's 'Biodiversity, Evolution and Adaptation' Team. We thank the Instituto Antartico Argentino for logistical and financial support for the field campaigns in Antarctica during summers 2018 and 2019, Marie Bulinova and Patricia Ader for their help in the field.</t>
  </si>
  <si>
    <t>10.1007/s00792-022-01264-1</t>
  </si>
  <si>
    <t>0X6RY</t>
  </si>
  <si>
    <t>WOS:000789832200001</t>
  </si>
  <si>
    <t>Monteath, A; Hughes, P; Cooper, M; Groff, D; Scaife, R; Hodgson, D</t>
  </si>
  <si>
    <t>Monteath, Alistair; Hughes, Paul; Cooper, Matthew; Groff, Dulcinea; Scaife, Rob; Hodgson, Dominic</t>
  </si>
  <si>
    <t>Late glacial-Holocene record of Southern Hemisphere westerly wind dynamics from the Falkland Islands, South Atlantic Ocean</t>
  </si>
  <si>
    <t>GEOLOGY</t>
  </si>
  <si>
    <t>CLIMATE; VEGETATION; LATITUDES; PATAGONIA; LINKS</t>
  </si>
  <si>
    <t>The Southern Hemisphere westerly wind belt (SHWW) is a major feature of Southern Hemisphere, midlatitude climate that is closely linked with the sequestration and release of CO2 in the Southern Ocean. Past changes in the strength and position of this wind belt are poorly resolved, particularly across the Pleistocene-Holocene transition, a time period associated with fluctuations in atmospheric temperatures and CO2 levels. We used dust geochemistry, particle size measurements, and paleoecological analyses from a peat sequence in the Falkland Islands, South Atlantic Ocean, to describe changes in the SHWW between 16.0 and 6.5 ka (thousands of years before CE 1950). Wind strength was low at similar to 51 degrees S before and during the Antarctic Cold Reversal (ACR, 14.9-13.0 ka), intensified between 13.1 and 12.1 ka as atmospheric temperatures increased, and then weakened, reaching a minimum between 12.1 and 10.9 ka during the Early Holocene thermal maximum. Northwesterly air masses became more dominant from 12.0 to 10.2 ka, and wind strength remained low until our record was affected by a storm surge or tsunami ca. 7.8 ka. These data indicate a southward shift in the latitude of the SHWW, from north of 51 degrees S prior to and during the ACR, at similar to 51 degrees S before the onset of the Holocene, and south of 51 degrees S during the early Holocene thermal maximum. This pattern suggests that the latitude of the SHWW was coupled with atmospheric temperatures through the Pleistocene-Holocene transition.</t>
  </si>
  <si>
    <t>[Monteath, Alistair] Univ Alberta, Dept Earth &amp; Atmospher Sci, Edmonton, AB T6G 2R3, Canada; [Monteath, Alistair; Hughes, Paul; Scaife, Rob] Univ Southampton, Geog &amp; Environm Sci, Southampton SO17 1BJ, Hants, England; [Cooper, Matthew] Natl Oceanog Ctr, Sch Ocean &amp; Earth Sci, Southampton SO14 3ZH, Hants, England; [Groff, Dulcinea] Univ Wyoming, Dept Geol &amp; Geophys, Laramie, WY 82071 USA; [Hodgson, Dominic] British Antarctic Survey, Nat Environm Res Council, Cambridge CB3 0ET, England; [Hodgson, Dominic] Univ Durham, Dept Geog, Durham DH1 3LE, England</t>
  </si>
  <si>
    <t>University of Alberta; University of Southampton; NERC National Oceanography Centre; University of Wyoming; UK Research &amp; Innovation (UKRI); Natural Environment Research Council (NERC); NERC British Antarctic Survey; Durham University</t>
  </si>
  <si>
    <t>Monteath, A (corresponding author), Univ Alberta, Dept Earth &amp; Atmospher Sci, Edmonton, AB T6G 2R3, Canada.;Monteath, A (corresponding author), Univ Southampton, Geog &amp; Environm Sci, Southampton SO17 1BJ, Hants, England.</t>
  </si>
  <si>
    <t>ali.monteath@ualberta.ca</t>
  </si>
  <si>
    <t>Groff, Dulcinea V/GPX-3882-2022</t>
  </si>
  <si>
    <t>Groff, Dulcinea V/0000-0002-8793-744X; Hughes, Paul/0000-0002-8447-382X</t>
  </si>
  <si>
    <t>Quaternary Research Association (QRA) Research Fund grant; NERC [NE/K004514/1] Funding Source: UKRI</t>
  </si>
  <si>
    <t>Quaternary Research Association (QRA) Research Fund grant; NERC(UK Research &amp; Innovation (UKRI)Natural Environment Research Council (NERC))</t>
  </si>
  <si>
    <t>We thank A. Long, M. Bentley, and P. Stone for access to the Hooker's Point peat core. The Shackleton Trust and the Falkland Islands Department of Mineral Resources supported our field work. D. McCarthy made geologic mapping available. The U.S. National Institute of Standards and Technology (NIST) standard was purchased with a Quaternary Research Association (QRA) Research Fund grant. P. Morgan ran additional X-ray fluorescence analyses. S. Roberts, M. Edwards, and two anonymous reviewers commented on an earlier manuscript.</t>
  </si>
  <si>
    <t>0091-7613</t>
  </si>
  <si>
    <t>1943-2682</t>
  </si>
  <si>
    <t>10.1130/G49805.1</t>
  </si>
  <si>
    <t>3O6KK</t>
  </si>
  <si>
    <t>WOS:000836943800002</t>
  </si>
  <si>
    <t>Zhou, YX; McManus, J</t>
  </si>
  <si>
    <t>Zhou, Yuxin; McManus, Jerry</t>
  </si>
  <si>
    <t>Extensive evidence for a last interglacial Laurentide outburst (LILO) event</t>
  </si>
  <si>
    <t>ATLANTIC DEEP-WATER; NORTH-ATLANTIC; DEGLACIATION; CIRCULATION; OCEAN</t>
  </si>
  <si>
    <t>A catastrophic last interglacial Laurentide outburst (LILO) event approximately 125,000 years ago (125 ka) may have contributed to abrupt climate change during the last interglacial. It has been proposed that this event was an analog of the Holocene 8.2 ka event. We characterize in detail the (1) provenance, (2) timing, and (3) delivery mechanism of a layer of red sediments deposited across much of the northwestern Atlantic Ocean at 125 ka. Our observations provide strong support for the occurrence of a LILO event that was analogous to the 8.2 ka event in all three aspects, and likely surpassed it in magnitude. The freshwater discharge associated with the 125 ka LILO event may explain a series of abrupt global changes, including a reduction of the North Atlantic Deep Water and reinvigoration of the Antarctic Bottom Water. Our findings suggest that the mechanism that triggered the LILO event may be an integral part of the deglacial sequence of events, during which the final collapse of the contiguous Laurentide Ice Sheet took place 3.5???4 k.y. after full interglacial temperature was reached in the middle and high northern latitudes.</t>
  </si>
  <si>
    <t>[Zhou, Yuxin; McManus, Jerry] Columbia Univ, Lamont Doherty Earth Observ, Palisades, NY 10964 USA</t>
  </si>
  <si>
    <t>Zhou, YX (corresponding author), Columbia Univ, Lamont Doherty Earth Observ, Palisades, NY 10964 USA.</t>
  </si>
  <si>
    <t>Zhou, Yuxin/AGX-7253-2022</t>
  </si>
  <si>
    <t>Zhou, Yuxin/0000-0002-3523-8524; mcmanus, jerry/0000-0002-7365-1600</t>
  </si>
  <si>
    <t>IODP Schlanger Fellowship; U.S. National Science Foundation [AGS 16-35019]; Gary Comer Family Foundation (Chicago, Illinois, USA) Abrupt Climate Change Fellowship; Columbia University Climate Center (New York, USA)</t>
  </si>
  <si>
    <t>IODP Schlanger Fellowship; U.S. National Science Foundation(National Science Foundation (NSF)); Gary Comer Family Foundation (Chicago, Illinois, USA) Abrupt Climate Change Fellowship; Columbia University Climate Center (New York, USA)</t>
  </si>
  <si>
    <t>We thank Julia Gottschalk and Sid Hemming for discussions that led to this project. We thank Kassandra M. Costa for sharing the core EW37JPC XRF data, and James E.T. Channell for sharing data from Ocean Drilling Program Site 1063. This research used samples and/or data provided by the International Ocean Discovery Program (IODP). Y. Zhou acknowledges the support from the IODP Schlanger Fellowship. This research was funded in part by U.S. National Science Foundation grant AGS 16-35019 to J. McManus, with additional support from the Gary Comer Family Foundation (Chicago, Illinois, USA) Abrupt Climate Change Fellowship, and the Columbia University Climate Center (New York, USA). We thank Lev Tarasov and an anonymous reviewer for comments that greatly improved the manuscript.</t>
  </si>
  <si>
    <t>10.1130/G49956.1</t>
  </si>
  <si>
    <t>WOS:000836943800006</t>
  </si>
  <si>
    <t>Gao, C; Liang, YT; Jiang, Y; Paez-Espino, D; Han, MAX; Gu, CX; Wang, MW; Yang, YM; Liu, FJ; Yang, QW; Gong, Z; Zhang, XR; Luo, ZX; He, H; Guo, C; Shao, HB; Zhou, C; Shi, Y; Xin, Y; Xing, JY; Tang, XX; Qin, QL; Zhang, YZ; He, JF; Jiao, NZ; McMinn, A; Tian, JW; Suttle, CA; Wang, M</t>
  </si>
  <si>
    <t>Gao, Chen; Liang, Yantao; Jiang, Yong; Paez-Espino, David; Han, Meiaoxue; Gu, Chengxiang; Wang, Meiwen; Yang, Yumei; Liu, Fengjiao; Yang, Qingwei; Gong, Zheng; Zhang, Xinran; Luo, Zhixiang; He, Hui; Guo, Cui; Shao, Hongbing; Zhou, Chun; Shi, Yang; Xin, Yu; Xing, Jinyan; Tang, Xuexi; Qin, Qilong; Zhang, Yu-Zhong; He, Jianfeng; Jiao, Nianzhi; McMinn, Andrew; Tian, Jiwei; Suttle, Curtis A.; Wang, Min</t>
  </si>
  <si>
    <t>Virioplankton assemblages from challenger deep, the deepest place in the oceans</t>
  </si>
  <si>
    <t>ISCIENCE</t>
  </si>
  <si>
    <t>LYTIC VIRAL PRODUCTION; MARIANA TRENCH; GENOMIC ANALYSIS; ORGANIC-MATTER; MARINE VIRUSES; DNA; ALIGNMENT; SEQUENCE; PROTEIN; PHAGE</t>
  </si>
  <si>
    <t>Hadal ocean biosphere, that is, the deepest part of the world's oceans, harbors a unique microbial community, suggesting a potential uncovered co- occurring virioplankton assemblage. Herein, we reveal the unique virioplankton assemblages of the Challenger Deep, comprising 95,813 non-redundant viral contigs from the surface to the hadal zone. Almost all of the dominant viral contigs in the hadal zone were unclassified, potentially related to Alteromonadales and Oceanospirillales. 2,586 viral auxiliary metabolic genes from 132 different KEGG orthologous groups were mainly related to the carbon, nitrogen, sulfur, and arsenic metabolism. Lysogenic viral production and integrase genes were augmented in the hadal zone, suggesting the prevalence of viral lysogenic life strategy. Abundant rve genes in the hadal zone, which function as transposase in the caudoviruses, further suggest the prevalence of viral-mediated horizontal gene transfer. This study provides fundamental insights into the virioplankton assemblages of the hadal zone, reinforcing the necessity of incorporating virioplankton into the hadal biogeochemical cycles.</t>
  </si>
  <si>
    <t>[Gao, Chen; Liang, Yantao; Jiang, Yong; Han, Meiaoxue; Gu, Chengxiang; Wang, Meiwen; Yang, Qingwei; Gong, Zheng; Zhang, Xinran; Luo, Zhixiang; He, Hui; Guo, Cui; Shao, Hongbing; Tang, Xuexi; Qin, Qilong; Zhang, Yu-Zhong; McMinn, Andrew; Wang, Min] Ocean Univ China, Inst Evolut &amp; Marine Biodivers, Coll Marine Life Sci, Frontiers Sci Ctr Deep Ocean Multispheres &amp; Earth, Qingdao 266003, Peoples R China; [Gao, Chen; Liang, Yantao; Jiang, Yong; Han, Meiaoxue; Gu, Chengxiang; Wang, Meiwen; Yang, Qingwei; Gong, Zheng; Zhang, Xinran; Luo, Zhixiang; He, Hui; Guo, Cui; Shao, Hongbing; Wang, Min] UMT, OUC Joint Ctr Marine Studies, Qingdao 266003, Peoples R China; [Paez-Espino, David] Lawrence Berkeley Natl Lab, DOE Joint Genome Inst, Berkeley, CA USA; [Paez-Espino, David] Mammoth Biosci Inc, South San Francisco, CA USA; [Yang, Yumei] Inquire Life Diagnost Inc, Xian 710100, Peoples R China; [Liu, Fengjiao; Xing, Jinyan; Wang, Min] Qingdao Univ, Affiliated Hosp, Qingdao 266000, Peoples R China; [Zhou, Chun; Shi, Yang] Ocean Univ China, Frontiers Sci Ctr Deep Ocean Multispheres &amp; Earth, Key Lab Phys Oceanog, Minist Educ, Qingdao 266100, Peoples R China; [Xin, Yu] Ocean Univ China, Inst Adv Ocean Study, Key Lab Marine Chem Theory &amp; Technol, Minist Educ, Qingdao 266100, Peoples R China; [Qin, Qilong; Zhang, Yu-Zhong] Shandong Univ, Marine Biotechnol Res Ctr, State Key Lab Microbial Technol, Qingdao 266237, Peoples R China; [He, Jianfeng] Polar Res Inst China, SOA Key Lab Polar Sci, Shanghai 200136, Peoples R China; [Jiao, Nianzhi] Xiamen Univ, Inst Marine Microbes &amp; Ecospheres, State Key Lab Marine Environm Sci, Xiamen 361005, Fujian, Peoples R China; [McMinn, Andrew] Univ Tasmania, Inst Marine &amp; Antarctic Studies, Hobart, Tas 7001, Australia; [Tian, Jiwei] Pilot Natl Lab Marine Sci &amp; Technol, Lab Ocean &amp; Climate Dynam, Qingdao, Peoples R China; [Suttle, Curtis A.] Univ British Columbia, Microbiol &amp; Immunol &amp; Bot &amp; Inst Oceans &amp; Fisherie, Dept Earth Ocean &amp; Atmospher Sci, Vancouver, BC V6T 1Z4, Canada</t>
  </si>
  <si>
    <t>Ocean University of China; United States Department of Energy (DOE); Lawrence Berkeley National Laboratory; Qingdao University; Ocean University of China; Ocean University of China; Shandong University; Polar Research Institute of China; Xiamen University; University of Tasmania; Laoshan Laboratory; University of British Columbia</t>
  </si>
  <si>
    <t>Liang, YT; Wang, M (corresponding author), Ocean Univ China, Inst Evolut &amp; Marine Biodivers, Coll Marine Life Sci, Frontiers Sci Ctr Deep Ocean Multispheres &amp; Earth, Qingdao 266003, Peoples R China.;Liang, YT; Wang, M (corresponding author), UMT, OUC Joint Ctr Marine Studies, Qingdao 266003, Peoples R China.;Wang, M (corresponding author), Qingdao Univ, Affiliated Hosp, Qingdao 266000, Peoples R China.;Tian, JW (corresponding author), Pilot Natl Lab Marine Sci &amp; Technol, Lab Ocean &amp; Climate Dynam, Qingdao, Peoples R China.;Suttle, CA (corresponding author), Univ British Columbia, Microbiol &amp; Immunol &amp; Bot &amp; Inst Oceans &amp; Fisherie, Dept Earth Ocean &amp; Atmospher Sci, Vancouver, BC V6T 1Z4, Canada.</t>
  </si>
  <si>
    <t>liangyantao@ouc.edu.cn; tianjw@ouc.edu.cn; suttle@science.ubc.ca; mingwang@ouc.edu.cn</t>
  </si>
  <si>
    <t>Tian, Jiwei/AAH-4331-2020; gu, chengxiang/ABA-7780-2021; 李, 嘉馨/IWM-4023-2023; Liu, Donghua/KEJ-1974-2024; Zhang, Lijun/JEZ-7925-2023; Yang, Fei/JLM-3367-2023; li, zhang/JHV-1750-2023; Zhao, Yi/JFA-7988-2023; Wang, meiwen/IXN-2116-2023; li, chunlin/KFS-0761-2024; Wang, YUJIE/JXY-8442-2024; yang, yun/IZE-1092-2023; li, wei/IUQ-2973-2023; Zhang, Wenbin/JXX-8070-2024; qi, li/JFE-7167-2023; Yang, Ying/ADL-4165-2022; ZHOU, YUE/IZE-6277-2023; Wang, Junzhe/KCK-4991-2024; Liu, Yixuan/JFJ-2820-2023; Gao, Chen/AAT-5126-2021; Wang, Luyao/JLL-2001-2023; peng, yan/JCO-1763-2023; Wang, Min/AFR-9645-2022; Wang, Tianqi/JJD-7473-2023; wang, zhiwen/JDV-9990-2023; Li, Yan/JRW-0176-2023; Wang, Guang/JFS-8374-2023; zhang, yimeng/JLL-7337-2023; Wang, Yitong/KBA-1959-2024; liu, lingling/IUQ-7478-2023</t>
  </si>
  <si>
    <t>Tian, Jiwei/0000-0002-1485-7465; Liu, Donghua/0000-0002-5830-9540; Yang, Ying/0000-0002-3469-7681; Gao, Chen/0000-0001-9892-7928; Wang, Min/0000-0002-2357-589X; liang, yan tao/0000-0002-2477-8197</t>
  </si>
  <si>
    <t>Natural Science Foundation of China, China [41976117, 42120104006, 42176111, 42188102]; Fundamental Research Funds for the Central Universities, China [202072002, 201812002, 201762017, 201562018]</t>
  </si>
  <si>
    <t>Natural Science Foundation of China, China(National Natural Science Foundation of China (NSFC)); Fundamental Research Funds for the Central Universities, China(Fundamental Research Funds for the Central Universities)</t>
  </si>
  <si>
    <t>We sincerely appreciate the captain and the crews of the R/V Dong Fang Hong two during the spring 2016 west Pacific cruise. We also thank Hongtao Chen for the collection of the environmental factor metadata, as well as Qilong Qin for the supply of microbial metagenomes for the same cruise. We finally thank for the support of high-performance server of Center for High -Performance Computing and System Simulation, Pilot National Laboratory for Marine Science and Technology (Qingdao) , and the computing resources provided by IEMB-1, a high-performance computation cluster operated by the Institute of Evolution and Ma-rine Biodiversity (China) , and Marine Big Data Center of Institute for Advanced Ocean Study of Ocean University of China (China) . This study was supported by the Natural Science Foundation of China, China (No. 41976117, 42120104006, 42176111, and 42188102) , and the Fundamental Research Funds for the Central Universities, China (202072002, 201812002, 201762017, and 201562018) .</t>
  </si>
  <si>
    <t>2589-0042</t>
  </si>
  <si>
    <t>iScience</t>
  </si>
  <si>
    <t>10.1016/j.isci.2022.104680</t>
  </si>
  <si>
    <t>JUL 2022</t>
  </si>
  <si>
    <t>5A9EL</t>
  </si>
  <si>
    <t>WOS:000863182200003</t>
  </si>
  <si>
    <t>Riley, TR; Carter, A; Burton-Johnson, A; Leat, PT; Hogan, KA; Bown, PR</t>
  </si>
  <si>
    <t>Riley, Teal R.; Carter, Andrew; Burton-Johnson, Alex; Leat, Philip T.; Hogan, Kelly A.; Bown, Paul R.</t>
  </si>
  <si>
    <t>Crustal block origins of the South Scotia Ridge</t>
  </si>
  <si>
    <t>TERRA NOVA</t>
  </si>
  <si>
    <t>ANTARCTIC PLATE BOUNDARY; EVOLUTION; AGE; MICROCONTINENT; HISTORY; COMPLEX</t>
  </si>
  <si>
    <t>The Cenozoic development of the Scotia Sea and opening of Drake Passage evolved in a complex tectonic setting with sea-floor spreading accompanied by the dispersal of continental fragments and the creation of rifted oceanic basins. The post-Eocene tectonic setting of the Scotia Sea is relatively well established, but Late Mesozoic palaeo-locations of many continental fragments prior to dispersal are largely unknown, with almost no geological control on the submerged banks. Detrital zircon analysis of dredged metasedimentary rocks of Bruce Bank from the South Scotia Ridge demonstrates a geological continuity with the South Orkney microcontinent (SOM) and also a clear geological affinity with the Trinity Peninsula Group metasedimentary rocks of the Antarctic Peninsula and components of the Cordillera Darwin Metamorphic Complex of Tierra del Fuego. Kinematic modelling indicates an Antarctic Plate origin for Bruce Bank and the SOM is the most plausible setting, prior to translation to the Scotia Plate during Scotia Sea opening.</t>
  </si>
  <si>
    <t>[Riley, Teal R.; Burton-Johnson, Alex; Leat, Philip T.; Hogan, Kelly A.] British Antarctic Survey, Cambridge CB3 0ET, England; [Carter, Andrew] Birkbeck Univ London, London, England; [Leat, Philip T.] Univ Leicester, Leicester, Leics, England; [Bown, Paul R.] UCL, London, England</t>
  </si>
  <si>
    <t>UK Research &amp; Innovation (UKRI); Natural Environment Research Council (NERC); NERC British Antarctic Survey; University of London; Birkbeck University London; University of Leicester; University of London; University College London</t>
  </si>
  <si>
    <t>Riley, TR (corresponding author), British Antarctic Survey, Cambridge CB3 0ET, England.</t>
  </si>
  <si>
    <t>trr@bas.ac.uk</t>
  </si>
  <si>
    <t>Carter, Andrew/C-1371-2008; Bown, Paul/C-5235-2011</t>
  </si>
  <si>
    <t>Carter, Andrew/0000-0002-0090-5868; Riley, Teal/0000-0002-3333-5021; Bown, Paul/0000-0001-6777-4463</t>
  </si>
  <si>
    <t>0954-4879</t>
  </si>
  <si>
    <t>1365-3121</t>
  </si>
  <si>
    <t>Terr. Nova</t>
  </si>
  <si>
    <t>10.1111/ter.12613</t>
  </si>
  <si>
    <t>5X4AE</t>
  </si>
  <si>
    <t>WOS:000833593300001</t>
  </si>
  <si>
    <t>Lin, SY; Zhao, L; Feng, JL</t>
  </si>
  <si>
    <t>Lin, Shiying; Zhao, Liang; Feng, Jianlong</t>
  </si>
  <si>
    <t>Predicted changes in the distribution of Antarctic krill in the Cosmonaut Sea under future climate change scenarios</t>
  </si>
  <si>
    <t>Krill; Climate change; Cosmonaut Sea; MaxEnt; CMIP6</t>
  </si>
  <si>
    <t>EUPHAUSIA-SUPERBA DANA; FISHERIES; ULTRAVIOLET; MANAGEMENT; ABUNDANCE; ECOSYSTEM; IMPACTS; FOOD</t>
  </si>
  <si>
    <t>Antarctic krill (Euphausia superba) are the key species of the ecological system in the Cosmonaut Sea. Long-term habitat alterations in krill due to climate change have been considered in recent decades. However, there is still a lack understanding about krill distribution. The MaxEnt model was used to forecast the suitable distribution area of krill for this study, which is based on data from the Coupled Model Intercomparison Project in its sixth phase (CMIP6) in the near future and far future. A total of 145 occurrence points and 15 environmental factors were selected to build the MaxEnt model. The current suitable habitat regions for krill were mostly detected in the western and central regions of the Cosmonaut Sea, which accounted for 10.07% of the total area. The most important environmental variables that influenced krill distribution were minimum surface solar radiation downward (ssrdmin), the mean temperature (tem) and the mean northward velocity (v). In the near future and far future, the suitable area of krill was seen to decline under all shared socioeconomic pathways (SSPs), with the smallest reduction under SSP1-2.6 and the greatest reduction under SSP5-8.5. The suitable area for krill dropped quicker from the near future to the far future than the present to the near future. Krill habitats were expected to shift to the poles. The tem continued to rise in the future under all SSP scenarios, particularly under the high radiative forcing scenario. The increase in water temperature is the main reason for the decrease in suitable areas for Antarctic krill. Our results show the future distribution of krill in the future and provide a reasonable reference for the ecological protection policy of the Cosmonaut Sea.</t>
  </si>
  <si>
    <t>[Lin, Shiying; Zhao, Liang; Feng, Jianlong] Tianjin Univ Sci &amp; Technol, Key Lab Marine Resource Chem &amp; Food Technol TUST, Tianjin 300457, Peoples R China; [Feng, Jianlong] Pilot Natl Lab Marine Sci &amp; Technol Qingdao, Qingdao 266299, Peoples R China; [Lin, Shiying; Zhao, Liang] Tianjin Univ Sci &amp; Technol, Coll Marine &amp; Environm Sci, Tianjin 300457, Peoples R China</t>
  </si>
  <si>
    <t>Tianjin University Science &amp; Technology; Laoshan Laboratory; Tianjin University Science &amp; Technology</t>
  </si>
  <si>
    <t>Feng, JL (corresponding author), Tianjin Univ Sci &amp; Technol, Key Lab Marine Resource Chem &amp; Food Technol TUST, Tianjin 300457, Peoples R China.</t>
  </si>
  <si>
    <t>fjl181988@tust.edu.cn</t>
  </si>
  <si>
    <t>Wang, Xingyi/KHT-7171-2024</t>
  </si>
  <si>
    <t>Marine S&amp;T Fund of Shandong Province for Pilot National Laboratory for Marine Science and Technology (Qingdao) [2022QNLM030002-1, RFSOCC2020-2022-No.18]; National Science Foundation of China [42176198]</t>
  </si>
  <si>
    <t>Marine S&amp;T Fund of Shandong Province for Pilot National Laboratory for Marine Science and Technology (Qingdao); National Science Foundation of China(National Natural Science Foundation of China (NSFC))</t>
  </si>
  <si>
    <t>This study was supported by the Marine S&amp;T Fund of Shandong Province for Pilot National Laboratory for Marine Science and Technology (Qingdao) (No. 2022QNLM030002-1), impact and response of Antarctic seas to climate change under contract RFSOCC2020-2022-No.18, and National Science Foundation of China (42176198).</t>
  </si>
  <si>
    <t>10.1016/j.ecolind.2022.109234</t>
  </si>
  <si>
    <t>5R4JL</t>
  </si>
  <si>
    <t>WOS:000874478300030</t>
  </si>
  <si>
    <t>Krueck, NC; Tong, C; Cox, C; Treml, EA; Critchell, K; Chollett, I; Adhuri, DS; Beger, M; Muenzel, D; Holstein, D; Campbell, SJ; Jakub, R</t>
  </si>
  <si>
    <t>Krueck, Nils C.; Tong, Colm; Cox, Courtney; Treml, Eric A.; Critchell, Kay; Chollett, Iliana; Adhuri, Dedi S.; Beger, Maria; Muenzel, Dominic; Holstein, Daniel; Campbell, Stuart J.; Jakub, Raymond</t>
  </si>
  <si>
    <t>Benefits of measurable population connectivity metrics for area-based marine management</t>
  </si>
  <si>
    <t>Larval dispersal; Marine spatial planning; Marine conservation; Fisheries management; Marine protected areas; MPAs; Marine reserves; Multiple objectives; Population connectivity; Environmental decision making; Trade-off analysis; Decision support</t>
  </si>
  <si>
    <t>REEF FISH POPULATIONS; PROTECTED AREAS; CLIMATE-CHANGE; LARVAL CONNECTIVITY; HUMAN DIMENSIONS; LARGE-SCALE; CONSERVATION; RESERVES; FISHERIES; DISPERSAL</t>
  </si>
  <si>
    <t>The dispersal of larvae by ocean currents is likely to represent an increasingly important driver of marine population dynamics across fragmented habitats. A boost in availability of larval dispersal data from biophysical simulations has therefore led to routine calculations of population connectivity metrics that are used for area-based management decision support, including the placement of Marine Protected Areas (MPAs). However, connectivity-based decision support for area-based management is often complex, highly uncertain, and the associated conservation impact rarely if ever evaluated. In combination, these challenges risk stakeholder engagement, compliance, and overall management effectiveness. Here we use a case study representing multiple key fishery species on coral reefs in Indonesia to demonstrate that consideration of larval dispersal for MPA placement decision support could be critical to recover both fish populations and fisheries from depletion, thereby mitigating potentially severe impacts on coastal communities. Importantly, we further show that MPA placement decisions can be effective even if based on comparatively simple and empirically measurable dispersal characteristics. Maximizing larval export, expressed as the contribution of larvae from MPA candidate sites to total larval settlement in surrounding areas, for example, was found to be a broadly beneficial MPA placement prioritization approach. Across investigated fish families with diverse life histories, this strategy resulted in MPA network designs that increased catches by a factor of 1.3 +/- 0.3 (mean + SD) and total fish biomass by a factor of 3.2 +/- 0.3 (9.7 +/- 1.2 in no-fishing areas and 1.4 +/- 0.3 in fished areas) compared to conditions without effectively managed or protected areas. Our findings are relevant for both the implementation and impact evaluation of global marine conservation policies, specifically in tropical biodiversity hotspots, such as Indonesia, where coral reefs are often overfished and increasingly threatened but local communities highly dependent on sustainable fisheries.</t>
  </si>
  <si>
    <t>[Krueck, Nils C.; Tong, Colm] Univ Tasmania, Inst Marine &amp; Antarctic Studies, Hobart, Tas, Australia; [Tong, Colm] Univ Queensland, Sch Biol Sci, Brisbane, Qld, Australia; [Cox, Courtney] Rare Int Ltd, 1310 N Courthouse Rd Ste 110, Arlington, VA 22201 USA; [Treml, Eric A.; Critchell, Kay] Deakin Univ, Sch Life &amp; Environm Sci, Waurn Ponds, Vic, Australia; [Treml, Eric A.; Critchell, Kay] Deakin Univ, Ctr Integrat Ecol, Waurn Ponds, Vic, Australia; [Chollett, Iliana] Sea Cottage, Louisburgh, Co Mayo, Ireland; [Adhuri, Dedi S.] Natl Agcy Res &amp; Innovat, Res Ctr Soc &amp; Culture, Jakarta, Indonesia; [Beger, Maria; Muenzel, Dominic] Univ Leeds, Sch Biol, Leeds, W Yorkshire, England; [Beger, Maria] Univ Queensland, Sch Biol Sci, Ctr Biodivers &amp; Conservat Sci, Brisbane, Qld 4072, Australia; [Holstein, Daniel] Louisiana State Univ, Dept Oceanog &amp; Coastal Sci, Baton Rouge, LA 70803 USA; [Campbell, Stuart J.; Jakub, Raymond] Rare Indonesia, Jl Gunung Gede I 6, Kota Bogor 16153, Jawa Barat, Indonesia</t>
  </si>
  <si>
    <t>University of Tasmania; University of Queensland; Deakin University; Deakin University; University of Leeds; University of Queensland; Louisiana State University System; Louisiana State University</t>
  </si>
  <si>
    <t>Krueck, NC (corresponding author), IMAS Taroona, Private Bag 49, Hobart, Tas 7001, Australia.</t>
  </si>
  <si>
    <t>nils.krueck@utas.edu.au</t>
  </si>
  <si>
    <t>Beger, Maria/ABC-5975-2022; Adhuri, Dedi S/JVP-0852-2024; Critchell, Kay/E-3150-2017; Treml, Eric A/C-7580-2013</t>
  </si>
  <si>
    <t>Beger, Maria/0000-0003-1363-3571; Critchell, Kay/0000-0003-0599-2355; Treml, Eric A/0000-0003-4844-4420; Muenzel, Dominic/0000-0002-7158-7748; Holstein, Daniel/0000-0002-9933-833X; Cox, Courtney/0000-0002-4344-001X</t>
  </si>
  <si>
    <t>Rare's Fish Forever Program</t>
  </si>
  <si>
    <t>This work was supported by Rare's Fish Forever Program.</t>
  </si>
  <si>
    <t>10.1016/j.marpol.2022.105210</t>
  </si>
  <si>
    <t>4D6AZ</t>
  </si>
  <si>
    <t>WOS:000847222900002</t>
  </si>
  <si>
    <t>Houghton, M; Terauds, A; Shaw, J</t>
  </si>
  <si>
    <t>Houghton, Melissa; Terauds, Aleks; Shaw, Justine</t>
  </si>
  <si>
    <t>Rapid range expansion of an invasive flatworm, Kontikia andersoni, on sub-Antarctic Macquarie Island</t>
  </si>
  <si>
    <t>Platyhelminthes; Geoplanidae; Terrestrial crustacea; Biosecurity; Invasion; Land planarian</t>
  </si>
  <si>
    <t>NEW-ZEALAND FLATWORM; CLIMATE-CHANGE; EARTHWORM POPULATIONS; INTRODUCED PREDATORS; STATISTICAL-MODELS; ALIEN; INVERTEBRATES; CONSERVATION; CONSEQUENCES; DISPERSAL</t>
  </si>
  <si>
    <t>Spanning the Southern Ocean high latitudes, Sub-Antarctic islands are protected areas with high conservation values. Despite the remoteness of these islands, non-native species threaten native species and ecosystem function. The most ubiquitous and speciose group of non-native species in the region are invertebrates. Due to their cryptic habits and ambiguous establishment history, the impacts of non-native invertebrates on native species and ecosystems in the region remains largely unknown. Understanding how non-native invertebrate species are transported, disperse, establish and colonise new habitats is key to understanding their existing and future impacts. This research is fundamental to improving biosecurity practise and informing future management of Southern Ocean islands. We undertook invertebrate surveys on Macquarie Island to determine the current status of four non-native macro-invertebrates-Kontikia andersoni and Arthurdendyus vegrandis (Platyhelminthes: Geoplanidae), Styloniscus otakensis (Isopoda: Styloniscidae) and Puhuruhuru patersoni (Amphipoda: Talitridae). Arthurdendyus vergrandis was not intercepted in our surveys, while we found S. otakensis and P. patersoni had not expanded their range. In contrast, K. andersoni has more than doubled its previously mapped area and expanded at a rate of similar to 500 m-yr since 2004. We discuss the possible underlying mechanisms for the dramatic range expansion of K. andersoni and consider the implications for the future management of Macquarie Island.</t>
  </si>
  <si>
    <t>[Houghton, Melissa] Nat Resources &amp; Environm Tasmania, 13 St Johns Ave, New Town, Tas 7008, Australia; [Houghton, Melissa] Univ Queensland, Ctr Biodivers &amp; Conservat Sci, Brisbane, Qld 4072, Australia; [Terauds, Aleks; Shaw, Justine] Australian Antarctic Div, Dept Climate Change Energy &amp; Environm, 201 Channel Highway, Kingston, Tas 7050, Australia; [Shaw, Justine] Queensland Univ Technol, Sch Biol &amp; Environm Sci, 2 George St, Brisbane, Qld 4000, Australia</t>
  </si>
  <si>
    <t>University of Queensland; Australian Antarctic Division; Queensland University of Technology (QUT)</t>
  </si>
  <si>
    <t>Houghton, M (corresponding author), Nat Resources &amp; Environm Tasmania, 13 St Johns Ave, New Town, Tas 7008, Australia.</t>
  </si>
  <si>
    <t>melissa.houghton@nre.tas.gov.au</t>
  </si>
  <si>
    <t>Houghton, Melissa/IZE-8544-2023; Terauds, Aleks/A-4991-2010</t>
  </si>
  <si>
    <t>Houghton, Melissa/0000-0001-7256-5711; Shaw, Justine/0000-0002-9603-2271; Terauds, Aleks/0000-0001-7804-6648</t>
  </si>
  <si>
    <t>Australian Government's National Environmental Science Programme (NESP) through the Threatened Species Recovery Hub; Australian Antarctic Science program (AAS Project) [4035]; Australian Academy of Science through the Max Day Environmental Science Fellowship</t>
  </si>
  <si>
    <t>Australian Government's National Environmental Science Programme (NESP) through the Threatened Species Recovery Hub(Australian Government); Australian Antarctic Science program (AAS Project); Australian Academy of Science through the Max Day Environmental Science Fellowship</t>
  </si>
  <si>
    <t>This work was funded by the Australian Government's National Environmental Science Programme (NESP) through the Threatened Species Recovery Hub, and the Australian Antarctic Science program (AAS Project 4035). Additional support was received by Melissa Houghton from the Australian Academy of Science through the Max Day Environmental Science Fellowship.</t>
  </si>
  <si>
    <t>10.1007/s10530-022-02877-5</t>
  </si>
  <si>
    <t>WOS:000833439000001</t>
  </si>
  <si>
    <t>Stewart, JA; Strawson, I; Kershaw, J; Robinson, LF</t>
  </si>
  <si>
    <t>Stewart, Joseph A.; Strawson, Ivo; Kershaw, James; Robinson, Laura F.</t>
  </si>
  <si>
    <t>Stylasterid corals build aragonite skeletons in undersaturated water despite low pH at the site of calcification</t>
  </si>
  <si>
    <t>BORON ISOTOPE; SCLERACTINIAN CORALS; OCEAN ACIDIFICATION; DESMOPHYLLUM-DIANTHUS; SEAWATER PH; CALIBRATION; SEA; PHOTOSYNTHESIS; CARBON; PROXY</t>
  </si>
  <si>
    <t>Anthropogenic carbon emissions are causing seawater pH to decline, yet the impact on marine calcifiers is uncertain. Scleractinian corals and coralline algae strongly elevate the pH of their calcifying fluid (CF) to promote calcification. Other organisms adopt less energetically demanding calcification approaches but restrict their habitat. Stylasterid corals occur widely (extending well below the carbonate saturation horizon) and precipitate both aragonite and high-Mg calcite, however, their mode of biocalcification and resilience to ocean acidification are unknown. Here we measure skeletal boron isotopes (delta B-11), B/Ca, and U/Ca to provide the first assessment of pH and rate of seawater flushing of stylasterid CF. Remarkably, both aragonitic and high-Mg calcitic stylasterids have low delta B-11 values implying little modification of internal pH. Collectively, our results suggest stylasterids have low seawater exchange rates into the calcifying space or rely on organic molecule templating to facilitate calcification. Thus, despite occupying similar niches to Scleractinia, Stylasteridae exhibit highly contrasting biocalcification, calling into question their resilience to ocean acidification.</t>
  </si>
  <si>
    <t>[Stewart, Joseph A.; Strawson, Ivo; Kershaw, James; Robinson, Laura F.] Univ Bristol, Sch Earth Sci, Queens Rd, Bristol BS8 1RJ, Avon, England; [Strawson, Ivo] Univ Cambridge, Dept Earth Sci, Downing St, Cambridge CB2 3EQ, England</t>
  </si>
  <si>
    <t>University of Bristol; University of Cambridge</t>
  </si>
  <si>
    <t>Stewart, JA (corresponding author), Univ Bristol, Sch Earth Sci, Queens Rd, Bristol BS8 1RJ, Avon, England.</t>
  </si>
  <si>
    <t>joseph.stewart@bristol.ac.uk</t>
  </si>
  <si>
    <t>Stewart, Joseph/0000-0003-3092-5058</t>
  </si>
  <si>
    <t>Dalio Explore Fund; ERC; NERC [NE/S001743/1, NE/R005117/1, NE/N003861/1]; Antarctic Bursary award</t>
  </si>
  <si>
    <t>Dalio Explore Fund; ERC(European Research Council (ERC)); NERC(UK Research &amp; Innovation (UKRI)Natural Environment Research Council (NERC)); Antarctic Bursary award</t>
  </si>
  <si>
    <t>We acknowledge the crew and researchers on board the research vessels that obtained the samples for this study. Cruise AL1508 was supported by The Dalio Explore Fund. We also acknowledge the Galapagos National Park directorate for permission to map and collect submarine rock and biological samples (PC-44-15), and the Charles Darwin Foundation for facilitating scientific collaboration in the Galapagos. We thank C. Coath, and C. Taylor for their help with laboratory work and A. Gagnon for helpful discussion while preparing this manuscript. Funding was provided by an Antarctic Bursary awarded to J.A.S., ERC and NERC grants awarded to L.F.R. (NE/S001743/1; NE/R005117/1; NE/N003861/1).</t>
  </si>
  <si>
    <t>JUL 30</t>
  </si>
  <si>
    <t>10.1038/s41598-022-16787-y</t>
  </si>
  <si>
    <t>3L5HC</t>
  </si>
  <si>
    <t>WOS:000834790800002</t>
  </si>
  <si>
    <t>Testa, G; Neira, S; Giesecke, R; Pinones, A</t>
  </si>
  <si>
    <t>Testa, G.; Neira, S.; Giesecke, R.; Pinones, A.</t>
  </si>
  <si>
    <t>Projecting environmental and krill fishery impacts on the Antarctic Peninsula food web in 2100</t>
  </si>
  <si>
    <t>Antarctic Peninsula; Food web modeling; Environmental variability; Krill fishery; Climate change</t>
  </si>
  <si>
    <t>SOUTHERN-OCEAN ECOSYSTEMS; EUPHAUSIA-SUPERBA; CLIMATE-CHANGE; SEA-ICE; MARINE ECOSYSTEM; SCOTIA SEA; IN-SITU; VARIABILITY; MODELS; ECOPATH</t>
  </si>
  <si>
    <t>The Antarctic Peninsula ecosystem is extremely sensitive to climatic variability and other anthropogenic perturbances ascribed to biomass extraction by fisheries. An Ecopath with Ecosim model calibrated for the 1996-2012 period was projected into the future (2100) under three different climate projections for environmental variables (sea ice extent, open water area and chlorophyll-a concentration) and three Antarctic krill fishery scenarios (no-take, constant and decadal increase until doubling of the current catches). The relative impact of different drivers controlling Antarctic food web dynamics was evaluated with a sensitivity analysis and the temporal variability of several functional group and ecosystem indicators. Under these scenarios, environmental variability resulted in a greater impact on the Antarctic food web in 2100 projections compared with the krill fishery. Chlorophyll-a biomass strongly influenced the temporal variability of functional groups, suggesting predominant bottom-up control on the food web. An alternative food web structure was observed in 2100, with a marked decline in krill population biomass (from&lt;50% to near extinction depending on the environmental projection) and an increase in salps and other zooplankton groups. A reduction in the biomass of sea ice and krilldependent predators, such as Ade ' lie and chinstrap penguins and crabeater seals, was also observed. The absence of functions modelling the spatial and seasonal variability of the krill fishery might cause an underestimation of its ecosystem impacts. This work provides useful insights into the dynamic responses of the Antarctic food web under likely environmental projections and highlights critical points that need to be addressed to improve the understanding and parametrization of the Antarctic food web to anticipate future variability.</t>
  </si>
  <si>
    <t>[Testa, G.] Univ Concepcion, Dept Oceanog, Programa Postgrad Oceanog, Concepcion 4030000, Chile; [Testa, G.; Giesecke, R.; Pinones, A.] Ctr FONDAP Invest Dinam Ecosistemas Marinos Altas, Valdivia 5090000, Chile; [Neira, S.; Pinones, A.] Univ Concepcion, Ctr Oceanog Res, COPAS Sur Austral &amp; COPAS COASTAL, Concepcion 4030000, Chile; [Neira, S.] Univ Concepcion, Fac Ciencias Nat &amp; Oceanog, Dept Oceanog, Concepcion 4030000, Chile; [Giesecke, R.; Pinones, A.] Univ Austral Chile, Inst Ciencias Marinas &amp; Limnol, Valdivia 5090000, Chile; [Pinones, A.] Inst Milenio BASE, Santiago 8370448, Chile</t>
  </si>
  <si>
    <t>Universidad de Concepcion; Universidad de Concepcion; Universidad de Concepcion; Universidad Austral de Chile</t>
  </si>
  <si>
    <t>Pinones, A (corresponding author), Ctr FONDAP Invest Dinam Ecosistemas Marinos Altas, Valdivia 5090000, Chile.;Pinones, A (corresponding author), Univ Concepcion, Ctr Oceanog Res, COPAS Sur Austral &amp; COPAS COASTAL, Concepcion 4030000, Chile.;Pinones, A (corresponding author), Univ Austral Chile, Inst Ciencias Marinas &amp; Limnol, Valdivia 5090000, Chile.;Pinones, A (corresponding author), Inst Milenio BASE, Santiago 8370448, Chile.</t>
  </si>
  <si>
    <t>giovanni.testa@rocketmail.com; seneira@udec.cl; ricardo.giesecke@uach.cl; andrea.pinones@uach.cl</t>
  </si>
  <si>
    <t>Neira, Sergio/JJE-3519-2023</t>
  </si>
  <si>
    <t>Giesecke, Ricardo/0000-0002-8805-6089; Pinones, Andrea/0000-0002-1737-9016; Testa, Giovanni/0000-0002-0787-606X</t>
  </si>
  <si>
    <t>National Agency for Research and Development (ANID) -FONDECYT [1,210,988, ANID/PFCHA/Doc-torado Nacional/2017-21170561]</t>
  </si>
  <si>
    <t>National Agency for Research and Development (ANID) -FONDECYT</t>
  </si>
  <si>
    <t>Funding This study was supported by National Agency for Research and Development (ANID) -FONDECYT 1,210,988 and ANID/PFCHA/Doc-torado Nacional/2017-21170561.</t>
  </si>
  <si>
    <t>10.1016/j.pocean.2022.102862</t>
  </si>
  <si>
    <t>4T9QU</t>
  </si>
  <si>
    <t>WOS:000858442700001</t>
  </si>
  <si>
    <t>Wang, HJ; Liu, SH; Fan, FH; Yu, Q; Zhang, PY</t>
  </si>
  <si>
    <t>Wang, Huijuan; Liu, Shenghao; Fan, Fenghua; Yu, Qian; Zhang, Pengying</t>
  </si>
  <si>
    <t>A Moss 2-Oxoglutarate/Fe(II)-Dependent Dioxygenases (2-ODD) Gene of Flavonoids Biosynthesis Positively Regulates Plants Abiotic Stress Tolerance</t>
  </si>
  <si>
    <t>abiotic stress; Antarctic moss; anthocyanin accumulation; 2-oxoglutarate; Fe(II)-dependent dioxygenases (2-ODDs); flavonoids; flavonol</t>
  </si>
  <si>
    <t>FLAVANONE 3-HYDROXYLASE GENE; SUCROSE-SPECIFIC INDUCTION; ANTHOCYANIDIN SYNTHASE; SALT STRESS; FUNCTIONAL-CHARACTERIZATION; PHYSCOMITRELLA-PATENS; DROUGHT STRESS; CONFERS TOLERANCE; ARABIDOPSIS; EXPRESSION</t>
  </si>
  <si>
    <t>Flavonoids, the largest group of polyphenolic secondary metabolites present in all land plants, play essential roles in many biological processes and defense against abiotic stresses. In the flavonoid biosynthesis pathway, flavones synthase I (FNSI), flavanone 3-hydroxylase (F3H), flavonol synthase (FLS), and anthocyanidin synthase (ANS) all belong to 2-oxoglutarate/Fe(II)-dependent dioxygenases (2-ODDs) family, which catalyzes the critical oxidative reactions to form different flavonoid subgroups. Here, a novel 2-ODD gene was cloned from Antarctic moss Pohlia nutans (Pn2-ODD1) and its functions were investigated both in two model plants, Physcomitrella patens and Arabidopsis thaliana. Heterologous expression of Pn2-ODD1 increased the accumulation of anthocyanins and flavonol in Arabidopsis. Meanwhile, the transgenic P. patens and Arabidopsis with expressing Pn2-ODD1 exhibited enhanced tolerance to salinity and drought stresses, with larger gametophyte sizes, better seed germination, and longer root growth. Heterologous expression of Pn2-ODD1 in Arabidopsis also conferred the tolerance to UV-B radiation and oxidative stress by increasing antioxidant capacity. Therefore, we showed that Pn2-ODD1 participated in the accumulation of anthocyanins and flavonol in transgenic plants, and regulated the tolerance to abiotic stresses in plants, contributing to the adaptation of P. nutans to the polar environment.</t>
  </si>
  <si>
    <t>[Wang, Huijuan; Fan, Fenghua; Yu, Qian; Zhang, Pengying] Shandong Univ, Natl Glycoengineering Res Ctr, Sch Life Sci, Qingdao, Peoples R China; [Liu, Shenghao] Minist Nat Resources, Inst Oceanog 1, Key Lab Marine Ecoenvironm Sci &amp; Technol, Qingdao, Peoples R China; [Zhang, Pengying] Shandong Univ, Shandong Key Lab Carbohydrate Chem &amp; Glycobiol, Qingdao, Peoples R China</t>
  </si>
  <si>
    <t>Shandong University; First Institute of Oceanography, Ministry of Natural Resources; Ministry of Natural Resources of the People's Republic of China; Shandong University</t>
  </si>
  <si>
    <t>Zhang, PY (corresponding author), Shandong Univ, Natl Glycoengineering Res Ctr, Sch Life Sci, Qingdao, Peoples R China.;Zhang, PY (corresponding author), Shandong Univ, Shandong Key Lab Carbohydrate Chem &amp; Glycobiol, Qingdao, Peoples R China.</t>
  </si>
  <si>
    <t>zhangpy80@sdu.edu.cn</t>
  </si>
  <si>
    <t>wang, hao/HSE-7975-2023; Wang, Hui/HMU-9512-2023; wang, huimin/HDM-8421-2022; wang, hui/GRS-4730-2022; Liu, Shenghao/ISU-3076-2023; WANG, HUIYUAN/IXX-2427-2023; wang, jian/HRB-9588-2023; wang, hui/HSG-6135-2023</t>
  </si>
  <si>
    <t>Liu, Shenghao/0000-0002-1449-3526;</t>
  </si>
  <si>
    <t>National Natural Science Foundation of China; Key Technology Research and Development Program of Shandong Province; Scientific Fund for National Public Research Institutes of China; Central Government Guide Local Science and Technology Development Funds; [41976225]; [2019GSF107064]; [GY0219Q05]; [YDZX20203700002579]</t>
  </si>
  <si>
    <t>National Natural Science Foundation of China(National Natural Science Foundation of China (NSFC)); Key Technology Research and Development Program of Shandong Province; Scientific Fund for National Public Research Institutes of China; Central Government Guide Local Science and Technology Development Funds; ; ; ;</t>
  </si>
  <si>
    <t>Funding This work was supported by the National Natural Science Foundation of China (41976225), Key Technology Research and Development Program of Shandong Province (2019GSF107064), Scientific Fund for National Public Research Institutes of China (GY0219Q05), and Central Government Guide Local Science and Technology Development Funds (YDZX20203700002579).</t>
  </si>
  <si>
    <t>JUL 29</t>
  </si>
  <si>
    <t>10.3389/fpls.2022.850062</t>
  </si>
  <si>
    <t>3Z7WE</t>
  </si>
  <si>
    <t>WOS:000844626500001</t>
  </si>
  <si>
    <t>Biancacci, C; Visch, W; Callahan, DL; Farrington, G; Francis, DS; Lamb, P; McVilly, A; Nardelli, A; Sanderson, JC; Schwoerbel, J; Hurd, CL; Evans, B; Macleod, C; Bellgrove, A</t>
  </si>
  <si>
    <t>Biancacci, C.; Visch, W.; Callahan, D. L.; Farrington, G.; Francis, D. S.; Lamb, P.; McVilly, A.; Nardelli, A.; Sanderson, J. C.; Schwoerbel, J.; Hurd, C. L.; Evans, B.; Macleod, C.; Bellgrove, A.</t>
  </si>
  <si>
    <t>Optimisation of at-sea culture and harvest conditions for cultivated Macrocystis pyrifera: yield, biofouling and biochemical composition of cultured biomass</t>
  </si>
  <si>
    <t>Australia; giant kelp; macroalgae; mariculture; nutritional composition; protein; omega-3; sustainability</t>
  </si>
  <si>
    <t>FATTY-ACID-COMPOSITION; KELP SACCHARINA-LATISSIMA; GIANT-KELP; CHEMICAL-COMPOSITION; MARINE MACROALGAE; SEASONAL-CHANGES; PHENOLIC CONTENT; BROWN-ALGAE; HEAVY-METAL; SEAWEEDS</t>
  </si>
  <si>
    <t>Seaweed cultivation is gaining interest world-wide for both food and non-food applications. Global seaweed aquaculture production currently exceeds 32 Mt WW per annum but is dominated (86% of total) by Asian countries. To meet future demand for seaweed products, regions beyond Asia with aquaculture production potential are being explored. The goal of this study was to assess the suitability of the native kelp Macrocystis pyrifera (Phaeophyceae, Laminariales), for aquaculture in Tasmania, south-eastern Australia. M. pyrifera was cultivated on seeded twine on loops (1 - 5 m depth) along 100-m longlines at two sites (Okehampton Bay and Great Taylor Bay) from April-November 2020. Temporal and spatial variability in (1) yield (kg m(-1), WW), (2) biofouling (% coverage), and (3) biochemical composition (including proximate composition, fatty acids, dietary minerals, heavy metal profiling, C, N, H, S concentrations and C:N ratio, antioxidants (phenolic compounds), and pigments (Chl-a, Chl-c, fucoxanthin)) was compared amongst the two cultivation sites, at two depths (1 and 5 m) from harvests between July - November 2020. Yield (kg m(-1), WW) did not significantly change across harvest times, but was greater at a depth of 1 m compared to 5 m. Biofouling on the kelp blades increased significantly in early spring (September). The biochemical composition of the cultured biomass varied over time, between sites and with depth for most of the compounds analysed. Higher lipid, protein and ash content was reported for cultures cultivated at Okehampton Bay compared to Great Taylor Bay and at 5 m compared to 1 m depth, and levels of these macronutrients decreased during the harvest period. The iodine content was slightly above the tolerable content for dried seaweed products in Australia and New Zealand. The combined results of yield, biofouling, and biochemical composition suggest that, for an April deployment at the sites investigated, M. pyrifera should be harvested in July-August (mid to late winter) to optimise yield and quality of the cultured kelp biomass. These findings provide a better understanding of the variation in growth and quality of cultivated M. pyrifera biomass in the region, and inform future management and development of kelp aquaculture in south-eastern Australia and in a global context.</t>
  </si>
  <si>
    <t>[Biancacci, C.; Bellgrove, A.] Deakin Univ, Ctr Integrat Ecol, Sch Life &amp; Environm Sci, Warrnambool Campus, Warrnambool, Vic, Australia; [Visch, W.; Farrington, G.; Nardelli, A.; Schwoerbel, J.; Hurd, C. L.; Macleod, C.] Univ Tasmania, Inst Marine &amp; Antarctic Studies, Hobart, Tas, Australia; [Callahan, D. L.] Deakin Univ, Sch Life &amp; Environm Sci, Melbourne Burwood Campus, Burwood, Vic, Australia; [Francis, D. S.; McVilly, A.] Deakin Univ, Queenscliff Marine Sci Ctr, Sch Life &amp; Environm Sci, Queenscliff, Vic, Australia; [Lamb, P.] Spring Bay Seafoods Pty Ltd, Triabunna, Tas, Australia; [Sanderson, J. C.; Evans, B.] Tassal Grp Pty Ltd, Hobart, Tas, Australia</t>
  </si>
  <si>
    <t>Deakin University; University of Tasmania; Deakin University; Deakin University</t>
  </si>
  <si>
    <t>Biancacci, C (corresponding author), Deakin Univ, Ctr Integrat Ecol, Sch Life &amp; Environm Sci, Warrnambool Campus, Warrnambool, Vic, Australia.;Visch, W (corresponding author), Univ Tasmania, Inst Marine &amp; Antarctic Studies, Hobart, Tas, Australia.</t>
  </si>
  <si>
    <t>c.biancacci@deakin.edu.au; wouter.visch@utas.edu.au</t>
  </si>
  <si>
    <t>Biancacci, Cecilia/HTT-5160-2023; Hurd, Catriona L/J-2411-2013; MacLeod, Catriona K/J-7176-2014; Evans, Brad/AAY-5888-2020; Bellgrove, Alecia/K-2601-2014</t>
  </si>
  <si>
    <t>Biancacci, Cecilia/0000-0003-3754-7272; Bellgrove, Alecia/0000-0002-0499-3439; Visch, Wouter/0000-0003-4291-6239; Schwoerbel, Jakop/0000-0002-9354-7608; Callahan, Damien/0000-0002-6384-8717</t>
  </si>
  <si>
    <t>Australian government [CRCPSIX000144]; Tassal P/L; Spring Bay Seafoods; Institute for Marine and Antarctic Sciences/University of Tasmania; Deakin University</t>
  </si>
  <si>
    <t>Australian government(Australian Government); Tassal P/L; Spring Bay Seafoods; Institute for Marine and Antarctic Sciences/University of Tasmania; Deakin University</t>
  </si>
  <si>
    <t>This research was funded by the Seaweed solutions for sustainable aquaculture CRC Project (CRCPSIX000144) funded by the Australian government, Tassal P/L, Spring Bay Seafoods, Institute for Marine and Antarctic Sciences/University of Tasmania and Deakin University.</t>
  </si>
  <si>
    <t>10.3389/fmars.2022.951538</t>
  </si>
  <si>
    <t>3U0CU</t>
  </si>
  <si>
    <t>WOS:000840638500001</t>
  </si>
  <si>
    <t>Gasiorek, P; Wilamowski, A; Voncina, K; Michalczyk, L</t>
  </si>
  <si>
    <t>Gasiorek, Piotr; Wilamowski, Andrzej; Voncina, Katarzyna; Michalczyk, Lukasz</t>
  </si>
  <si>
    <t>Neotropical jewels in the moss: biodiversity, distribution and evolution of the genus Barbaria (Heterotardigrada: Echiniscidae)</t>
  </si>
  <si>
    <t>ZOOLOGICAL JOURNAL OF THE LINNEAN SOCIETY</t>
  </si>
  <si>
    <t>cuticle; integrative taxonomy; morphometry; phylogeny; species delineation; tardigrades; trait evolution</t>
  </si>
  <si>
    <t>MULTIPLE SEQUENCE ALIGNMENT; TARDIGRADA HETEROTARDIGRADA; ANNOTATED ZOOGEOGRAPHY; BIGRANULATUS GROUP; SOUTH-AMERICA; SP. NOV.; IQ-TREE; PHYLOGENY; ECHINISCOIDEA; PARK</t>
  </si>
  <si>
    <t>The genus Barbaria, recently established to accommodate the former Echiniscus bigranulatus group, is a tardigrade group emblematic for the South American tardigrade fauna. This unappendaged echiniscid lineage is widely recognized for the so-called 'double' sculpturing composed of endocuticular pillars and pseudopores or pores in the dorsal cuticle. The phylogenetic relationships in the genus have so far been completely unknown, but the discovery of two new species (B. paucigranulata sp. nov. and B. weglarskae sp. nov.), together with new genetic data for further six species (B. bigranulata, B. charrua comb. nov., B. danieli, B. jenningsi, B. madonnae and B. ollantaytamboensis), create an opportunity not only to uncover phyletic relationships, but also to reconstruct morphological evolution in the genus. To achieve this, we sequenced five genetic markers (18S rRNA, 28S rRNA, ITS1, ITS2, COI) for multiple populations of eight species of Barbaria (two-thirds of all known species) collected in Alabama (USA), Argentina and the Antarctic, and we analysed them in tandem with detailed morphological data. Our phylogentic analysis and the reconstruction of evolution of morphological traits suggests that the ancestor of the genus inhabited the Neotropics, and it was morphologically most similar to B. bigranulata. We also analyse literature records of Barbaria and conclude that the genus is most likely limited to the Neotropics, Antarctica and southern parts of the Nearctic. The findings are discussed in the context of the phylogeny of the Echiniscus evolutionary line.</t>
  </si>
  <si>
    <t>[Gasiorek, Piotr; Wilamowski, Andrzej; Voncina, Katarzyna; Michalczyk, Lukasz] Jagiellonian Univ, Fac Biol, Inst Zool &amp; Biomed Res, Dept Invertebrate Evolut, Gronostajowa 9, PL-30387 Krakow, Poland</t>
  </si>
  <si>
    <t>Jagiellonian University</t>
  </si>
  <si>
    <t>Gasiorek, P; Michalczyk, L (corresponding author), Jagiellonian Univ, Fac Biol, Inst Zool &amp; Biomed Res, Dept Invertebrate Evolut, Gronostajowa 9, PL-30387 Krakow, Poland.</t>
  </si>
  <si>
    <t>piotr.lukas.gasiorek@gmail.com</t>
  </si>
  <si>
    <t>Gąsiorek, Piotr/L-3152-2017; Michalczyk, Lukasz/D-1362-2009</t>
  </si>
  <si>
    <t>Gąsiorek, Piotr/0000-0002-2814-8117; Michalczyk, Lukasz/0000-0002-2912-4870</t>
  </si>
  <si>
    <t>Polish National Science Centre [2019/33/N/NZ8/02777, 2016/22/E/NZ8/00417, 2020/36/T/NZ8/00360]; European Commission's Integrated Infrastructure Initiative programme SYNTHESYS [HU-TAF-2224]; Foundation for Polish Science [START 28.2020]</t>
  </si>
  <si>
    <t>Polish National Science Centre; European Commission's Integrated Infrastructure Initiative programme SYNTHESYS; Foundation for Polish Science(Foundation for Polish Science)</t>
  </si>
  <si>
    <t>Witold Morek, Bartlomiej Surmacz, Sogol Momeni and Jason Pienaar kindly provided samples for analyses and are sincerely thanked. We are also immensely grateful to Hieronymus Dastych, Roberto Guidetti, Harry Meyer, Museo Civico di Storia Naturale in Verona, Zoological Museums in Hamburg and Krakow for loans of the comparative material. Harry Meyer, Milena Roszkowska and Lukasz Kaczmarek kindly provided microphotographs of B. danieli and B. hannae. Two reviewers significantly helped to improve the manuscript. The study was supported by the Preludium programme (grant no. 2019/33/N/NZ8/02777 to PG, supervised by LM) and the Sonata Bis programme (grant no. 2016/22/E/NZ8/00417 to LM) funded by the Polish National Science Centre, and a grant from the European Commission's Integrated Infrastructure Initiative programme SYNTHESYS (HU-TAF-2224 to LM). PG is a recipient of the Etiuda (2020/36/T/NZ8/00360, funded by the Polish National Science Centre) and the Start stipend (START 28.2020, funded by the Foundation for Polish Science).</t>
  </si>
  <si>
    <t>0024-4082</t>
  </si>
  <si>
    <t>1096-3642</t>
  </si>
  <si>
    <t>ZOOL J LINN SOC-LOND</t>
  </si>
  <si>
    <t>Zool. J. Linn. Soc.</t>
  </si>
  <si>
    <t>10.1093/zoolinnean/zlab087</t>
  </si>
  <si>
    <t>3I8ZK</t>
  </si>
  <si>
    <t>WOS:000832997100001</t>
  </si>
  <si>
    <t>Tatzelt, C; Henning, S; Welti, A; Baccarini, A; Hartmann, M; Gysel-Beer, M; van Pinxteren, M; Modini, RL; Schmale, J; Stratmann, F</t>
  </si>
  <si>
    <t>Tatzelt, Christian; Henning, Silvia; Welti, Andre; Baccarini, Andrea; Hartmann, Markus; Gysel-Beer, Martin; van Pinxteren, Manuela; Modini, Robin L.; Schmale, Julia; Stratmann, Frank</t>
  </si>
  <si>
    <t>Circum-Antarctic abundance and properties of CCN and INPs</t>
  </si>
  <si>
    <t>CLOUD CONDENSATION NUCLEI; SEA-SALT-SULFATE; MARINE BOUNDARY-LAYER; ICE-NUCLEATING PARTICLES; SOUTHERN-OCEAN; METHANESULFONIC-ACID; AEROSOL-PARTICLES; SIZE DISTRIBUTION; AIR; DISTRIBUTIONS</t>
  </si>
  <si>
    <t>Aerosol particles acting as cloud condensation nuclei (CCN) or ice-nucleating particles (INPs) play a major role in the formation and glaciation of clouds. Thereby they exert a strong impact on the radiation budget of the Earth. Data on abundance and properties of both types of particles are sparse, especially for remote areas of the world, such as the Southern Ocean (SO). In this work, we present unique results from ship-borne aerosol-particle-related in situ measurements and filter sampling in the SO region, carried out during the Antarctic Circumnavigation Expedition (ACE) in the austral summer of 2016-2017. An overview of CCN and INP concentrations over the Southern Ocean is provided and, using additional quantities, insights regarding possible CCN and INP sources and origins are presented. CCN number concentrations spanned 2 orders of magnitude, e.g. for a supersaturation of 0.3% values ranged roughly from 3 to 590 cm(-3). CCN showed variable contributions of organic and inorganic material (inter-quartile range of hygroscopicity parameter kappa from 0.2 to 0.9). No distinct size dependence of kappa was apparent, indicating homogeneous composition across sizes (critical dry diameter on average between 30 and 110 nm). The contribution of sea spray aerosol (SSA) to the CCN number concentration was on average small. Ambient INP number concentrations were measured in the temperature range from -5 to -27 degrees C using an immersion freezing method. Concentrations spanned up to 3 orders of magnitude, e.g. at -16 degrees C from 0.2 to 100 m(-3). Elevated values (above 10 m(-3) at 16 degrees C) were measured when the research vessel was in the vicinity of land (excluding Antarctica), with lower and more constant concentrations when at sea. This, along with results of backward-trajectory analyses, hints towards terrestrial and/or coastal INP sources being dominant close to ice-free (non-Antarctic) land. In pristine marine areas INPs may originate from both oceanic sources and/or long-range transport. Sampled aerosol particles (PM10) were analysed for sodium and methanesulfonic acid (MSA). Resulting mass concentrations were used as tracers for primary marine and secondary aerosol particles, respectively. Sodium, with an average mass concentration around 2.8 mu gm(-3), was found to dominate the sampled, identified particle mass. MSA was highly variable over the SO, with mass concentrations up to 0.5 mu g m(-3) near the sea ice edge. A correlation analysis yielded strong correlations between sodium mass concentration and particle number concentration in the coarse mode, unsurprisingly indicating a significant contribution of SSA to that mode. CCN number concentration was highly correlated with the number concentration of Aitken and accumulation mode particles. This, together with a lack of correlation between sodium mass and Aitken and accumulation mode number concentrations, underlines the important contribution of non-SSA, probably secondarily formed particles, to the CCN population. INP number concentrations did not significantly correlate with any other measured aerosol physico-chemical parameter.</t>
  </si>
  <si>
    <t>[Tatzelt, Christian; Henning, Silvia; Hartmann, Markus; van Pinxteren, Manuela; Stratmann, Frank] Leibniz Inst Tropospher Res, Permoserstr 15, D-04318 Leipzig, Germany; [Welti, Andre] Finnish Meteorol Inst, Erik Palmenin Aukio 1, FI-00560 Helsinki, Finland; [Baccarini, Andrea; Schmale, Julia] Ecole Polytech Fed Lausanne, Sch Architecture Civil &amp; Environm Engn Lausanne, Extreme Environm Res Lab, Lausanne, Switzerland; [Baccarini, Andrea; Gysel-Beer, Martin; Modini, Robin L.; Schmale, Julia] Paul Scherrer Inst, Lab Atmospher Chem, CH-5232 Villigen, Switzerland; [Hartmann, Markus] Univ Gothenburg, Dept Chem &amp; Mol Biol, Atmospher Sci, Gothenburg, Sweden</t>
  </si>
  <si>
    <t>Leibniz Institut fur Tropospharenforschung (TROPOS); Finnish Meteorological Institute; Swiss Federal Institutes of Technology Domain; Ecole Polytechnique Federale de Lausanne; Swiss Federal Institutes of Technology Domain; Paul Scherrer Institute; University of Gothenburg</t>
  </si>
  <si>
    <t>Henning, S (corresponding author), Leibniz Inst Tropospher Res, Permoserstr 15, D-04318 Leipzig, Germany.;Schmale, J (corresponding author), Ecole Polytech Fed Lausanne, Sch Architecture Civil &amp; Environm Engn Lausanne, Extreme Environm Res Lab, Lausanne, Switzerland.;Schmale, J (corresponding author), Paul Scherrer Inst, Lab Atmospher Chem, CH-5232 Villigen, Switzerland.</t>
  </si>
  <si>
    <t>silvia.henning@tropos.de; julia.schmale@epfl.ch</t>
  </si>
  <si>
    <t>baccarini, andrea/R-7251-2018; Modini, Rob/AAF-6036-2019; Schmale, Julia Yvonne/Q-3942-2019; Hartmann, Markus/AAC-4151-2019; Henning, Silvia/C-1114-2014; Gysel-Beer, Martin/C-3843-2008; Welti, Andre/J-8425-2013</t>
  </si>
  <si>
    <t>baccarini, andrea/0000-0003-4614-247X; Modini, Rob/0000-0002-2982-1369; Schmale, Julia Yvonne/0000-0002-1048-7962; Hartmann, Markus/0000-0001-9700-1701; Henning, Silvia/0000-0001-9267-7825; Gysel-Beer, Martin/0000-0002-7453-1264; Welti, Andre/0000-0002-3549-1212; van Pinxteren, Manuela/0000-0002-8746-8620</t>
  </si>
  <si>
    <t>Swiss Polar Institute; ACE Foundation; Ferring Pharmaceuticals; Deutsche Forschungsgemeinschaft (DFG) [SPP 1158, STR 453/12-1]; EU FP7 (BACCHUS) [603445]; Swiss National Science Foundation [169090]; Ingvar Kamrad Chair for Extreme Environments Research</t>
  </si>
  <si>
    <t>Swiss Polar Institute; ACE Foundation; Ferring Pharmaceuticals(Ferring Pharmaceuticals); Deutsche Forschungsgemeinschaft (DFG)(German Research Foundation (DFG)); EU FP7 (BACCHUS); Swiss National Science Foundation(Swiss National Science Foundation (SNSF)); Ingvar Kamrad Chair for Extreme Environments Research</t>
  </si>
  <si>
    <t>ACE was a scientific expedition carried out under the auspices of the Swiss Polar Institute, supported by funding from the ACE Foundation and Ferring Pharmaceuticals. This work was supported by the Deutsche Forschungsgemeinschaft (DFG) in the framework of the priority programme Antarctic Research with comparative investigations in the Arctic sea ice areas (SPP 1158 (grant no. STR 453/12-1)). EU FP7 (BACCHUS (grant no. 603445)) is acknowledged for financial support. Julia Schmale holds the Ingvar Kamrad Chair for Extreme Environments Research. Andrea Baccarini was supported by the Swiss National Science Foundation (grant no. 169090).</t>
  </si>
  <si>
    <t>10.5194/acp-22-9721-2022</t>
  </si>
  <si>
    <t>3I3SQ</t>
  </si>
  <si>
    <t>WOS:000832641400001</t>
  </si>
  <si>
    <t>Momberg, M; Ryan, PG; Hedding, DW; Schoombie, J; Goddard, KA; Craig, KJ; Le Roux, PC</t>
  </si>
  <si>
    <t>Momberg, Mia; Ryan, Peter G.; Hedding, David W.; Schoombie, Janine; Goddard, Kyle A.; Craig, Ken J.; Le Roux, Peter C.</t>
  </si>
  <si>
    <t>Factors determining nest-site selection of surface-nesting seabirds: a case study on the world's largest pelagic bird, the Wandering Albatross (Diomedea exulans)</t>
  </si>
  <si>
    <t>generalized additive model; generalized linear model; topography; vegetation type; wind</t>
  </si>
  <si>
    <t>SUB-ANTARCTIC MARION; HABITAT SELECTION; WIND CONDITIONS; GLOBAL TRENDS; SUCCESS; PETRELS; MODEL; DISPERSAL; MOVEMENT; SPEED</t>
  </si>
  <si>
    <t>Several factors may drive bird nest-site selection, including predation risk, resource availability, weather conditions and interaction with other individuals. Understanding the drivers affecting where birds nest is important for conservation planning, especially where environmental change may alter the distribution of suitable nest-sites. This study investigates which environmental variables affect nest-site selection by the Wandering Albatross Diomedea exulans, the world's largest pelagic bird. Here, wind characteristics are quantitatively investigated as a driver of nest-site selection in surface-nesting birds, in addition to several topographical variables, vegetation and geological characteristics. Nest locations from three different breeding seasons on sub-Antarctic Marion Island were modelled to assess which environmental factors affect nest-site selection. Elevation was the most important determinant of nest-site selection, with Wandering Albatrosses only nesting at low elevations. Distance from the coast and terrain roughness were also important predictors, with nests more generally found close to the coast and in flatter terrain, followed by wind velocity, which showed a hump-shaped relationship with the probability of nest occurrence. Nests occurred more frequently on coastal vegetation types, and were absent from polar desert vegetation (generally above c. 500 m elevation). Of the variables that influence Wandering Albatross nest location, both vegetation type and wind characteristics are likely to be influenced by climate change, and have already changed over the last 50 years. As a result, the availability of suitable nest-sites needs to be considered in light of future climate change, in addition to the impacts that these changes will have on foraging patterns and prey distribution. More broadly, these results provide insights into how a wide range of environmental variables, including wind, can affect nest-site selection of surface-nesting seabirds.</t>
  </si>
  <si>
    <t>[Momberg, Mia; Le Roux, Peter C.] Univ Pretoria, Dept Plant &amp; Soil Sci, Pretoria, South Africa; [Ryan, Peter G.] Univ Cape Town, FitzPatrick Inst African Ornithol, Rondebosch, South Africa; [Hedding, David W.] Univ South Africa, Dept Geog, Pretoria, South Africa; [Schoombie, Janine; Goddard, Kyle A.; Craig, Ken J.] Univ Pretoria, Dept Mech &amp; Aeronaut Engn, Pretoria, South Africa</t>
  </si>
  <si>
    <t>University of Pretoria; University of Cape Town; University of South Africa; University of Pretoria</t>
  </si>
  <si>
    <t>Momberg, M (corresponding author), Univ Pretoria, Dept Plant &amp; Soil Sci, Pretoria, South Africa.</t>
  </si>
  <si>
    <t>miamomberg@gmail.com</t>
  </si>
  <si>
    <t>Hedding, David William/F-3044-2011; Craig, Ken J/V-8784-2018; le Roux, Peter Christiaan/E-7784-2011</t>
  </si>
  <si>
    <t>Hedding, David William/0000-0002-9748-4499; Craig, Ken J/0000-0002-7960-2148; le Roux, Peter Christiaan/0000-0002-7941-7444; Schoombie, Janine/0000-0001-5085-9516; Ryan, Peter/0000-0002-3356-2056</t>
  </si>
  <si>
    <t>National Research Foundation's South African National Antarctic Programme [110726]; South African National Research Foundation</t>
  </si>
  <si>
    <t>National Research Foundation's South African National Antarctic Programme; South African National Research Foundation(National Research Foundation - South Africa)</t>
  </si>
  <si>
    <t>This research was supported by the National Research Foundation's South African National Antarctic Programme (grant number 110726) and was conducted under permits from the Prince Edward Islands Management Committee (PEIMC1/2013). M.M. received funding from the South African National Research Foundation.</t>
  </si>
  <si>
    <t>10.1111/ibi.13111</t>
  </si>
  <si>
    <t>8N8HD</t>
  </si>
  <si>
    <t>WOS:000832614700001</t>
  </si>
  <si>
    <t>Aston, C; Langlois, T; Fisher, R; Monk, J; Gibbons, B; Giraldo-Ospina, A; Lawrence, E; Keesing, J; Lebrec, U; Babcock, RC</t>
  </si>
  <si>
    <t>Aston, Charlotte; Langlois, Tim; Fisher, Rebecca; Monk, Jacquomo; Gibbons, Brooke; Giraldo-Ospina, Anita; Lawrence, Emma; Keesing, John; Lebrec, Ulysse; Babcock, Russ C.</t>
  </si>
  <si>
    <t>Recreational Fishing Impacts in an Offshore and Deep-Water Marine Park: Examining Patterns in Fished Species Using Hybrid Frequentist Model Selection and Bayesian Inference</t>
  </si>
  <si>
    <t>marine parks; no-take zones; recreational fishing; Bayesian; Ningaloo</t>
  </si>
  <si>
    <t>HABITAT COMPLEXITY; WESTERN-AUSTRALIA; ECOLOGICAL RESEARCH; CARNARVON SHELF; PROTECTED AREAS; DEMERSAL FISH; NINGALOO REEF; NEW-ZEALAND; RESERVES; ABUNDANCE</t>
  </si>
  <si>
    <t>No-take marine reserves are often located in remote locations far away from human activity, limiting perceived impact on extractive users but also reducing their use for investigating impacts of fishing. This study aimed to establish a benchmark in the distribution of fished species across the Ningaloo Marine Park - Commonwealth (NMP-Commonwealth), and adjacent comparable habitats within the Ningaloo Marine Park - State (NMP-State), in Western Australia to test if there was evidence of an effect of recreational fishing, as no commercial fishing is allowed within either marine park. We also examined whether the remote location of the newly established (2018) No-take Zone (NTZ), in NMP-Commonwealth, limits its use for studying the effects of fishing. Throughout the NMP-Commonwealth and NMP-State, where recreational fishing is permitted, we expected the abundance of recreationally fished fish species to increase with increasing distance to the nearest boat ramp, as a proxy of recreational fishing effort. Conversely, we did not expect the abundance of non-fished species and overall species richness to vary in response to the proxy for human activity. Distance to the nearest boat ramp was found to be a strong predictor of fished species abundance, indicating that the effect of recreational fishing can be detected across the NMP-Commonwealth. The effect of the NTZ on fished species abundance was weakly positive, but this difference across the NTZ is expected to increase over time. Habitat composition predictors were only found to influence species richness and non-fished species abundance. This study suggests a clear footprint of recreational fishing across the NMP-Commonwealth and as a result the new NTZ, despite its remote location, can act as a control in future studies of recreational fishing effects.</t>
  </si>
  <si>
    <t>[Aston, Charlotte; Langlois, Tim; Gibbons, Brooke; Giraldo-Ospina, Anita; Keesing, John] Univ Western Australia, UWA Oceans Inst M470, Univ Western Australia UWA, Perth, WA, Australia; [Aston, Charlotte; Langlois, Tim; Gibbons, Brooke; Giraldo-Ospina, Anita] Univ Western Australia, Sch Biol Sci, Perth, WA, Australia; [Fisher, Rebecca] Australian Inst Marine Sci, UWA Oceans Inst, Perth, WA, Australia; [Monk, Jacquomo] Univ Tasmania, Inst Marine &amp; Antarctic Studies, Hobart, Tas, Australia; [Giraldo-Ospina, Anita] Univ Calif St Barbara, Marine Sci Inst, Santa Barbara, CA USA; [Lawrence, Emma] Commonwealth Sci &amp; Ind Res Org CSIRO Data61, Dutton Pk, Qld, Australia; [Babcock, Russ C.] Queensland Biosci Precinct, Commonwealth Sci &amp; Ind Res Org CSIRO Oceans &amp; Atmo, St Lucia, Qld, Australia; [Keesing, John] Univ Western Australia, Indian Ocean Marine Res Ctr, Commonwealth Sci &amp; Ind Res Org CSIRO Oceans &amp; Atmo, Perth, SA, Australia; [Lebrec, Ulysse] Univ Western Australia, Sch Earth Sci, Perth, WA, Australia; [Lebrec, Ulysse] Norwegian Geotech Inst, 40 St Georges Terrace, Perth, WA, Australia</t>
  </si>
  <si>
    <t>University of Western Australia; University of Western Australia; Australian Institute of Marine Science; University of Western Australia; University of Tasmania; Commonwealth Scientific &amp; Industrial Research Organisation (CSIRO); Commonwealth Scientific &amp; Industrial Research Organisation (CSIRO); Commonwealth Scientific &amp; Industrial Research Organisation (CSIRO); University of Western Australia; University of Western Australia; Norwegian Geotechnical Institute, NGI</t>
  </si>
  <si>
    <t>Aston, C (corresponding author), Univ Western Australia, UWA Oceans Inst M470, Univ Western Australia UWA, Perth, WA, Australia.;Aston, C (corresponding author), Univ Western Australia, Sch Biol Sci, Perth, WA, Australia.</t>
  </si>
  <si>
    <t>charlotte.aston@research.uwa.edu.au</t>
  </si>
  <si>
    <t>Lawrence, Emma/A-5584-2009; Fisher, Rebecca/C-5459-2011</t>
  </si>
  <si>
    <t>Gibbons, Brooke/0000-0002-0628-7781; Fisher, Rebecca/0000-0001-5148-6731; Giraldo Ospina, Ana/0000-0003-4005-3548; Lebrec, Ulysse/0000-0002-8796-152X</t>
  </si>
  <si>
    <t>Marine Biodiversity Hub; Australian Government's National Environmental Science Programme (NESP); University of Western Australia International Fee Scholarship; Keith Sheard Travel Scholarship, Parks Australia; CSIRO</t>
  </si>
  <si>
    <t>Marine Biodiversity Hub; Australian Government's National Environmental Science Programme (NESP)(Australian Government); University of Western Australia International Fee Scholarship; Keith Sheard Travel Scholarship, Parks Australia; CSIRO(Commonwealth Scientific &amp; Industrial Research Organisation (CSIRO))</t>
  </si>
  <si>
    <t>This project was supported by the Marine Biodiversity Hub, a collaborative partnership supported through the Australian Government's National Environmental Science Programme (NESP) with additional funding from the University of Western Australia International Fee Scholarship, the Keith Sheard Travel Scholarship, Parks Australia and CSIRO.</t>
  </si>
  <si>
    <t>JUL 28</t>
  </si>
  <si>
    <t>10.3389/fmars.2022.835096</t>
  </si>
  <si>
    <t>6P4MJ</t>
  </si>
  <si>
    <t>WOS:000890904000001</t>
  </si>
  <si>
    <t>Holzmann, M; Gooday, AJ; Majewski, W; Pawlowski, J</t>
  </si>
  <si>
    <t>Holzmann, Maria; Gooday, Andrew J.; Majewski, Wojciech; Pawlowski, Jan</t>
  </si>
  <si>
    <t>Molecular and morphological diversity of monothalamous foraminifera from South Georgia and the Falkland Islands: Description of four new species</t>
  </si>
  <si>
    <t>EUROPEAN JOURNAL OF PROTISTOLOGY</t>
  </si>
  <si>
    <t>Foraminifera; Monothalamids; Biodiversity; DNA barcoding; SSU rDNA sequences; Sub-Antarctic; Marine coastal fjords</t>
  </si>
  <si>
    <t>AGGLUTINATED FORAMINIFER; ALLOGROMIID FORAMINIFERA; EXPLORERS-COVE; SP-NOV; ADMIRALTY BAY; WATER; SEA; TAXONOMY; CRIBROTHALAMMINA; ANTARCTICA</t>
  </si>
  <si>
    <t>Based on molecular and morphological data, we describe three new genera and four new species of monothalamids from the sublittoral zone (21-250 m) in South Georgia fjords that belong to different monothalamid clades. Limaxia alba gen. nov. sp. nov. (Clade A) has an elongate, subcylindrical test, 359-688 mu m long, with some detritus attached to the organic wall. Hilla argentea gen. nov. sp. nov. (Clade Y) has a cylindrical, finely agglutinated test, 535-755 mu m long. Pseudoconqueria lenticularis gen. nov. sp. nov. branches separately. It has a spindle-shaped, finely agglutinated test, 280-574 mu m long. Bathyallogromia olivacea sp. nov. (Clade C) has an ovate organic-walled test, 369-433 mu m long. We present the first genetic data on two monothalamid species originally described from South Georgia, Hippocrepinella alba (Clade C) and Hippocrepinella hirudinea (Clade D), as well as a single sequence for C. delacai (Clade J) originally described from McMurdo Sound, Antarctica. In addition, we report nine undescribed species branching in six different monothalamid clades (A, B, BM, C, J, Y), eight of them sampled around South Georgia and one collected from the Falkland Islands near Stanley. (C) 2022 The Author(s). Published by Elsevier GmbH.</t>
  </si>
  <si>
    <t>[Holzmann, Maria] Univ Geneva, Dept Genet &amp; Evolut, Quai Ernest Ansermet 30, CH-1211 Geneva 4, Switzerland; [Gooday, Andrew J.] Natl Oceanog Ctr, European Way, Southampton SO14 3ZH, England; [Gooday, Andrew J.] Nat Hist Museum, Life Sci Dept, Cromwell Rd, London SW7 5BD, England; [Majewski, Wojciech] Polish Acad Sci, Inst Paleobiol, Twarda 51-55, PL-00818 Warsaw, Poland; [Pawlowski, Jan] Polish Acad Sci, Inst Oceanol, Powsta Cow Warszawy 55, PL-81712 Sopot, Poland; [Pawlowski, Jan] ID Gene Ecodiagnost, Chemin Pont Centenaire 109, CH-1228 Plan Les Ouates, Switzerland</t>
  </si>
  <si>
    <t>University of Geneva; NERC National Oceanography Centre; University of Southampton; Natural History Museum London; Polish Academy of Sciences; Institute of Paleobiology of the Polish Academy of Sciences; Polish Academy of Sciences; Institute of Oceanology of the Polish Academy of Sciences</t>
  </si>
  <si>
    <t>Holzmann, M (corresponding author), Univ Geneva, Dept Genet &amp; Evolut, Quai Ernest Ansermet 30, CH-1211 Geneva 4, Switzerland.</t>
  </si>
  <si>
    <t>maria.holzmann@unige.ch</t>
  </si>
  <si>
    <t>Pawlowski, Jan/JNS-6857-2023</t>
  </si>
  <si>
    <t>Polish National Science Centre [NCN-2018/31/B/ST10/02886]; Swiss National Science Foundation [31003A_179125]; Schmidheiny Foundation</t>
  </si>
  <si>
    <t>Polish National Science Centre; Swiss National Science Foundation(Swiss National Science Foundation (SNSF)); Schmidheiny Foundation</t>
  </si>
  <si>
    <t>Sampling in South Georgia would not be possible with-out the help and dedication of Keri Pashuk and Greg Lan-dreth with their SRV Saoirse. We also thank Paul Brickle (SAERI) for help in organizing fieldwork in the Falklands and South Georgia, Martin Collins and other British Antarc-tic Survey staff at the King Edward Point Laboratory for making available laboratory facilities and equipment on South Georgia, and Witold Szczuci ski and Piotr Rozwalak for assisting with sampling in South Georgia. Fieldwork for this study was supported by grant of the Polish National Science Centre NCN-2018/31/B/ST10/02886 and Swiss National Science Foundation grant 31003A_179125. The molecular work was supported by Schmidheiny Foundation grant (MH) .</t>
  </si>
  <si>
    <t>0932-4739</t>
  </si>
  <si>
    <t>1618-0429</t>
  </si>
  <si>
    <t>EUR J PROTISTOL</t>
  </si>
  <si>
    <t>Eur. J. Protistol.</t>
  </si>
  <si>
    <t>10.1016/j.ejop.2022.125909</t>
  </si>
  <si>
    <t>3M0XD</t>
  </si>
  <si>
    <t>WOS:000835180800001</t>
  </si>
  <si>
    <t>Rodríguez-Martínez, M; Buggisch, W; Menéndez, S; Moreno-Eiris, E; Perejón, A</t>
  </si>
  <si>
    <t>Rodriguez-Martinez, Marta; Buggisch, Werner; Menendez, Silvia; Moreno-Eiris, Elena; Perejon, Antonio</t>
  </si>
  <si>
    <t>Reconstruction of a Ross lost Cambrian Series 2 mixed siliciclastic-carbonate platform from carbonate clasts of the Shackleton Range, Antarctica</t>
  </si>
  <si>
    <t>EARTH AND ENVIRONMENTAL SCIENCE TRANSACTIONS OF THE ROYAL SOCIETY OF EDINBURGH</t>
  </si>
  <si>
    <t>archaeocyaths; back-arc basin sedimentation; Botoman; calcimicrobes; giant ooids; microfacies; southern Gondwana</t>
  </si>
  <si>
    <t>DRONNING-MAUD-LAND; CENTRAL TRANSANTARCTIC MOUNTAINS; ECLOGITE-FACIES METAMORPHISM; EARLY PALEOZOIC HISTORY; GREAT BAHAMA BANK; EAST ANTARCTICA; PENSACOLA MOUNTAINS; FLINDERS-RANGES; ISOTOPIC CONSTRAINTS; DOLOMITE FORMATION</t>
  </si>
  <si>
    <t>The presence of archaeocyath-bearing clasts from Cenozoic tills and Cambrian Mount Wegener Formation reveal erosion of a hidden Cambrian carbonate platform in Shackleton Range, Antarctica. We provide microfacies, paleontological, diagenetic and tectonically induced fabric data from carbonate clasts which, in addition to available geochemical and geochronological data from Shackleton Range, allow the paleoenvironmental reconstruction of a lost Cambrian Series 2 mixed siliciclastic-carbonate platform that was developed and eroded during the Ross orogeny. Carbonate production was dominated by non-skeletal grains in possibly restricted platform-interior and oolitic shoal complex settings, while open subtidal sub-environments (calcimicrobe carpets, calcimicrobe-archaeocyath patch reefs, muddy bottoms) were dominated by a diverse calcimicrobe assemblage and/or by secondary to accessory heterozoan assemblage (archaeocyaths and other sponges, chancelloriids, hyoliths, coralomorphs, trilobites, echinoderms). We describe a Botoman assemblage with 34 archaeocyathan species among 12 existing archaeocyathan genera. A new archaeocyath family Shackletoncyathidae is proposed. New species (Rotundocyathus glacius sp. nov., Buggischicyathus microporus gen. et sp. nov., Paragnaltacyathus hoeflei, Shackletoncyathus buggischi gen. et. sp. nov., Santelmocyathus santelmoi gen. et sp. nov., Wegenercyathus sexangulae gen. et sp. nov.) and Tabulaconus kordae coralomorph are reported from Antarctica for the first time. Archaeocyathan fauna share few species with contemporary fauna of South Australia (9) and even fewer with the Antarctic platforms of the Shackleton Limestone (2) or the Schneider Hills limestone (1). Similarity is greater with Antarctic allochthonous assemblages of Permo-Carboniferous tillites from Ellsworth Mountains (2), Cenozoic deposits from King George Island (4) or Weddell Sea (1). The Shackleton Range lost/hidden platform shows a distinct entity related with its tectonosedimentary evolution, in a possible back-arc basin on the Mozambique seaway during the E and W Gondwana amalgamation, which distinguishes it from those developed on the palaeo-Pacific margin of the E Antarctic craton.</t>
  </si>
  <si>
    <t>[Rodriguez-Martinez, Marta; Moreno-Eiris, Elena; Perejon, Antonio] Univ Complutense, Fac Ciencias Geol, Dept Geodinam Estratig &amp; Paleontol, C Jose Antonio Novais 12, Madrid 28040, Spain; [Buggisch, Werner] Friedrich Alexander Univ Erlangen Nurnberg FAU, GeoZentrum Nordbayern, Schlossgarten 5, D-91054 Erlangen, Germany; [Menendez, Silvia] CSIC, Inst Geol &amp; Minero Espana IGME, Museo Geominero, C Rios Rosas 23, Madrid 28003, Spain</t>
  </si>
  <si>
    <t>Complutense University of Madrid; University of Erlangen Nuremberg; Consejo Superior de Investigaciones Cientificas (CSIC)</t>
  </si>
  <si>
    <t>Rodríguez-Martínez, M (corresponding author), Univ Complutense, Fac Ciencias Geol, Dept Geodinam Estratig &amp; Paleontol, C Jose Antonio Novais 12, Madrid 28040, Spain.</t>
  </si>
  <si>
    <t>martarm@geo.ucm.es</t>
  </si>
  <si>
    <t>Perejon, Antonio/K-1165-2014</t>
  </si>
  <si>
    <t>1755-6910</t>
  </si>
  <si>
    <t>1755-6929</t>
  </si>
  <si>
    <t>EARTH ENV SCI T R SO</t>
  </si>
  <si>
    <t>Earth Environ. Sci. Trans. R. Soc. Edinb.</t>
  </si>
  <si>
    <t>PII S1755691022000111</t>
  </si>
  <si>
    <t>10.1017/S1755691022000111</t>
  </si>
  <si>
    <t>Geosciences, Multidisciplinary; Paleontology</t>
  </si>
  <si>
    <t>8B3TT</t>
  </si>
  <si>
    <t>WOS:000832495900001</t>
  </si>
  <si>
    <t>Li, L; Aitken, ARA; Lindsay, MD; Kulessa, B</t>
  </si>
  <si>
    <t>Li, Lu; Aitken, Alan R. A.; Lindsay, Mark D.; Kulessa, Bernd</t>
  </si>
  <si>
    <t>Sedimentary basins reduce stability of Antarctic ice streams through groundwater feedbacks</t>
  </si>
  <si>
    <t>BENEATH THWAITES GLACIER; PINE ISLAND GLACIER; WEST ANTARCTICA; SHEET; WATER; DYNAMICS; GEOLOGY; LAND; FLOW; TILL</t>
  </si>
  <si>
    <t>A machine-learning-based mapping of Antarctic subglacial geology suggests sedimentary basins lie beneath some of the most dynamic ice streams, increasing their vulnerability to rapid ice retreat. Antarctica preserves Earth's largest ice-sheet, which in response to climate warming, may lose ice mass and raise sea level by several metres. The ice-sheet bed exerts critical controls on dynamic mass loss through feedbacks between water and heat fluxes, topographic forcing, till deformation and basal sliding. Here we show that sedimentary basins may amplify critical feedbacks that are known to impact ice-sheet retreat dynamics. We create a high-resolution subglacial geology classification for Antarctica by applying a supervised machine-learning method to geophysical data, revealing the distribution of sedimentary basins. Hydro-mechanical numerical modelling demonstrates that during glacial retreat, where sedimentary basins exist, the groundwater discharge rate scales with the rate of ice unloading. Antarctica's most dynamic ice streams, including Thwaites and Pine Island glaciers, possess sedimentary basins in their upper catchments. Enhanced groundwater discharge and its associated feedbacks are likely to amplify basal sliding and increase the vulnerability of these catchments to rapid ice retreat and enhanced dynamic mass loss.</t>
  </si>
  <si>
    <t>[Li, Lu; Aitken, Alan R. A.; Lindsay, Mark D.] Univ Western Australia, Sch Earth Sci, Perth, WA, Australia; [Aitken, Alan R. A.] Univ Western Australia, Australian Ctr Excellence Antarctic Sci, Perth, WA, Australia; [Lindsay, Mark D.] CSIRO Mineral Resources, Perth, WA, Australia; [Lindsay, Mark D.] ARC Ind Transformat &amp; Training Ctr Data Analyt Re, Sydney, NSW, Australia; [Kulessa, Bernd] Swansea Univ, Sch Biosci Geog &amp; Phys, Swansea, W Glam, Wales; [Kulessa, Bernd] Univ Tasmania, Sch Geog Planning &amp; Spatial Sci, Hobart, Tas, Australia</t>
  </si>
  <si>
    <t>University of Western Australia; University of Western Australia; Commonwealth Scientific &amp; Industrial Research Organisation (CSIRO); Swansea University; University of Tasmania</t>
  </si>
  <si>
    <t>Li, L (corresponding author), Univ Western Australia, Sch Earth Sci, Perth, WA, Australia.</t>
  </si>
  <si>
    <t>lu.li@research.uwa.edu.au</t>
  </si>
  <si>
    <t>Li, Lu/JCO-8017-2023</t>
  </si>
  <si>
    <t>Li, Lu/0000-0001-6165-2828; Kulessa, Bernd/0000-0002-4830-4949; Aitken, Alan/0000-0002-6375-2504</t>
  </si>
  <si>
    <t>Australian Research Council Special Research Initiative, Australian Centre for Excellence in Antarctic Science [SR200100008]; China Scholarship Council-The University of Western Australia [201806170054]; ARC DECRA [DE190100431]; ARC ITTC [IC190100031]; NERC [NE/R010838/1, NE/S006621/1] Funding Source: UKRI</t>
  </si>
  <si>
    <t>Australian Research Council Special Research Initiative, Australian Centre for Excellence in Antarctic Science(Australian Research Council); China Scholarship Council-The University of Western Australia(China Scholarship Council); ARC DECRA(Australian Research Council); ARC ITTC; NERC(UK Research &amp; Innovation (UKRI)Natural Environment Research Council (NERC))</t>
  </si>
  <si>
    <t>We thank M. Morlighem for providing basal friction data. This research was supported by the Australian Research Council Special Research Initiative, Australian Centre for Excellence in Antarctic Science (project number SR200100008). L.L. was supported by China Scholarship Council-The University of Western Australia joint PhD scholarship (201806170054). M.D.L. was supported by ARC DECRA DE190100431 and ARC ITTC IC190100031. We thank M. Siegert for his constructive comments on an earlier version of the manuscript.</t>
  </si>
  <si>
    <t>10.1038/s41561-022-00992-5</t>
  </si>
  <si>
    <t>WOS:000832487600002</t>
  </si>
  <si>
    <t>Layton, C; Vermont, H; Beggs, H; Brassington, GB; Burke, AD; Hepburn, L; Holbrook, N; Marshall-Grey, W; Mesaglio, T; Parvizi, E; Rankin, J; Pilo, GS; Velásquez, M</t>
  </si>
  <si>
    <t>Layton, Cayne; Vermont, Harrison; Beggs, Helen; Brassington, Gary B.; Burke, Ashley D.; Hepburn, Libby; Holbrook, Neil; Marshall-Grey, William; Mesaglio, Thomas; Parvizi, Elahe; Rankin, Jayde; Pilo, Gabriela Semolini; Velasquez, Marcel</t>
  </si>
  <si>
    <t>Giant kelp rafts wash ashore 450 km from the nearest populations and against the dominant ocean current</t>
  </si>
  <si>
    <t>barnacle; dispersal; Lepas; Macrocystis; wrack</t>
  </si>
  <si>
    <t>[Layton, Cayne; Holbrook, Neil] Univ Tasmania, Inst Marine &amp; Antarctic Studies, Hobart, Tas, Australia; [Layton, Cayne] Univ Tasmania, Ctr Marine Socioecol, Hobart, Tas, Australia; [Beggs, Helen; Brassington, Gary B.] Australian Bur Meteorol, Melbourne, Vic, Australia; [Hepburn, Libby] Atlas Life, Merimbula, NSW, Australia; [Marshall-Grey, William] Merimbula Aquarium, Merimbula, NSW, Australia; [Marshall-Grey, William; Rankin, Jayde] Dive Eden, Eden, NSW, Australia; [Mesaglio, Thomas] UNSW, Sch Biol Earth &amp; Environm Sci, Ctr Ecosyst Sci, Sydney, NSW, Australia; [Mesaglio, Thomas] UNSW, Sch Biol Earth &amp; Environm Sci, Ecol &amp; Evolut Res Ctr, Sydney, NSW, Australia; [Parvizi, Elahe] Univ Otago, Dept Zool, Dunedin, New Zealand; [Pilo, Gabriela Semolini] Integrated Marine Observing Syst, Hobart, Tas, Australia; [Pilo, Gabriela Semolini] CSIRO Oceans &amp; Atmosphere, Hobart, Tas, Australia; [Velasquez, Marcel] Univ Sao Paulo, Ribeirao Preto, Brazil; [Velasquez, Marcel] Univ Laval, Quebec City, PQ, Canada</t>
  </si>
  <si>
    <t>University of Tasmania; University of Tasmania; Bureau of Meteorology - Australia; University of New South Wales Sydney; University of New South Wales Sydney; University of Otago; Commonwealth Scientific &amp; Industrial Research Organisation (CSIRO); Universidade de Sao Paulo; Laval University</t>
  </si>
  <si>
    <t>Layton, C (corresponding author), Univ Tasmania, Inst Marine &amp; Antarctic Studies, Hobart, Tas, Australia.;Layton, C (corresponding author), Univ Tasmania, Ctr Marine Socioecol, Hobart, Tas, Australia.</t>
  </si>
  <si>
    <t>cayne.layton@utas.edu.au</t>
  </si>
  <si>
    <t>Parvizi, Elahe/HKV-4514-2023; Holbrook, Neil/M-7544-2013; Layton, Cayne/J-8443-2013</t>
  </si>
  <si>
    <t>Holbrook, Neil/0000-0002-3523-6254; Brassington, Gary/0000-0002-4227-3221; Layton, Cayne/0000-0002-3390-6437; Mesaglio, Thomas/0000-0002-1096-6066</t>
  </si>
  <si>
    <t>Nature Conservancy</t>
  </si>
  <si>
    <t>The Nature Conservancy</t>
  </si>
  <si>
    <t>e3795</t>
  </si>
  <si>
    <t>10.1002/ecy.3795</t>
  </si>
  <si>
    <t>5A8AK</t>
  </si>
  <si>
    <t>WOS:000831058100001</t>
  </si>
  <si>
    <t>Rosevear, M; Galton-Fenzi, B; Stevens, C</t>
  </si>
  <si>
    <t>Rosevear, Madelaine; Galton-Fenzi, Benjamin; Stevens, Craig</t>
  </si>
  <si>
    <t>Evaluation of basal melting parameterisations using in situ ocean and melting observations from the Amery Ice Shelf, East Antarctica</t>
  </si>
  <si>
    <t>PINE ISLAND GLACIER; BOUNDARY-LAYER BENEATH; THERMOHALINE CIRCULATION; SEA-ICE; MODEL; WATER; VARIABILITY; CONVECTION; ABLATION; FRONT</t>
  </si>
  <si>
    <t>Ocean-driven melting of Antarctic ice shelves is causing accelerating loss of grounded ice from the Antarctic continent. However, the ocean processes governing ice shelf melting are not well understood, contributing to uncertainty in projections of Antarctica's contribution to sea level. Here, we analyse oceanographic data and in situ measurements of ice shelf melt collected from an instrumented mooring beneath the centre of the Amery Ice Shelf, East Antarctica. This is the first direct measurement of basal melting from the Amery Ice Shelf and was made through the novel application of an upward-facing acoustic Doppler current profiler (ADCP). ADCP data were also used to map a region of the ice base, revealing a steep topographic feature or scarp in the ice with vertical and horizontal scales of similar to 20 and similar to 40 m, respectively. The annually averaged ADCP-derived melt rate of 0.51 +/- 0.18 m yr(-1) is consistent with previous modelling results and glaciological estimates. There is significant seasonal variation around the mean melt rate, with a 40 % increase in melting in May and a 60 % decrease in September. Melting is driven by temperatures similar to 0.2 degrees C above the local freezing point and background and tidal currents, which have typical speeds of 3.0 and 10.0 cm s(-1), respectively. We use the coincident measurements of ice shelf melt and oceanographic forcing to evaluate parameterisations of ice-ocean interactions and find that parameterisations in which there is an explicit dependence of the melt rate on current speed beneath the ice tend to overestimate the local melt rate at AMO6 by between 200 % and 400 %, depending on the choice of drag coefficient. A convective parameterisation in which melting is a function of the slope of the ice base is also evaluated and is shown to underpredict melting by 20 % at this site. By combining these new estimates with available observations from other ice shelves, we show that the commonly used current speed-dependent parameterisation overestimates melting at all but the coldest and most energetic cavity conditions.</t>
  </si>
  <si>
    <t>[Rosevear, Madelaine] Univ Tasmania, Inst Marine &amp; Antarctic Studies, Hobart, Tas, Australia; [Rosevear, Madelaine] Univ Western Australia, Oceans Grad Sch, Perth, WA, Australia; [Galton-Fenzi, Benjamin] Australian Antarctic Div, Kingston, Australia; [Galton-Fenzi, Benjamin] Univ Tasmania, Australian Ctr Excellence Antarctic Sci, Hobart, Tas, Australia; [Galton-Fenzi, Benjamin] Univ Tasmania, Inst Marine &amp; Antarctic Studies, Australian Antarctic Program Partnership, Hobart, Tas, Australia; [Stevens, Craig] Natl Inst Water &amp; Atmospher Res, Wellington, New Zealand; [Stevens, Craig] Univ Auckland, Dept Phys, Auckland, New Zealand</t>
  </si>
  <si>
    <t>University of Tasmania; University of Western Australia; Australian Antarctic Division; University of Tasmania; University of Tasmania; National Institute of Water &amp; Atmospheric Research (NIWA) - New Zealand; University of Auckland</t>
  </si>
  <si>
    <t>Rosevear, M (corresponding author), Univ Tasmania, Inst Marine &amp; Antarctic Studies, Hobart, Tas, Australia.;Rosevear, M (corresponding author), Univ Western Australia, Oceans Grad Sch, Perth, WA, Australia.</t>
  </si>
  <si>
    <t>Galton-Fenzi, Benjamin Keith/0000-0003-1404-4103; Stevens, Craig/0000-0002-4730-6985</t>
  </si>
  <si>
    <t>Australian Research Council's Special Research Initiative for Antarctic Gateway Partnership [SR140300001]; Australian Government as part of the Antarctic Science Collaboration Initiative program [ASCI000002]; New Zealand Antarctic Science Platform [ANTA1801]</t>
  </si>
  <si>
    <t>Australian Research Council's Special Research Initiative for Antarctic Gateway Partnership(Australian Research Council); Australian Government as part of the Antarctic Science Collaboration Initiative program(Australian Government); New Zealand Antarctic Science Platform</t>
  </si>
  <si>
    <t>This research was supported under the Australian Research Council's Special Research Initiative for Antarctic Gateway Partnership (project ID SR140300001). Ben Galton-Fenzi received grant funding from the Australian Government as part of the Antarctic Science Collaboration Initiative program (ASCI000002). Craig Stevens is supported by the New Zealand Antarctic Science Platform (ANTA1801).</t>
  </si>
  <si>
    <t>10.5194/os-18-1109-2022</t>
  </si>
  <si>
    <t>3G3ZG</t>
  </si>
  <si>
    <t>WOS:000831294000001</t>
  </si>
  <si>
    <t>Rabosky, DL</t>
  </si>
  <si>
    <t>Rabosky, Daniel L.</t>
  </si>
  <si>
    <t>Evolutionary time and species diversity in aquatic ecosystems worldwide</t>
  </si>
  <si>
    <t>BIOLOGICAL REVIEWS</t>
  </si>
  <si>
    <t>biodiversity; species richness; diversification; deep sea; polar; biome; lake; marine; ocean; latitudinal diversity gradient</t>
  </si>
  <si>
    <t>DEEP-SEA; ADAPTIVE RADIATION; MARINE BIODIVERSITY; LATITUDINAL GRADIENTS; RICHNESS PATTERNS; SPECIATION; ENERGY; LAKE; SCALE; MODEL</t>
  </si>
  <si>
    <t>The latitudinal diversity gradient (LDG) is frequently described as the most dramatic biodiversity pattern on Earth, yet ecologists and biogeographers have failed to reach consensus on its primary cause. A key problem in explaining the LDG involves collinearity between multiple factors that are predicted to affect species richness in the same direction. In terrestrial systems, energy input, geographic area, and evolutionary time for species accumulation tend to covary positively with species richness at the largest spatial scales, such that their individual contributions to the LDG are confounded in global analyses. I review three diversity patterns from marine and freshwater systems that break this collinearity and which may thus provide stronger tests of the influence of time on global richness gradients. Specifically, I contrast biodiversity patterns along oceanic depth gradients, in geologically young versus ancient lakes, and in the north versus south polar marine biomes. I focus primarily on fishes due to greater data availability but synthesize patterns for invertebrates where possible. I find that regional-to-global species richness generally declines with depth in the oceans, despite the great age and stability of the deep-sea biome. Geologically ancient lakes generally do not contain more species than young lakes, and the Antarctic marine biome is not appreciably more species rich than the much younger Arctic marine biome. However, endemism is consistently higher in older systems. Patterns for invertebrate groups are less clear than for fishes and reflect a critical need for primary biodiversity data. In summary, the available data suggest that species richness is either decoupled from or only weakly related to the amount of time for diversification. These results suggest that energy, productivity, or geographic area are the primary drivers of large-scale diversity gradients. To the extent that marine and terrestrial diversity gradients result from similar processes, these examples provide evidence against a primary role for evolutionary time as the cause of the LDG.</t>
  </si>
  <si>
    <t>[Rabosky, Daniel L.] Univ Michigan, Museum Zool, 2032 Biol Sci Bldg, Ann Arbor, MI 48109 USA; [Rabosky, Daniel L.] Univ Michigan, Dept Ecol &amp; Evolutionary Biol, 2032 Biol Sci Bldg, Ann Arbor, MI 48109 USA</t>
  </si>
  <si>
    <t>University of Michigan System; University of Michigan; University of Michigan System; University of Michigan</t>
  </si>
  <si>
    <t>Rabosky, DL (corresponding author), Univ Michigan, Museum Zool, 2032 Biol Sci Bldg, Ann Arbor, MI 48109 USA.;Rabosky, DL (corresponding author), Univ Michigan, Dept Ecol &amp; Evolutionary Biol, 2032 Biol Sci Bldg, Ann Arbor, MI 48109 USA.</t>
  </si>
  <si>
    <t>drabosky@umich.edu</t>
  </si>
  <si>
    <t>David and Lucile Packard Foundation</t>
  </si>
  <si>
    <t>David and Lucile Packard Foundation(The David &amp; Lucile Packard Foundation)</t>
  </si>
  <si>
    <t>I thank C. Chaudhary, M. Costello, and M. K. Oliver for making data available that underlies several figures. J. Chang and P. Title helped generate the spatial and depth data set for fishes used in Fig. 3. I thank A. Rabosky, two anonymous reviewers, and the Neotropical Diversity reading group at the University of Michigan for comments that improved the manuscript. This work was supported by a fellowship from the David and Lucile Packard Foundation.</t>
  </si>
  <si>
    <t>1464-7931</t>
  </si>
  <si>
    <t>1469-185X</t>
  </si>
  <si>
    <t>BIOL REV</t>
  </si>
  <si>
    <t>Biol. Rev.</t>
  </si>
  <si>
    <t>10.1111/brv.12884</t>
  </si>
  <si>
    <t>5Y5AE</t>
  </si>
  <si>
    <t>WOS:000831046500001</t>
  </si>
  <si>
    <t>Zheng, YX; Stevens, DP; Heywood, KJ; Webber, BGM; Queste, BY</t>
  </si>
  <si>
    <t>Zheng, Yixi; Stevens, David P.; Heywood, Karen J.; Webber, Benjamin G. M.; Queste, Bastien Y.</t>
  </si>
  <si>
    <t>Reversal of ocean gyres near ice shelves in the Amundsen Sea caused by the interaction of sea ice and wind</t>
  </si>
  <si>
    <t>PINE ISLAND GLACIER; CIRCULATION; WATER; MELT; BAY; SENSITIVITY; IMPACT; ZONE</t>
  </si>
  <si>
    <t>Floating ice shelves buttress the Antarctic Ice Sheet, which is losing mass rapidly mainly due to ocean-driven melting and the associated disruption to glacial dynamics. The local ocean circulation near ice shelves is therefore important for the prediction of future ice mass loss and related sea-level rise as it determines the water mass exchange, heat transport under the ice shelf and resultant melting. However, the dynamics controlling the near-coastal circulation are not fully understood. A cyclonic (i.e. clockwise) gyre circulation (27 km radius) in front of the Pine Island Ice Shelf has previously been identified in both numerical models and velocity observations. Mooring data further revealed a potential reversal of this gyre during an abnormally cold period. Here we present ship-based observations from 2019 to the west of Thwaites Ice Shelf, revealing another gyre (13 km radius) for the first time in this habitually ice-covered region, rotating in the opposite (anticyclonic, anticlockwise) direction to the gyre near Pine Island Ice Shelf, despite similar wind forcing. We use an idealised configuration of MITgcm, with idealised forcing based on ERA5 climatological wind fields and a range of idealised sea ice conditions typical for the region, to reproduce key features of the observed gyres near Pine Island Ice Shelf and Thwaites Ice Shelf. The model driven solely by wind forcing in the presence of ice can reproduce the horizontal structure and direction of both gyres. We show that the modelled gyre direction depends upon the spatial difference in the ocean surface stress, which can be affected by the applied wind stress curl filed, the percentage of wind stress transferred through the ice, and the angle between the wind direction and the sea ice edge. The presence of ice, either it is fast ice/ice shelves blocking the effect of wind or mobile sea ice enhancing the effect of wind, has the potential to reverse the gyre direction relative to ice-free conditions.</t>
  </si>
  <si>
    <t>[Zheng, Yixi; Heywood, Karen J.; Webber, Benjamin G. M.] Univ East Anglia, Sch Environm Sci, Ctr Ocean &amp; Atmospher Sci, Norwich NR4 7TJ, Norfolk, England; [Stevens, David P.] Univ East Anglia, Ctr Ocean &amp; Atmospher Sci, Sch Math, Norwich NR4 7TJ, Norfolk, England; [Queste, Bastien Y.] Univ Gothenburg, Dept Marine Sci, Box 461, S-40530 Gothenburg, Sweden</t>
  </si>
  <si>
    <t>University of East Anglia; University of East Anglia; University of Gothenburg</t>
  </si>
  <si>
    <t>Zheng, YX (corresponding author), Univ East Anglia, Sch Environm Sci, Ctr Ocean &amp; Atmospher Sci, Norwich NR4 7TJ, Norfolk, England.</t>
  </si>
  <si>
    <t>yixi.zheng@uea.ac.uk</t>
  </si>
  <si>
    <t>Webber, Benjamin G M/J-7096-2015; Heywood, Karen/L-1757-2016; Stevens, David/F-2509-2010</t>
  </si>
  <si>
    <t>Zheng, Yixi/0000-0003-3136-1311; Heywood, Karen/0000-0001-9859-0026; Stevens, David/0000-0002-7283-4405; Webber, Ben/0000-0002-8812-5929; Queste, Bastien/0000-0002-3786-2275</t>
  </si>
  <si>
    <t>National Science Foundation; Natural Environment Research Council (NERC) [NE/S006419/1]; European Research Council (H2020EU.1.1.) under research grant Climate-relevant Ocean Measurements and Processes on the Antarctic continental Shelf and Slope (COMPASS) [741120]; China Scholarship Council; University of East Anglia; NERC [NE/S006419/1] Funding Source: UKRI; European Research Council (ERC) [741120] Funding Source: European Research Council (ERC)</t>
  </si>
  <si>
    <t>National Science Foundation(National Science Foundation (NSF)); Natural Environment Research Council (NERC)(UK Research &amp; Innovation (UKRI)Natural Environment Research Council (NERC)); European Research Council (H2020EU.1.1.) under research grant Climate-relevant Ocean Measurements and Processes on the Antarctic continental Shelf and Slope (COMPASS); China Scholarship Council(China Scholarship Council); University of East Anglia; NERC(UK Research &amp; Innovation (UKRI)Natural Environment Research Council (NERC)); European Research Council (ERC)(European Research Council (ERC)Spanish Government)</t>
  </si>
  <si>
    <t>This work is from the Thwaites-Amundsen Regional Survey and Network (TARSAN) project, a component of the International Thwaites Glacier Collaboration (ITGC), with ITGC contribution no. ITGC-059. Support was received from the National Science Foundation and Natural Environment Research Council (NERC grant NE/S006419/1). Logistics were provided by the NSFUS Antarctic Program and NERC British Antarctic Survey. This work is also funded by the European Research Council (H2020EU.1.1.) under research grant Climate-relevant Ocean Measurements and Processes on the Antarctic continental Shelf and Slope (COMPASS, grant agreement ID 741120). Yixi Zheng is supported by the China Scholarship Council and the University of East Anglia.</t>
  </si>
  <si>
    <t>10.5194/tc-16-3005-2022</t>
  </si>
  <si>
    <t>3G0ST</t>
  </si>
  <si>
    <t>WOS:000831068000001</t>
  </si>
  <si>
    <t>Hoffman, AO; Christianson, K; Holschuh, N; Case, E; Kingslake, J; Arthern, R</t>
  </si>
  <si>
    <t>Hoffman, Andrew O.; Christianson, Knut; Holschuh, Nicholas; Case, Elizabeth; Kingslake, Jonathan; Arthern, Robert</t>
  </si>
  <si>
    <t>The Impact of Basal Roughness on Inland Thwaites Glacier Sliding</t>
  </si>
  <si>
    <t>ice sheets; glacier sliding; ice sheet modeling</t>
  </si>
  <si>
    <t>PINE ISLAND GLACIER; KOHLER GLACIERS; WEST ANTARCTICA; SENSITIVITY; RETREAT; BASIN; SMITH; LAW</t>
  </si>
  <si>
    <t>Swath radar technology enables three-dimensional mapping of modern glacier beds over large areas at resolutions that are higher than those typically used in ice-flow models. These data may enable new understanding of processes at the ice-bed interface. Here, we use two densely surveyed swath-mapped topographies (&lt;50 m(2) resolution) of Thwaites Glacier to investigate the sensitivity of inferred basal friction proxies to bed roughness magnitude and orientation. Our work suggests that along-flow roughness influences inferred friction more than transverse-flow roughness, which agrees with analytic form-drag sliding theory. Using our model results, we calculate the slip length (the ratio of internal shear to basal slip). We find excellent agreement between the numerically derived slip lengths and slip lengths predicted by analytic form-drag sliding theory, which suggests that unresolved short wavelength bed roughness may control sliding in the Thwaites interior.</t>
  </si>
  <si>
    <t>[Hoffman, Andrew O.; Christianson, Knut] Univ Washington, Dept Earth &amp; Space Sci, Seattle, WA 98195 USA; [Hoffman, Andrew O.] Univ Washington, Polar Sci Ctr, Appl Phys Lab, Seattle, WA 98195 USA; [Holschuh, Nicholas] Amherst Coll, Dept Geol, Amherst, MA 01002 USA; [Case, Elizabeth; Kingslake, Jonathan] Columbia Univ, Dept Earth &amp; Environm Sci, New York, NY USA; [Arthern, Robert] British Antarctic Survey, Cambridge, England</t>
  </si>
  <si>
    <t>University of Washington; University of Washington Seattle; University of Washington; University of Washington Seattle; Amherst College; Columbia University; UK Research &amp; Innovation (UKRI); Natural Environment Research Council (NERC); NERC British Antarctic Survey</t>
  </si>
  <si>
    <t>Hoffman, AO (corresponding author), Univ Washington, Dept Earth &amp; Space Sci, Seattle, WA 98195 USA.;Hoffman, AO (corresponding author), Univ Washington, Polar Sci Ctr, Appl Phys Lab, Seattle, WA 98195 USA.</t>
  </si>
  <si>
    <t>hoffmaao@uw.edu</t>
  </si>
  <si>
    <t>Holschuh, Nicholas/0000-0003-1703-5085; Hoffman, Andrew/0000-0003-1236-5704; Case, Elizabeth/0000-0002-8169-0343</t>
  </si>
  <si>
    <t>NASA FINESST award [80NSSC20K1627]; NASA sea-level change team [80NSSC17K0698]; NSF-NERC International Thwaites Glacier Collaboration [OPP-1738934]</t>
  </si>
  <si>
    <t>NASA FINESST award; NASA sea-level change team; NSF-NERC International Thwaites Glacier Collaboration</t>
  </si>
  <si>
    <t>The work was supported by a NASA FINESST award (Grant 80NSSC20K1627), the NASA sea-level change team (Grant 80NSSC17K0698), and the NSF-NERC International Thwaites Glacier Collaboration (grant OPP-1738934).</t>
  </si>
  <si>
    <t>e2021GL096564</t>
  </si>
  <si>
    <t>10.1029/2021GL096564</t>
  </si>
  <si>
    <t>3A7OV</t>
  </si>
  <si>
    <t>WOS:000827446100001</t>
  </si>
  <si>
    <t>Nichols, RC; Cade, DE; Kahane-Rapport, S; Goldbogen, J; Stimpert, A; Nowacek, D; Read, AJ; Johnston, DW; Friedlaender, A</t>
  </si>
  <si>
    <t>Nichols, Ross C.; Cade, David E.; Kahane-Rapport, Shirel; Goldbogen, Jeremy; Stimpert, Alison; Nowacek, Douglas; Read, Andrew J.; Johnston, David W.; Friedlaender, Ari</t>
  </si>
  <si>
    <t>Intra-seasonal variation in feeding rates and diel foraging behaviour in a seasonally fasting mammal, the humpback whale</t>
  </si>
  <si>
    <t>humpback whale; foraging ecology; seasonal foraging; fasting mammal; Antarctic; biologging</t>
  </si>
  <si>
    <t>KRILL EUPHAUSIA-SUPERBA; ANTARCTIC KRILL; VERTICAL MIGRATION; MARINE MAMMALS; HIBERNATION; WEST; EVOLUTION; LIMITS; WILD</t>
  </si>
  <si>
    <t>Antarctic humpback whales forage in summer, coincident with the seasonal abundance of their primary prey, the Antarctic krill. During the feeding season, humpback whales accumulate energy stores sufficient to fuel their fasting period lasting over six months. Previous animal movement modelling work (using area-restricted search as a proxy) suggests a hyperphagic period late in the feeding season, similar in timing to some terrestrial fasting mammals. However, no direct measures of seasonal foraging behaviour existed to corroborate this hypothesis. We attached high-resolution, motion-sensing biologging tags to 69 humpback whales along the Western Antarctic Peninsula throughout the feeding season from January to June to determine how foraging effort changes throughout the season. Our results did not support existing hypotheses: we found a significant reduction in foraging presence and feeding rates from the beginning to the end of the feeding season. During the early summer period, feeding occurred during all hours at high rates. As the season progressed, foraging occurred mostly at night and at lower rates. We provide novel information on seasonal changes in foraging of humpback whales and suggest that these animals, contrary to nearly all other animals that seasonally fast, exhibit high feeding rates soon after exiting the fasting period</t>
  </si>
  <si>
    <t>[Nichols, Ross C.; Friedlaender, Ari] Univ Calif Santa Cruz, Inst Marine Sci, Long Marine Lab, Santa Cruz 115 McAllister Way, Santa Cruz, CA 95060 USA; [Cade, David E.; Kahane-Rapport, Shirel; Goldbogen, Jeremy] Stanford Univ, Dept Biol, Hopkins Marine Stn, 120 Ocean View Blvd, Pacific Grove, CA 93950 USA; [Stimpert, Alison] San Jose State Univ, Moss Landing Marine Labs, 8272 Moss Landing Rd, Moss Landing, CA 95039 USA; [Nowacek, Douglas; Read, Andrew J.; Johnston, David W.] Duke Univ, Nicholas Sch Environm &amp; Earth Sci, Marine Lab, 135 Duke Marine Lab Rd, Beaufort, NC 28516 USA</t>
  </si>
  <si>
    <t>University of California System; University of California Santa Cruz; Stanford University; Moss Landing Marine Laboratories; California State University System; San Jose State University; Duke University</t>
  </si>
  <si>
    <t>Nichols, RC (corresponding author), Univ Calif Santa Cruz, Inst Marine Sci, Long Marine Lab, Santa Cruz 115 McAllister Way, Santa Cruz, CA 95060 USA.</t>
  </si>
  <si>
    <t>rcnichol@ucsc.edu</t>
  </si>
  <si>
    <t>Johnston, David/0000-0003-2424-036X; Nichols, Ross/0000-0003-2890-3079; Nowacek, Douglas/0000-0002-8137-1836; Stimpert, Alison/0000-0002-9400-0305; Goldbogen, Jeremy/0000-0002-4170-7294; Cade, David/0000-0003-3641-1242; Friedlaender, Ari/0000-0002-2822-233X; Kahane-Rapport, Shirel/0000-0002-5208-1100</t>
  </si>
  <si>
    <t>NSF; WWF; IWC</t>
  </si>
  <si>
    <t>NSF(National Science Foundation (NSF)); WWF; IWC</t>
  </si>
  <si>
    <t>The authors thank the boat crew of the R.V. Laurence M. Gould and R.V. Nathaniel B. Palmer, colleagues within the Palmer Station Long Term Ecological Research Project on the Antarctic Peninsula (https://pal.lternet.edu) and all Antarctic Support Contract staff. We would also like to acknowledge Logan Pallin, Caroline Casey, Greg Larsen, Amanda Lohman, Michelle Modest, Nicole Wilson and Emily Nazario for their support. We thank our funding agencies NSF, WWF and the IWC for supporting this project.</t>
  </si>
  <si>
    <t>JUL 27</t>
  </si>
  <si>
    <t>10.1098/rsos.211674</t>
  </si>
  <si>
    <t>8Z6QM</t>
  </si>
  <si>
    <t>WOS:000933500700001</t>
  </si>
  <si>
    <t>Casey, CB; Weindorf, S; Levy, E; Linsky, JMJ; Cade, DE; Goldbogen, JA; Nowacek, DP; Friedlaender, AS</t>
  </si>
  <si>
    <t>Casey, C. B.; Weindorf, S.; Levy, E.; Linsky, J. M. J.; Cade, D. E.; Goldbogen, J. A.; Nowacek, D. P.; Friedlaender, A. S.</t>
  </si>
  <si>
    <t>Acoustic signalling and behaviour of Antarctic minke whales (Balaenoptera bonaerensis)</t>
  </si>
  <si>
    <t>acoustic communication; baleen whales; biologging; Antarctic minke whales; behaviour</t>
  </si>
  <si>
    <t>HUMPBACK WHALES; EUBALAENA-GLACIALIS; MARINE MAMMALS; SONGS; VOCALIZATIONS; TAG</t>
  </si>
  <si>
    <t>Acoustic signalling is the predominant form of communication among cetaceans. Understanding the behavioural state of calling individuals can provide insights into the specific function of sound production; in turn, this information can aid the evaluation of passive monitoring datasets to estimate species presence, density, and behaviour. Antarctic minke whales are the most numerous baleen whale species in the Southern Ocean. However, our knowledge of their vocal behaviour is limited. Using, to our knowledge, the first animal-borne audio-video documentation of underwater behaviour in this species, we characterize Antarctic minke whale sound production and evaluate the association between acoustic behaviour, foraging behaviour, diel patterns and the presence of close conspecifics. In addition to the previously described downsweep call, we find evidence of three novel calls not previously described in their vocal repertoire. Overall, these signals displayed peak frequencies between 90 and 175 Hz and ranged from 0.2 to 0.8 s on average (90% duration). Additionally, each of the four call types was associated with measured behavioural and environmental parameters. Our results represent a significant advancement in understanding of the life history of this species and improve our capacity to acoustically monitor minke whales in a rapidly changing Antarctic region.</t>
  </si>
  <si>
    <t>[Casey, C. B.; Weindorf, S.; Levy, E.; Linsky, J. M. J.; Cade, D. E.; Friedlaender, A. S.] UC Santa Cruz, Long Marine Lab, Instittute Marine Sci, 115 McAllister Way, Santa Cruz, CA 95060 USA; [Friedlaender, A. S.] UC Santa Cruz, Ocean Sci Dept, 115 McAllister Way, Santa Cruz, CA 95060 USA; [Cade, D. E.; Goldbogen, J. A.] Stanford Univ, Dept Biol, Hopkins Marine Stn, 120 Ocean View Blvd, Pacific Grove, CA 93950 USA; [Nowacek, D. P.] Duke Univ, Nicholas Sch Environm, Marine Lab, 135 Duke Marine Lab Rd, Beaufort, NC 28516 USA; [Nowacek, D. P.] Duke Univ, Pratt Sch Engn, Marine Lab, 135 Duke Marine Lab Rd, Beaufort, NC 28516 USA</t>
  </si>
  <si>
    <t>University of California System; University of California Santa Cruz; University of California System; University of California Santa Cruz; Stanford University; Duke University; Duke University</t>
  </si>
  <si>
    <t>Friedlaender, AS (corresponding author), UC Santa Cruz, Long Marine Lab, Instittute Marine Sci, 115 McAllister Way, Santa Cruz, CA 95060 USA.;Friedlaender, AS (corresponding author), UC Santa Cruz, Ocean Sci Dept, 115 McAllister Way, Santa Cruz, CA 95060 USA.</t>
  </si>
  <si>
    <t>ari.friedlaender@ucsc.edu</t>
  </si>
  <si>
    <t>Linsky, Jacob/JXN-2072-2024</t>
  </si>
  <si>
    <t>Linsky, Jacob/0000-0002-2851-8835; Cade, David/0000-0003-3641-1242; Friedlaender, Ari/0000-0002-2822-233X</t>
  </si>
  <si>
    <t>National Science Foundation's Office of Polar Programs [1643877, 1644209]; World Wildlife Fund [P0710, 0711-02]; Directorate For Geosciences [1643877] Funding Source: National Science Foundation; Office of Polar Programs (OPP) [1643877] Funding Source: National Science Foundation; Office of Polar Programs (OPP); Directorate For Geosciences [1644209] Funding Source: National Science Foundation</t>
  </si>
  <si>
    <t>National Science Foundation's Office of Polar Programs(National Science Foundation (NSF)); World Wildlife Fund;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</si>
  <si>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This research was supported by the National Science Foundation's Office of Polar Programs via grant nos. 1643877 and 1644209, and by World Wildlife Fund grant nos. P0710 and 0711-02 to A.S.F. All others contributed under these awards.</t>
  </si>
  <si>
    <t>10.1098/rsos.211557</t>
  </si>
  <si>
    <t>6H9SE</t>
  </si>
  <si>
    <t>WOS:000885769400018</t>
  </si>
  <si>
    <t>Agangi, A; Hofmann, A; Eickmann, B; Ossa, FO; Tyler, P; Wing, B; Bekker, A</t>
  </si>
  <si>
    <t>Agangi, Andrea; Hofmann, Axel; Eickmann, Benjamin; Ossa, Frantz Ossa; Tyler, Perinne; Wing, Boswell; Bekker, Andrey</t>
  </si>
  <si>
    <t>A multiple sulfur record of super-large volcanic eruptions in Archaean pyrite nodules</t>
  </si>
  <si>
    <t>Archaean; multiple-S isotopes; Kaapvaal; pyrite</t>
  </si>
  <si>
    <t>MASS-INDEPENDENT FRACTIONATION; MESOARCHEAN WITWATERSRAND; ISOTOPE FRACTIONATION; ATMOSPHERIC OXYGEN; KAAPVAAL CRATON; SO2 PHOTOLYSIS; DOMINION GROUP; EARLY HISTORY; SULFATE; DEPENDENCE</t>
  </si>
  <si>
    <t>Archaean supracrustal rocks carry a record of mass-independently fractionated S that is interpreted to be derived from UV-induced photochemical reactions in an oxygen-deficient atmosphere. Experiments with photochemical reactions of SO2 gas have provided some insight into these processes. However, reconciling experimental results with the multiple S isotopic composition of the Archaean sedimentary record has proven difficult and represents one of the outstanding issues in understanding the Archaean surface S-cycle. We present quadruple S isotope data (S-32, S-33, S-34, S-36) for pyrite from Mesoarchaean carbonaceous sediments of the Dominion Group, South Africa, deposited in an acidic volcanic lake, which help reconcile observations from the Archaean sedimentary record with the results of photochemical experiments. The data, which show low Delta S-433/delta S-34 ratios (mostly &lt;&lt; 1) and very negative Delta S-36/Delta S-33 ratios (-4 and lower), contrast with the composition of most Archaean sedimentary sulfides and sulfates, having Delta S-36/Delta S-33 similar to -1 (the so-called 'Archaean reference array'), but match those of modern photochemical sulfate aerosols produced in the stratosphere, following super-large volcanic eruptions, and preserved in Antarctic ice. These data are also consistent with the results of UV-irradiation experiments of SO2 gas at variable gas pressure. The S isotope composition of the Dominion Group pyrite is here interpreted to reflect the products of photolysis in a low-oxygen-level atmosphere at high SO2 pressure during large volcanic eruptions, mixed with Archaean 'background' (having a composition broadly similar to the Archaean reference array) S pools. It is inferred that high sedimentation rates in a terrestrial basin resulted in an instantaneously trapped input of atmospheric S during short-lasted depositional intervals, which faithfully represents transient photochemical signals in comparison with marine sedimentary records. (C) 2022 The Author(s). Published by Elsevier B.V.</t>
  </si>
  <si>
    <t>[Agangi, Andrea] Akita Univ, Dept Earth Resource Sci, Akita, Japan; [Agangi, Andrea; Hofmann, Axel; Ossa, Frantz Ossa; Bekker, Andrey] Univ Johannesburg, Dept Geol, Johannesburg, South Africa; [Eickmann, Benjamin] Univ Los Andes, Dept Geociencias, Bogota, Colombia; [Eickmann, Benjamin] Univ Tubingen, Dept Geosci, Tubingen, Germany; [Ossa, Frantz Ossa] Cardiff Univ, Sch Earth &amp; Environm Sci, Cardiff CF10 3AT, Wales; [Tyler, Perinne] Australian Natl Univ, Res Sch Earth Sci, Canberra, ACT, Australia; [Wing, Boswell] Univ Colorado, Dept Geol Sci, Boulder, CO 80309 USA; [Bekker, Andrey] Univ Calif Riverside, Dept Earth &amp; Planetary Sci, Riverside, CA 92521 USA</t>
  </si>
  <si>
    <t>Akita University; University of Johannesburg; Universidad de los Andes (Colombia); Eberhard Karls University of Tubingen; Cardiff University; Australian National University; University of Colorado System; University of Colorado Boulder; University of California System; University of California Riverside</t>
  </si>
  <si>
    <t>Agangi, A (corresponding author), Akita Univ, Dept Earth Resource Sci, Akita, Japan.;Agangi, A (corresponding author), Univ Johannesburg, Dept Geol, Johannesburg, South Africa.</t>
  </si>
  <si>
    <t>andrea.agangi@gmail.com</t>
  </si>
  <si>
    <t>Hofmann, Axel/0000-0002-8801-0443; Agangi, Andrea/0000-0001-6315-3918; Ossa Ossa, Frantz/0000-0003-1875-8082; Eickmann, Benjamin/0000-0002-6535-3750</t>
  </si>
  <si>
    <t>CIMERA (Centre of Excellence for Mineral and Energy Resources); Natural Sciences and Engineering Research Council of Canada (NSERC); Petroleum Fund of the American Chemical Society [NSF-EF1724393]; Grants-in-Aid for Scientific Research [20KK0118, 20K05395] Funding Source: KAKEN</t>
  </si>
  <si>
    <t>CIMERA (Centre of Excellence for Mineral and Energy Resources); Natural Sciences and Engineering Research Council of Canada (NSERC)(Natural Sciences and Engineering Research Council of Canada (NSERC)); Petroleum Fund of the American Chemical Society; Grants-in-Aid for Scientific Research(Ministry of Education, Culture, Sports, Science and Technology, Japan (MEXT)Japan Society for the Promotion of ScienceGrants-in-Aid for Scientific Research (KAKENHI))</t>
  </si>
  <si>
    <t>This paper has benefitted from the comments of associated editor F. Moynier and two anonymous reviewers, which are greatly appreciated. Economic support from CIMERA (Centre of Excellence for Mineral and Energy Resources) hosted at the University of Johannesburg has been instrumental at various stages of this study. Participation by AB was supported by the Discovery and Accelerator Grants from the Natural Sciences and Engineering Research Council of Canada (NSERC) and the Petroleum Fund of the American Chemical Society. BAW acknowledges NSF-EF1724393.</t>
  </si>
  <si>
    <t>10.1016/j.epsl.2022.117737</t>
  </si>
  <si>
    <t>6L6UC</t>
  </si>
  <si>
    <t>WOS:000888318100006</t>
  </si>
  <si>
    <t>Han, MAX; Luo, GF; He, JF; Liang, YT; Chen, XC; Liu, G; Su, Y; Ge, FY; Yu, H; Zhao, J; Hao, Q; Shao, HB; Sung, YY; Mok, WJ; Wong, LL; McMinn, A; Wang, M</t>
  </si>
  <si>
    <t>Han, Meiaoxue; Luo, Guangfu; He, Jianfeng; Liang, Yantao; Chen, Xuechao; Liu, Gang; Su, Yue; Ge, Fuyue; Yu, Hao; Zhao, Jun; Hao, Qiang; Shao, Hongbing; Sung, Yeong Yik; Mok, Wen Jye; Wong, Li Lian; McMinn, Andrew; Wang, Min</t>
  </si>
  <si>
    <t>Distributions and relationships of virio- and picoplankton in the epi-, meso- and bathypelagic zones of the Amundsen Sea, West Antarctica during the austral summer</t>
  </si>
  <si>
    <t>polynya; deep sea; picoplankton; virioplankton; Amundsen Sea; upwelling</t>
  </si>
  <si>
    <t>ZOOPLANKTON FECAL PELLETS; MELTING GLACIERS FUELS; SOUTHERN-OCEAN; VIRAL-INFECTION; PHYTOPLANKTON BLOOMS; CONTINENTAL-SHELF; COASTAL WATERS; ROSS SEA; VIRUSES; ABUNDANCE</t>
  </si>
  <si>
    <t>Virioplankton and picoplankton are the most abundant marine biological entities on earth and mediate biogeochemical cycles in the Southern Ocean. However, understanding of their distribution and relationships with environmental factors is lacking. Here, we report on their distribution and relationships with environmental factors at 48 stations from 112.5 degrees to 150 degrees W and 67 degrees to 75.5 degrees S in the Amundsen Sea of West Antarctica. The epipelagic stations were grouped into four clusters based on the virio- and picoplankton composition and abundance. Clusters three and four, which were associated with the ice-edge blooms in the coastal and Amundsen Sea Polynya (ASP) areas, had high abundances of autotrophic picoeukaryotes; this resulted in subsequent high abundances of heterotrophic prokaryotes and viruses. Cluster two stations were in open oceanic areas, where the abundances of autotrophic and heterotrophic picoplankton were low. Cluster one stations were located between the areas of blooms and the oceanic areas, which had a low abundance of heterotrophic prokaryotes and picoeukaryotes and a high abundance of virioplankton. The abundance of viruses was significantly correlated with the abundances of autotrophic picoeukaryotes and Chl-a concentration in oceanic areas, although this reflected a time-lag with autotrophic picoeukaryote and heterotrophic prokaryotes abundances in ice-edge bloom areas. The upwelling of Circumpolar Deep Water (CDW) might have induced the high abundance of autotrophic picoeukaryotes in the epipelagic zone, and the sinking particulate organic carbon (POC) might have induced the high abundance of heterotrophic prokaryotes and virioplankton in the meso- and bathypelagic zones. This study shows that the summer distribution of virio- and picoplankton in the Amundsen Sea of West Antarctica was mainly controlled by upwelling of the CDW and the timing of ice-edge blooms.</t>
  </si>
  <si>
    <t>[Han, Meiaoxue; Liang, Yantao; Chen, Xuechao; Liu, Gang; Su, Yue; Ge, Fuyue; Yu, Hao; Shao, Hongbing; McMinn, Andrew; Wang, Min] Ocean Univ China, Inst Evolut &amp; Marine Biodivers, Coll Marine Life Sci, Key Lab Polar Oceanog &amp; Global Ocean Change, Qingdao, Peoples R China; [Luo, Guangfu; He, Jianfeng] Polar Res Inst China, Antarctic Great Wall Ecol Natl Observat &amp; Res Stn, Shanghai, Peoples R China; [Luo, Guangfu; He, Jianfeng] Polar Res Inst China, MNR Key Lab Polar Sci, Shanghai, Peoples R China; [Luo, Guangfu; He, Jianfeng] Tongji Univ, Coll Environm Sci &amp; Engn, Shanghai, Peoples R China; [Liang, Yantao; Shao, Hongbing; Sung, Yeong Yik; Mok, Wen Jye; Wong, Li Lian; Wang, Min] UMT OUC Joint Ctr Marine Studies, Qingdao, Peoples R China; [Zhao, Jun; Hao, Qiang] Minist Nat Resources, Inst Oceanog 2, Key Lab Marine Ecosyst Dynam, Hangzhou, Peoples R China; [Sung, Yeong Yik; Mok, Wen Jye; Wong, Li Lian] Univ Malaysia Terengganu UMT, Inst Marine Biotechnol, Kuala Terengganu, Malaysia; [McMinn, Andrew] Univ Tasmania, Inst Marine &amp; Antarctic Studies, Hobart, Tas, Australia; [Wang, Min] Qingdao Univ, Dept Crit Care Med, Affiliated Hosp, Qingdao, Peoples R China</t>
  </si>
  <si>
    <t>Ocean University of China; Polar Research Institute of China; Polar Research Institute of China; Tongji University; Ministry of Natural Resources of the People's Republic of China; Universiti Malaysia Terengganu; University of Tasmania; Qingdao University</t>
  </si>
  <si>
    <t>Liang, YT; Wang, M (corresponding author), Ocean Univ China, Inst Evolut &amp; Marine Biodivers, Coll Marine Life Sci, Key Lab Polar Oceanog &amp; Global Ocean Change, Qingdao, Peoples R China.;He, JF (corresponding author), Polar Res Inst China, Antarctic Great Wall Ecol Natl Observat &amp; Res Stn, Shanghai, Peoples R China.;He, JF (corresponding author), Polar Res Inst China, MNR Key Lab Polar Sci, Shanghai, Peoples R China.;He, JF (corresponding author), Tongji Univ, Coll Environm Sci &amp; Engn, Shanghai, Peoples R China.;Liang, YT; Wang, M (corresponding author), UMT OUC Joint Ctr Marine Studies, Qingdao, Peoples R China.;Wang, M (corresponding author), Qingdao Univ, Dept Crit Care Med, Affiliated Hosp, Qingdao, Peoples R China.</t>
  </si>
  <si>
    <t>hejianfeng@pric.org.cn; liangyantao@ouc.edu.cn; mingwang@ouc.edu.cn</t>
  </si>
  <si>
    <t>wong, li/ABF-6896-2021; Mok, Wen Jye/AAF-9229-2019; Wang, Min/AFR-9645-2022</t>
  </si>
  <si>
    <t>wong, li/0000-0003-0649-2010; Mok, Wen Jye/0000-0002-7629-8312; Wang, Min/0000-0002-2357-589X; Yeong, Yik Sung/0000-0001-5897-9037</t>
  </si>
  <si>
    <t>10.3389/fmicb.2022.941323</t>
  </si>
  <si>
    <t>3R0XZ</t>
  </si>
  <si>
    <t>WOS:000838644900001</t>
  </si>
  <si>
    <t>Opresko, DM; Stewart, R; Voza, T; Tracey, D; Brugler, MR</t>
  </si>
  <si>
    <t>Opresko, Dennis M.; Stewart, Rob; Voza, Tatiana; Tracey, Di; Brugler, Mercer R.</t>
  </si>
  <si>
    <t>New genus and species of black coral from the SW Pacific and Antarctica (Cnidaria: Anthozoa: Antipatharia: Schizopathidae)</t>
  </si>
  <si>
    <t>ZOOTAXA</t>
  </si>
  <si>
    <t>Morphological convergence; ITS2; mitochondrial DNA; New Zealand; SRP54; taxonomy; Telopathes</t>
  </si>
  <si>
    <t>MAXIMUM-LIKELIHOOD; MAFFT</t>
  </si>
  <si>
    <t>A new genus, Diplopathes, in the family Schizopathidae, and three new species are described from the Southwest Pacific and Antarctic region based on morphological data. The new genus superficially resembles Telopathes in being branched and having simple, bilateral pinnules, but differs in having strictly alternately arranged pinnules, and in having small polyps 4 mm or less in transverse diameter. Mitochondrial DNA placed Diplopathes and Telopathes in separate clades within the Schizopathidae, thus supporting the significance of seemingly subtle anatomical differences. The new species are: D. antarctica, with sparse branching, pinnules of up to 7 cm long, and polypar spines up to 0.045 mm tall; D. multipinnata, with dense branching, pinnules up to 3 cm long, and polypar spines up to 0.1 mm tall; and D. tuatoruensis, with very sparse branching, pinnules up to 10 cm long, and polypar spines up to 0.1 mm. Interestingly, the three new species do not form a monophyletic clade based on mitochondrial DNA. We propose and discuss two hypotheses to explain the results of the phylogenetic reconstruction, including that molecular and physical change are uncoupled or that we have uncovered another example of morphological convergence in unrelated species.</t>
  </si>
  <si>
    <t>[Opresko, Dennis M.; Brugler, Mercer R.] Smithsonian Inst, Dept Invertebrate Zool, US Natl Museum Nat Hist, 10th &amp; Constitut Ave NW, Washington, DC 20560 USA; [Stewart, Rob; Tracey, Di] Natl Inst Water &amp; Atmospher Res Ltd NIWA, 301 Evans Bay Parade, Wellington, New Zealand; [Voza, Tatiana] CUNY, NYC Coll Technol, Biol Sci Dept, 285 Jay St, Brooklyn, NY 11201 USA; [Brugler, Mercer R.] Univ South Carolina Beaufort, Dept Nat Sci, 801 Carteret St, Beaufort, SC 29902 USA; [Brugler, Mercer R.] Amer Museum Nat Hist, Div Invertebrate Zool, Cent Pk West &amp; 79th St, New York, NY 10024 USA</t>
  </si>
  <si>
    <t>Smithsonian Institution; Smithsonian National Museum of Natural History; National Institute of Water &amp; Atmospheric Research (NIWA) - New Zealand; City University of New York (CUNY) System; American Museum of Natural History (AMNH)</t>
  </si>
  <si>
    <t>Brugler, MR (corresponding author), Smithsonian Inst, Dept Invertebrate Zool, US Natl Museum Nat Hist, 10th &amp; Constitut Ave NW, Washington, DC 20560 USA.;Brugler, MR (corresponding author), Univ South Carolina Beaufort, Dept Nat Sci, 801 Carteret St, Beaufort, SC 29902 USA.;Brugler, MR (corresponding author), Amer Museum Nat Hist, Div Invertebrate Zool, Cent Pk West &amp; 79th St, New York, NY 10024 USA.</t>
  </si>
  <si>
    <t>dmopresko@hotmail.com; rob.stewart@niwa.co.nz; tvoza@citytech.cuny.edu; di.tracey@niwa.co.nz; mbrugler@uscb.edu</t>
  </si>
  <si>
    <t>Tracey, Dianne/0000-0002-4670-7162; Brugler, Mercer R./0000-0003-3676-1226</t>
  </si>
  <si>
    <t>Conservation Services Programme, New Zealand Department of Conservation [INT2015-03, DOC16307]; New Zealand Foundation for Research, Science and Technology; FNZ; MPI; NOAA Satellite Operations Facility; Port Royal Sound Foundation; U.S. Department of Justice</t>
  </si>
  <si>
    <t>Conservation Services Programme, New Zealand Department of Conservation; New Zealand Foundation for Research, Science and Technology(New Zealand Foundation for Research, Science and Technology); FNZ; MPI; NOAA Satellite Operations Facility(National Oceanic Atmospheric Admin (NOAA) - USA); Port Royal Sound Foundation; U.S. Department of Justice(US National Institute of Justice)</t>
  </si>
  <si>
    <t>For sample collection at-sea, the authors wish to thank scientific staff who participated in the NIWA RV Tangaroa cruises during which specimens included in this publication were collected. We also thank FNZ, MPI Observers for their sample collection. We acknowledge Conservation Services Programme, New Zealand Department of Conservation, for funding support toward the visits of authors DMO and MRB to NIWA (Project INT2015-03; NIWA Project Code DOC16307), and Sadie Mills, Collections Manager, Diana Macpherson and Dean Stotter of the NIWA Invertebrate Collection for their assistance during these visits to Wellington and for their support of this research. Samples from cruise TAN0413 were collected as part of the research program Seamounts: their importance to fisheries and marine ecosystems, undertaken by NIWA and funded by the former New Zealand Foundation for Research, Science and Technology and with additional funding from FNZ, MPI, and NOAA Satellite Operations Facility. Samples from TAN0802 were collected as part of the New Zealand International Polar Year Census of Antarctic Marine Life Project. We gratefully acknowledge project governance provided by the Ministry of Fisheries Science Team (FNZ, MPI) and the Ocean Survey 20/20 CAML Advisory Group (Land Information New Zealand, FNZ, MPI, Antarctica New Zealand, Ministry of Foreign Affairs and Trade, and NIWA). Financial support was provided to MRB by the Port Royal Sound Foundation. MRB acknowledges Samantha L. Goldman, a graduate student at Cornell University, who assisted with interpretation of preliminary phylogenetic results. Special thanks to M. Bo and T. Molodtsova for their careful and thorough reviews of the manuscript and to M. Daly for her editorial support. DMO wishes to thank W. Keel, W. Moser, and K. Reed for their support during visits to the Museum Support Center of the USNMNH. The photomicrographs were prepared in the USNMNH SEM Laboratory (S. D. Whittaker, director). DMO and MRB are Research Associates of the USNMNH and gratefully acknowledge their affiliation. Funding for the preparation of this paper was provided, in part, by a U.S. Department of Justice grant to the Smithsonian Institution. MRB is also a Research Associate at the AMNH and gratefully acknowledges that affiliation as well.</t>
  </si>
  <si>
    <t>MAGNOLIA PRESS</t>
  </si>
  <si>
    <t>AUCKLAND</t>
  </si>
  <si>
    <t>250F Marua Road Mt Wellington, AUCKLAND, ST LUKES 1023, NEW ZEALAND</t>
  </si>
  <si>
    <t>1175-5326</t>
  </si>
  <si>
    <t>1175-5334</t>
  </si>
  <si>
    <t>Zootaxa</t>
  </si>
  <si>
    <t>10.11646/zootaxa.5169.1.3</t>
  </si>
  <si>
    <t>3P1JM</t>
  </si>
  <si>
    <t>WOS:000837296700003</t>
  </si>
  <si>
    <t>Zhao, F; Liang, X; Tian, ZX; Liu, CY; Li, XC; Yang, Y; Li, M; Liu, N</t>
  </si>
  <si>
    <t>Zhao, Fu; Liang, Xi; Tian, Zhongxiang; Liu, Chengyan; Li, Xichen; Yang, Yun; Li, Ming; Liu, Na</t>
  </si>
  <si>
    <t>Impacts of the long-term atmospheric trend on the seasonality of Antarctic sea ice</t>
  </si>
  <si>
    <t>Seasonality; Sea ice; Antarctic; Sea ice budget analysis</t>
  </si>
  <si>
    <t>OCEAN STABILITY; HEAT-FLUX; ROSS SEA; VARIABILITY; EXTENT; SURFACE; MODEL; CIRCULATION; SENSITIVITY; THICKNESS</t>
  </si>
  <si>
    <t>The sea ice cover has experienced substantial changes in Antarctica in the past decades, yet its responses to the long-term trend of the local atmosphere are still not clear. With the aid of an Antarctic coupled sea ice-ocean-ice shelf model, the sea ice seasonality in response to the long-term trend of the local atmospheric forcing has been quantified based on a sea ice budget analysis. Significantly spatial variabilities have been found in the Antarctic sea ice in response to the long-term trend of the local atmospheric forcing. The sea ice area and volume decrease in the Weddell Sea and increase in the Ross Sea throughout the year. In the Amundsen-Bellingshausen Seas sector, the sea ice area decreases from December to June and increases from July to November, while the sea ice volume decreases throughout the year. In the Indian-Western Pacific Oceans sector, the sea ice area decreases from January to May and increases from June to December, while the sea ice volume increases throughout the year. The long-term trend of the local atmospheric forcing modulates the sea ice loss in the melting period mainly through modifying the ice-ocean heat flux over the ice base, while it governs the sea ice growth in the freezing period by the combined effects of the ice-ocean heat flux and the atmosphere-ocean heat flux. Although the trend of the surface wind can also lead to distinct variations by the local sea ice convergence/divergence, the integrated contributions over the basin scale are relatively small.</t>
  </si>
  <si>
    <t>[Zhao, Fu; Liang, Xi; Tian, Zhongxiang; Li, Ming; Liu, Na] Natl Marine Environm Forecasting Ctr, Key Lab Marine Hazards Forecasting, Minist Nat Resources, Beijing, Peoples R China; [Liu, Chengyan] Southern Marine Sci &amp; Engn Guangdong Lab Zhuhai, Zhuhai, Peoples R China; [Li, Xichen] Chinese Acad Sci, Int Ctr Climate &amp; Environm Sci, Inst Atmospher Phys, Beijing, Peoples R China; [Yang, Yun] Beijing Normal Univ, Coll Global Change &amp; Earth Syst Sci, Beijing, Peoples R China</t>
  </si>
  <si>
    <t>National Marine Environmental Forecasting Center; Ministry of Natural Resources of the People's Republic of China; Southern Marine Science &amp; Engineering Guangdong Laboratory; Southern Marine Science &amp; Engineering Guangdong Laboratory (Zhuhai); Chinese Academy of Sciences; Institute of Atmospheric Physics, CAS; Beijing Normal University</t>
  </si>
  <si>
    <t>Liang, X (corresponding author), Natl Marine Environm Forecasting Ctr, Key Lab Marine Hazards Forecasting, Minist Nat Resources, Beijing, Peoples R China.</t>
  </si>
  <si>
    <t>liangx@nmefc.cn</t>
  </si>
  <si>
    <t>Liang, Xi/HOF-5510-2023; Li, Xichen/ISB-4663-2023</t>
  </si>
  <si>
    <t>Liang, Xi/0000-0001-8986-1154;</t>
  </si>
  <si>
    <t>National Key R&amp;D Program of China [2018YFA0605902]; innovation Group Project of Southern Marine Science and Engineering Guangdong Laboratory (Zhuhai) [311021008]; Independent Research Foundation of Southern Marine Science and Engineering Guangdong Laboratory (Zhuhai) [SML2021SP306]</t>
  </si>
  <si>
    <t>National Key R&amp;D Program of China; innovation Group Project of Southern Marine Science and Engineering Guangdong Laboratory (Zhuhai); Independent Research Foundation of Southern Marine Science and Engineering Guangdong Laboratory (Zhuhai)</t>
  </si>
  <si>
    <t>FZ and ZT are supported by the National Key R&amp;D Program of China (2018YFA0605902). CL is supported by the innovation Group Project of Southern Marine Science and Engineering Guangdong Laboratory (Zhuhai) (311021008), and by the Independent Research Foundation of Southern Marine Science and Engineering Guangdong Laboratory (Zhuhai) (SML2021SP306).</t>
  </si>
  <si>
    <t>5-6</t>
  </si>
  <si>
    <t>10.1007/s00382-022-06420-z</t>
  </si>
  <si>
    <t>AG4E6</t>
  </si>
  <si>
    <t>WOS:000830985200001</t>
  </si>
  <si>
    <t>Tsutaki, S; Fujita, S; Kawamura, K; Abe-Ouchi, A; Fukui, K; Motoyama, H; Hoshina, Y; Nakazawa, F; Obase, T; Ohno, H; Oyabu, I; Saito, F; Sugiura, K; Suzuki, T</t>
  </si>
  <si>
    <t>Tsutaki, Shun; Fujita, Shuji; Kawamura, Kenji; Abe-Ouchi, Ayako; Fukui, Kotaro; Motoyama, Hideaki; Hoshina, Yu; Nakazawa, Fumio; Obase, Takashi; Ohno, Hiroshi; Oyabu, Ikumi; Saito, Fuyuki; Sugiura, Konosuke; Suzuki, Toshitaka</t>
  </si>
  <si>
    <t>High-resolution subglacial topography around Dome Fuji, Antarctica, based on ground-based radar surveys over 30 years</t>
  </si>
  <si>
    <t>VHF RADIO-WAVES; ICE-SHEET; EAST ANTARCTICA; OLD ICE; SCATTERING; ROUGHNESS; COMMUNICATION; VARIABILITY; GREENLAND; EVOLUTION</t>
  </si>
  <si>
    <t>The retrieval of continuous ice core records of more than 1 Myr is an important challenge in palaeo-climatology. For identifying suitable sites for drilling such ice, knowledge of the subglacial topography and englacial layering is crucial. For this purpose, extensive ground-based ice radar surveys were carried out over Dome Fuji in the East Antarctic plateau during the 2017/18 and 2018/19 austral summers by the Japanese Antarctic Research Expedition, on the basis of ground-based radar surveys conducted over the previous similar to 30 years. High-gain Yagi antennae were used to improve the antenna beam directivity, thereby significantly decreasing hyperbolic features of unfocused along-track diffraction hyperbolae in the echoes from mountainous ice-bedrock interfaces. We combined the new ice thickness data with the previous ground-based data, recorded since the 1980s, to generate an accurate high-spatial-resolution (up to 0.5 km between survey lines) ice thickness map. This map revealed a complex landscape composed of networks of subglacial valleys and highlands. Based on the new map, we examined the roughness of the ice-bed interface, the bed surface slope, the driving stress of ice and the subglacial hydrological condition. These new products and analyses set substantial constraints on identifying possible locations for new drilling. In addition, our map was compared with a few bed maps compiled by earlier independent efforts based on airborne radar data to examine the difference in features between datasets. Our analysis suggests that widely available bed topography products should be validated with in situ observations where possible.</t>
  </si>
  <si>
    <t>[Tsutaki, Shun; Fujita, Shuji; Kawamura, Kenji; Abe-Ouchi, Ayako; Motoyama, Hideaki; Nakazawa, Fumio; Oyabu, Ikumi] Res Org Informat &amp; Syst, Natl Inst Polar Res, Tachikawa, Tokyo 1908518, Japan; [Tsutaki, Shun; Fujita, Shuji; Kawamura, Kenji; Motoyama, Hideaki; Nakazawa, Fumio] Grad Univ Adv Studies SOKENDAI, Dept Polar Sci, Tachikawa, Tokyo 1908518, Japan; [Tsutaki, Shun; Abe-Ouchi, Ayako; Obase, Takashi] Univ Tokyo, Atmosphere &amp; Ocean Res Inst, Kashiwa, Chiba 2778564, Japan; [Kawamura, Kenji] Japan Agcy Marine Earth Sci &amp; Technol JAMSTEC, Yokosuka, Kanagawa 2370061, Japan; [Fukui, Kotaro] Tateyama Caldera Sabo Museum, Toyama 9301405, Japan; [Hoshina, Yu] Nagoya Univ, Grad Sch Environm Studies, Nagoya, Aichi 4648601, Japan; [Ohno, Hiroshi] Kitami Inst Technol, Kitami, Hokkaido 0908507, Japan; [Saito, Fuyuki] Japan Agcy Marine Earth Sci &amp; Technol JAMSTEC, Yokohama, Kanagawa 2360001, Japan; [Sugiura, Konosuke] Univ Toyama, Sch Sustainable Design, Toyama 9308555, Japan; [Suzuki, Toshitaka] Yamagata Univ, Fac Sci, Yamagata 9908560, Japan</t>
  </si>
  <si>
    <t>Research Organization of Information &amp; Systems (ROIS); National Institute of Polar Research (NIPR) - Japan; Graduate University for Advanced Studies - Japan; University of Tokyo; Japan Agency for Marine-Earth Science &amp; Technology (JAMSTEC); Nagoya University; Kitami Institute of Technology; Japan Agency for Marine-Earth Science &amp; Technology (JAMSTEC); University of Toyama; Yamagata University</t>
  </si>
  <si>
    <t>Tsutaki, S (corresponding author), Res Org Informat &amp; Syst, Natl Inst Polar Res, Tachikawa, Tokyo 1908518, Japan.;Tsutaki, S (corresponding author), Grad Univ Adv Studies SOKENDAI, Dept Polar Sci, Tachikawa, Tokyo 1908518, Japan.;Tsutaki, S (corresponding author), Univ Tokyo, Atmosphere &amp; Ocean Res Inst, Kashiwa, Chiba 2778564, Japan.</t>
  </si>
  <si>
    <t>tsutaki.shun@nipr.ac.jp</t>
  </si>
  <si>
    <t>Abe-Ouchi, Ayako A/M-6359-2013; Oyabu, Ikumi/AGE-1164-2022; Tsutaki, Shun/AAQ-4678-2021; Ohno, Hiroshi/L-7899-2014; SAITO, Fuyuki/B-8776-2013; Fujita, Shuji/A-7884-2016; Kawamura, Kenji/C-7660-2011; Motoyama, Hideaki/E-6103-2013</t>
  </si>
  <si>
    <t>Abe-Ouchi, Ayako A/0000-0003-1745-5952; Oyabu, Ikumi/0000-0001-8017-1085; Tsutaki, Shun/0000-0002-5716-225X; Fujita, Shuji/0000-0003-0127-0777; Kawamura, Kenji/0000-0003-1163-700X; Motoyama, Hideaki/0000-0003-2533-320X</t>
  </si>
  <si>
    <t>KAKENHI from the Japan Society for the Promotion of Science and MEXT [JP17H06320, JP17H06104, JP18H05294, JP18K18176, JP20H04978]; Grants-in-Aid for Scientific Research [22K12364, 20H00639, 20H04978] Funding Source: KAKEN</t>
  </si>
  <si>
    <t>KAKENHI from the Japan Society for the Promotion of Science and MEXT; Grants-in-Aid for Scientific Research(Ministry of Education, Culture, Sports, Science and Technology, Japan (MEXT)Japan Society for the Promotion of ScienceGrants-in-Aid for Scientific Research (KAKENHI))</t>
  </si>
  <si>
    <t>This study was supported by KAKENHI from the Japan Society for the Promotion of Science and MEXT (grant nos. JP17H06320, JP17H06104, JP18H05294, JP18K18176 and JP20H04978).</t>
  </si>
  <si>
    <t>10.5194/tc-16-2967-2022</t>
  </si>
  <si>
    <t>3F2FA</t>
  </si>
  <si>
    <t>WOS:000830484900001</t>
  </si>
  <si>
    <t>Garnett, J; Halsall, C; Winton, H; Joerss, H; Mulvaney, R; Ebinghaus, R; Frey, M; Jones, A; Leeson, A; Wynn, P</t>
  </si>
  <si>
    <t>Garnett, Jack; Halsall, Crispin; Winton, Holly; Joerss, Hanna; Mulvaney, Robert; Ebinghaus, Ralf; Frey, Markus; Jones, Anna; Leeson, Amber; Wynn, Peter</t>
  </si>
  <si>
    <t>Increasing Accumulation of Perfluorocarboxylate Contaminants Revealed in an Antarctic Firn Core (1958-2017)</t>
  </si>
  <si>
    <t>ENVIRONMENTAL SCIENCE &amp; TECHNOLOGY</t>
  </si>
  <si>
    <t>PFAS; Antarctica; industrial emissions; CFCs; global regulation</t>
  </si>
  <si>
    <t>GLOBAL EMISSION INVENTORIES; ATOM INITIATED OXIDATION; ACID PFCA HOMOLOGS; DRONNING MAUD LAND; ATMOSPHERIC CHEMISTRY; POLYFLUOROALKYL SUBSTANCES; PERFLUOROALKYL SUBSTANCES; PERFLUORINATED COMPOUNDS; ICE CORES; PRODUCTS</t>
  </si>
  <si>
    <t>Perfluoroalkyl acids (PFAAs) are synthetic chemicals with a variety of industrial and consumer applications that are now widely distributed in the global environment. Here, we report the measurement of six perfluorocarboxylates (PFCA, C-4-C-9) in a firn (granular compressed snow) core collected from a non-coastal, high-altitude site in Dronning Maud Land in Eastern Antarctica. Snow accumulation of the extracted core dated from 1958 to 2017, a period coinciding with the advent, use, and geographical shift in the global industrial production of poly/ perfluoroalkylated substances, including PFAA. We observed increasing PFCA accumulation in snow over this time period, with chemical fluxes peaking in 2009-2013 for perfluorooctanoate (PFOA, C-8) and nonanoate (PFNA, C-9) with little evidence of a decline in these chemicals despite supposed recent global curtailments in their production. In contrast, the levels of perfluorobutanoate (PFBA, C-4) increased markedly since 2000, with the highest fluxes in the uppermost snow layers. These findings are consistent with those previously made in the Arctic and can be attributed to chlorofluorocarbon replacements (e.g., hydrofluoroethers) as an inadvertent consequence of global regulation.</t>
  </si>
  <si>
    <t>[Garnett, Jack; Halsall, Crispin; Leeson, Amber; Wynn, Peter] Univ Lancaster, Lancaster Environm Ctr, Lancaster LA1 4YQ, Lancs, England; [Winton, Holly; Mulvaney, Robert; Frey, Markus; Jones, Anna] British Antarctic Survey, Cambridge CB3 0ET, Cambridgeshire, England; [Winton, Holly] Victoria Univ Wellington, Antarctic Res Ctr, Wellington 6012, New Zealand; [Joerss, Hanna; Ebinghaus, Ralf] Helmholtz Zentrum Hereon, D-21502 Geesthacht, Germany</t>
  </si>
  <si>
    <t>Lancaster University; UK Research &amp; Innovation (UKRI); Natural Environment Research Council (NERC); NERC British Antarctic Survey; Victoria University Wellington; Helmholtz Association; Helmholtz-Zentrum Hereon</t>
  </si>
  <si>
    <t>Halsall, C (corresponding author), Univ Lancaster, Lancaster Environm Ctr, Lancaster LA1 4YQ, Lancs, England.</t>
  </si>
  <si>
    <t>c.halsall@lancaster.ac.uk</t>
  </si>
  <si>
    <t>黄, 微/JUU-4277-2023; Leeson, Amber/JFA-1001-2023; Mulvaney, Robert/K-3929-2012; Winton, Holly/J-5486-2019; Halsall, Crispin/D-8135-2014; Frey, Markus/G-1756-2012</t>
  </si>
  <si>
    <t>Winton, Holly/0000-0001-7112-6768; Frey, Markus/0000-0003-0535-0416; Garnett, Jack/0000-0001-9347-3808; Joerss, Hanna/0000-0002-1779-1940</t>
  </si>
  <si>
    <t>NERC's ENVISION Doctoral Training Centre [NE/L002604/1]; UKRI Natural Environment Research Council (NERC) [NE/R012857/1]; NERC's ISOLICE project [NE/N011813/1]; German Federal Ministry of Education and Research (BMBF) [NE/R012857/1]; NERC [NE/R012857/1, NE/N011813/1] Funding Source: UKRI</t>
  </si>
  <si>
    <t>NERC's ENVISION Doctoral Training Centre; UKRI Natural Environment Research Council (NERC)(UK Research &amp; Innovation (UKRI)Natural Environment Research Council (NERC)); NERC's ISOLICE project; German Federal Ministry of Education and Research (BMBF)(Federal Ministry of Education &amp; Research (BMBF)); NERC(UK Research &amp; Innovation (UKRI)Natural Environment Research Council (NERC))</t>
  </si>
  <si>
    <t>J.G.'s PhD (NE/L002604/1) was funded through NERC's ENVISION Doctoral Training Centre. This work resulted from the EISPAC project (NE/R012857/1), part of the Changing Arctic Ocean programme, jointly funded by the UKRI Natural Environment Research Council (NERC) and the German Federal Ministry of Education and Research (BMBF). Firn cores were obtained as part of NERC's ISOLICE project (NE/N011813/1) (M.F.).</t>
  </si>
  <si>
    <t>0013-936X</t>
  </si>
  <si>
    <t>1520-5851</t>
  </si>
  <si>
    <t>ENVIRON SCI TECHNOL</t>
  </si>
  <si>
    <t>Environ. Sci. Technol.</t>
  </si>
  <si>
    <t>2022 JUL 26</t>
  </si>
  <si>
    <t>10.1021/acs.est.2c02592</t>
  </si>
  <si>
    <t>6I9EY</t>
  </si>
  <si>
    <t>WOS:000886433600001</t>
  </si>
  <si>
    <t>Eischeid, AC</t>
  </si>
  <si>
    <t>Eischeid, Anne C.</t>
  </si>
  <si>
    <t>Detection of Krill in Foods Using Real-Time PCR</t>
  </si>
  <si>
    <t>FOOD ANALYTICAL METHODS</t>
  </si>
  <si>
    <t>Krill; Crustacean; Allergen; Real-time PCR; Sardines; 16S rRNA</t>
  </si>
  <si>
    <t>MITOCHONDRIAL GENOME; EUPHAUSIA-PACIFICA; ANTARCTIC KRILL; ALLERGENS; SHRIMP; IDENTIFICATION; SEQUENCE; DNA</t>
  </si>
  <si>
    <t>FDA has received consumer complaints about food products, most notably sardines, containing krill as an undeclared crustacean shellfish allergen. The Food Allergen Labeling and Consumer Protection Act (FALCPA) requires that food products containing crustacean shellfish be labeled with the type of crustacean. Available antibody-based allergen detection assays, which detect proteins, do not distinguish crustacean type. Real-time PCR assays, which detect DNA, can differentiate type of crustacean. The purpose of this work was to develop and evaluate a real-time PCR-based method for the detection of krill contamination in foods, with a focus on detection in sardines. A previously developed shrimp assay was adapted to specifically detect krill through modification of primer and probe sequences targeting the 16S ribosomal RNA gene of mitochondria. Two different sets of modified primer and probe sequences were found to work equally well, yielding specific detection of krill in sardines with lower limits of detection at 0.1-1 mg/kg and linearity over 7-8 orders of magnitude. While krill is not necessarily a close taxonomic relative of shrimp, this work has shown that minor changes in shrimp primers and probe were nonetheless able to yield an effective and specific krill assay.</t>
  </si>
  <si>
    <t>[Eischeid, Anne C.] US FDA, Ctr Food Safety &amp; Appl Nutr, Off Regulatory Sci, College Pk, MD 20740 USA</t>
  </si>
  <si>
    <t>US Food &amp; Drug Administration (FDA)</t>
  </si>
  <si>
    <t>Eischeid, AC (corresponding author), US FDA, Ctr Food Safety &amp; Appl Nutr, Off Regulatory Sci, College Pk, MD 20740 USA.</t>
  </si>
  <si>
    <t>Anne.Eischeid@fda.hhs.gov</t>
  </si>
  <si>
    <t>United States Food and Drug Administration</t>
  </si>
  <si>
    <t>This work was funded by the United States Food and Drug Administration in its capacity as the author's employer.</t>
  </si>
  <si>
    <t>1936-9751</t>
  </si>
  <si>
    <t>1936-976X</t>
  </si>
  <si>
    <t>FOOD ANAL METHOD</t>
  </si>
  <si>
    <t>Food Anal. Meth.</t>
  </si>
  <si>
    <t>10.1007/s12161-022-02357-5</t>
  </si>
  <si>
    <t>5N0FK</t>
  </si>
  <si>
    <t>WOS:000829755200001</t>
  </si>
  <si>
    <t>Möller, L; Vainstein, Y; Wöhlbrand, L; Dörries, M; Meyer, B; Sohn, K; Rabus, R</t>
  </si>
  <si>
    <t>Moeller, Lars; Vainstein, Yeheven; Woehlbrand, Lars; Doerries, Marvin; Meyer, Bettina; Sohn, Kai; Rabus, Ralf</t>
  </si>
  <si>
    <t>Transcriptome-proteome compendium of the Antarctic krill (Euphausia superba): Metabolic potential and repertoire of hydrolytic enzymes</t>
  </si>
  <si>
    <t>PROTEOMICS</t>
  </si>
  <si>
    <t>Antarctic krill; Bransfield Strait; Euphausia superba; functional categorisation; hybrid assembly; hydrolytic enzymes; krill compartments; proteomics; transcriptomics</t>
  </si>
  <si>
    <t>ARGININE KINASE; PURIFICATION; SHRIMP; CHYMOTRYPSIN; EXPRESSION; STARVATION; CRUSTACEA; MUSCLE; CELL; IDENTIFICATION</t>
  </si>
  <si>
    <t>The Antarctic krill (Euphausia superba Dana) is a keystone species in the Southern Ocean that uses an arsenal of hydrolases for biomacromolecule decomposition to effectively digest its omnivorous diet. The present study builds on a hybrid-assembled transcriptome (13,671 ORFs) combined with comprehensive proteome profiling. The analysis of individual krill compartments allowed detection of significantly more different proteins compared to that of the entire animal (1464 vs. 294 proteins). The nearby krill sampling stations in the Bransfield Strait (Antarctic Peninsula) yielded rather uniform proteome datasets. Proteins related to energy production and lipid degradation were particularly abundant in the abdomen, agreeing with the high energy demand of muscle tissue. A total of 378 different biomacromolecule hydrolysing enzymes were detected, including 250 proteases, 99 CAZymes, 14 nucleases and 15 lipases. The large repertoire in proteases is in accord with the protein-rich diet affiliated with E. superba's omnivorous lifestyle and complex biology. The richness in chitin-degrading enzymes allows not only digestion of zooplankton diet, but also the utilisation of the discharged exoskeleton after moulting.</t>
  </si>
  <si>
    <t>[Moeller, Lars; Woehlbrand, Lars; Doerries, Marvin; Rabus, Ralf] Carl von Ossietzky Univ Oldenburg, Inst Chem &amp; Biol Marine Environm ICBM, Gen &amp; Mol Microbiol, Carl von Ossietzky Str 9-11, D-26111 Oldenburg, Germany; [Vainstein, Yeheven; Sohn, Kai] Fraunhofer Inst Interfacial Engn &amp; Biotechnol IGB, In Vitro Diagnost, Stuttgart, Germany; [Doerries, Marvin; Meyer, Bettina] Univ Oldenburg HIFMB, Biodivers Change, Helmholtz Inst Funct Marine Biodivers, Oldenburg, Germany; [Meyer, Bettina] Carl von Ossietzky Univ Oldenburg, Inst Chem &amp; Biol Marine Environm ICBM, Biodivers &amp; Biol Proc Polar Oceans, Oldenburg, Germany; [Meyer, Bettina] Helmholtz Ctr Polar &amp; Marine Res, Alfred Wegener Inst, Ecophysiol Pelag Key Species, Bremerhaven, Germany</t>
  </si>
  <si>
    <t>Carl von Ossietzky Universitat Oldenburg; Fraunhofer Gesellschaft; Carl von Ossietzky Universitat Oldenburg; Helmholtz Association; Alfred Wegener Institute, Helmholtz Centre for Polar &amp; Marine Research</t>
  </si>
  <si>
    <t>Rabus, R (corresponding author), Carl von Ossietzky Univ Oldenburg, Inst Chem &amp; Biol Marine Environm ICBM, Gen &amp; Mol Microbiol, Carl von Ossietzky Str 9-11, D-26111 Oldenburg, Germany.</t>
  </si>
  <si>
    <t>rabus@icbm.de</t>
  </si>
  <si>
    <t>Vainshtein, Yevhen/0000-0001-7944-8892; Meyer, Bettina/0000-0001-6804-9896</t>
  </si>
  <si>
    <t>BMBF</t>
  </si>
  <si>
    <t>BMBF(Federal Ministry of Education &amp; Research (BMBF))</t>
  </si>
  <si>
    <t>BMBF, Grant/Award Number: KiGuMi</t>
  </si>
  <si>
    <t>1615-9853</t>
  </si>
  <si>
    <t>1615-9861</t>
  </si>
  <si>
    <t>Proteomics</t>
  </si>
  <si>
    <t>e2100404</t>
  </si>
  <si>
    <t>10.1002/pmic.202100404</t>
  </si>
  <si>
    <t>Biochemical Research Methods; Biochemistry &amp; Molecular Biology</t>
  </si>
  <si>
    <t>4L3KW</t>
  </si>
  <si>
    <t>WOS:000829907600001</t>
  </si>
  <si>
    <t>Spillias, S; Cottrell, RS; Kelly, R; O'Brien, KR; Adams, J; Bellgrove, A; Kelly, B; Kilpatrick, C; Layton, C; Macleod, C; Roberts, S; Stringer, D; McDonald-Madden, E</t>
  </si>
  <si>
    <t>Spillias, Scott; Cottrell, Richard S.; Kelly, Rachel; O'Brien, Katherine R.; Adams, John; Bellgrove, Alecia; Kelly, Bronagh; Kilpatrick, Carley; Layton, Cayne; Macleod, Catriona; Roberts, Shane; Stringer, Damien; McDonald-Madden, Eve</t>
  </si>
  <si>
    <t>Expert perceptions of seaweed farming for sustainable development</t>
  </si>
  <si>
    <t>JOURNAL OF CLEANER PRODUCTION</t>
  </si>
  <si>
    <t>Seaweed; Aquaculture; Sustainable development; Blue Economy; Nominal group technique; SWOT analysis</t>
  </si>
  <si>
    <t>DEVELOPMENT GOALS; BLUE GROWTH; AQUACULTURE; CONSERVATION; ECONOMY; OPPORTUNITIES; LIVELIHOOD; MITIGATION; MANAGEMENT; AUSTRALIA</t>
  </si>
  <si>
    <t>Large-scale seaweed aquaculture in the ocean is being pursued globally as a solution to many contemporary challenges, including climate change, food security, and ecosystem degradation. However, the required development and transformation of marine systems for farming may have unknown implications for sustainability objectives, such as those outlined in the United Nations Sustainable Development Goals (SDGs). The aim of this paper is to outline the opportunities for, and threats from, seaweed farming in the context of sustainability. We synthesise the perspectives of expert stakeholders from multiple sectors through a series of Australian workshops to catalogue the pathways through which seaweed farming may affect sustainability, giving specific focus to the SDGs. In doing so, this study illustrates that seaweed farming has the potential to influence, to some degree, the majority of SDGs, with both positive and negative influences. Indeed, seaweed farming is most likely to benefit progress towards achieving SDGs 2 (Zero Hunger), 8 (Decent Work and Economic Growth), 9 (Industry, Innovation, and Infrastructure), 12 (Sustainable Production and Consumption), and 15 (Life on Land). But expectations of seaweed farming may also fall short for supporting some goals if appropriate measures are not implemented to mitigate potential impacts, most notably SDG 14 (Life Below Water). We underscore that seaweed farming has the potential to contribute to sustainable development, and that this potential can only be realised with appropriate regulation and mitigation to avoid unwanted negative outcomes. Better identification and management of trade-offs between these potential positive and negative outcomes across sustainability domains, will be critical for realising the full potential of seaweed aquaculture for sustainable development.</t>
  </si>
  <si>
    <t>[Spillias, Scott; Cottrell, Richard S.; McDonald-Madden, Eve] Univ Queensland, Ctr Biodivers &amp; Conservat Sci, Sch Earth &amp; Environm Sci, Brisbane 4101, Australia; [Cottrell, Richard S.; Kelly, Rachel; Layton, Cayne; Macleod, Catriona] Univ Tasmania, Inst Marine &amp; Antarctic Studies, Hobart, Tas 7004, Australia; [Cottrell, Richard S.; Kelly, Rachel; Layton, Cayne; Macleod, Catriona] Univ Tasmania, Ctr Marine Socioecol, Hobart, Tas 7004, Australia; [O'Brien, Katherine R.] Univ Queensland, Sch Chem Engn, St Lucia, Qld 4072, Australia; [Adams, John; Kelly, Bronagh] Dept Nat Resources &amp; Environm Tasmania, Lands Bldg,Level 3,134 Macquarie St, Hobart 7000, Australia; [Bellgrove, Alecia] Deakin Univ, Ctr Integrat Ecol, Sch Life &amp; Environm Sci, Warrnambool Campus, Warrnambool, Vic 3280, Australia; [Kilpatrick, Carley] Queensland Pk &amp; Wildlife Serv &amp; Partnerships, Dept Environm &amp; Sci, Manly, Qld 4000, Australia; [Roberts, Shane] Dept Primary Ind &amp; Reg, Fisheries &amp; Aquaculture, Adelaide, SA, Australia; [Stringer, Damien] Marinova Pty Ltd, Cambridge, Australia</t>
  </si>
  <si>
    <t>University of Queensland; University of Tasmania; University of Tasmania; University of Queensland; Deakin University</t>
  </si>
  <si>
    <t>Spillias, S (corresponding author), Univ Queensland, Ctr Biodivers &amp; Conservat Sci, Sch Earth &amp; Environm Sci, Brisbane 4101, Australia.</t>
  </si>
  <si>
    <t>s.spillias@uq.edu.au</t>
  </si>
  <si>
    <t>MacLeod, Catriona K/J-7176-2014; O'Brien, Katherine/J-3198-2014; Layton, Cayne/J-8443-2013; Bellgrove, Alecia/K-2601-2014</t>
  </si>
  <si>
    <t>Cottrell, Richard/0000-0002-6499-7503; O'Brien, Katherine/0000-0001-8972-9161; Kelly, Rachel/0000-0002-8364-1836; Layton, Cayne/0000-0002-3390-6437; Spillias, Scott/0000-0002-1310-5202; Bellgrove, Alecia/0000-0002-0499-3439</t>
  </si>
  <si>
    <t>Future Earth Australia via the Ian McDougal Bursary Program; Australian Government Research Training Program; ARC Future Fellowship</t>
  </si>
  <si>
    <t>Future Earth Australia via the Ian McDougal Bursary Program; Australian Government Research Training Program(Australian Government); ARC Future Fellowship(Australian Research Council)</t>
  </si>
  <si>
    <t>We thank Rocky de Nys, Catriona Hurd, Steve Meller, John Mercer, Alick Osborne, Greg Supple, Ben Window, Rebecca Schofield and four other anonymous contributors for their participation in our workshops. Funding: This project was supported by Future Earth Australia via the Ian McDougal Bursary Program. SS was supported by an Australian Government Research Training Program Scholarship. EMM was sup-ported by an ARC Future Fellowship. Thank you to the United Nations for permission to reproduce the SDG Poster in Figure 1; the content of this publication has not been approved by the United Nations and does not reflect the views of the United Nations or its officials or Member States.</t>
  </si>
  <si>
    <t>0959-6526</t>
  </si>
  <si>
    <t>1879-1786</t>
  </si>
  <si>
    <t>J CLEAN PROD</t>
  </si>
  <si>
    <t>J. Clean Prod.</t>
  </si>
  <si>
    <t>SEP 25</t>
  </si>
  <si>
    <t>10.1016/j.jclepro.2022.133052</t>
  </si>
  <si>
    <t>Green &amp; Sustainable Science &amp; Technology; Engineering, Environmental; Environmental Sciences</t>
  </si>
  <si>
    <t>Science &amp; Technology - Other Topics; Engineering; Environmental Sciences &amp; Ecology</t>
  </si>
  <si>
    <t>5C2LE</t>
  </si>
  <si>
    <t>WOS:000864096200009</t>
  </si>
  <si>
    <t>Fraser, CI; Dutoit, L; Morrison, AK; Pardo, LM; Smith, SDA; Pearman, WS; Parvizi, E; Waters, J; Macaya, EC</t>
  </si>
  <si>
    <t>Fraser, Ceridwen I.; Dutoit, Ludovic; Morrison, Adele K.; Pardo, Luis Miguel; Smith, Stephen D. A.; Pearman, William S.; Parvizi, Elahe; Waters, Jonathan; Macaya, Erasmo C.</t>
  </si>
  <si>
    <t>Southern Hemisphere coasts are biologically connected by frequent, long-distance rafting events</t>
  </si>
  <si>
    <t>MACROCYSTIS-PYRIFERA; MARINE-ENVIRONMENT; KELP RAFTS; DISPERSAL; BARNACLES; COMMUNITY; ECOLOGY; REVEAL; SYSTEM</t>
  </si>
  <si>
    <t>Globally, species distributions are shifting in response to environmental change,(1) and those that cannot disperse risk extinction.(2) Many taxa, including marine species, are showing poleward range shifts as the climate warms.(3) In the Southern Hemisphere, however, circumpolar oceanic fronts can present barriers to dispersal.(4) Although passive, southward movement of species across this barrier has been considered unlikely,(5,6) the recent discovery of buoyant kelp rafts on beaches in Antarctica(7,8) demonstrates that such journeys are possible. Rafting is a key process by which diverse taxa-including terrestrial, e.g., Lindo,(9) Godinot,(10) and Censky et al.,(11) and marine, e.g., Carlton et al. (12) and Gillespie et al.(13) species-can cross oceans.(14) Kelp rafts can carry passengers(7,15-17) and thus can act as vectors for long-distance dispersal of coastal organisms. The small numbers of kelp rafts previously found in Antarctica(7,8) do not, however, shed much light on the frequency of such dispersal events.(18) We use a combination of high-resolution phylogenomic analyses (&gt;220,000 SNPs) and oceanographic modeling to show that long-distance biological dispersal events in Southern Ocean are not rare. We document tens of kelp (Durvillaea antarctica) rafting events of thousands of kilometers each, over several decades (1950-2019), with many kelp rafts apparently still reproductively viable. Modeling of dispersal trajectories from genomically inferred source locations shows that distant landmasses are well connected, for example South Georgia and New Zealand, and the Kerguelen Islands and Tasmania. Our findings illustrate the power of genomic approaches to track, and modeling to show frequencies of, long-distance dispersal events.</t>
  </si>
  <si>
    <t>[Fraser, Ceridwen I.; Dutoit, Ludovic; Pearman, William S.] Univ Otago, Dept Marine Sci, Dunedin, New Zealand; [Dutoit, Ludovic; Parvizi, Elahe; Waters, Jonathan] Univ Otago, Dept Zool, Dunedin, New Zealand; [Morrison, Adele K.] Australian Natl Univ, Res Sch Earth Sci, Canberra, ACT, Australia; [Morrison, Adele K.] Australian Natl Univ, Australian Ctr Excellence Antarctic Sci, Canberra, ACT, Australia; [Pardo, Luis Miguel] Univ Austral Chile, Inst Ciencias Marinas &amp; Limnol, Fac Ciencias, Valdivia, Chile; [Pardo, Luis Miguel; Macaya, Erasmo C.] Ctr FONDAP Invest Dinam Ecosistemas Marinos Altas, Valdivia, Chile; [Smith, Stephen D. A.] Southern Cross Univ, Natl Marine Sci Ctr, Coffs Harbour, NSW, Australia; [Macaya, Erasmo C.] Univ Concepcion, Dept Oceanog, Concepcion, Chile</t>
  </si>
  <si>
    <t>University of Otago; University of Otago; Australian National University; Australian National University; Universidad Austral de Chile; Southern Cross University; Universidad de Concepcion</t>
  </si>
  <si>
    <t>Fraser, CI; Dutoit, L (corresponding author), Univ Otago, Dept Marine Sci, Dunedin, New Zealand.;Dutoit, L (corresponding author), Univ Otago, Dept Zool, Dunedin, New Zealand.;Macaya, EC (corresponding author), Ctr FONDAP Invest Dinam Ecosistemas Marinos Altas, Valdivia, Chile.;Macaya, EC (corresponding author), Univ Concepcion, Dept Oceanog, Concepcion, Chile.</t>
  </si>
  <si>
    <t>ceridwen.fraser@gmail.com; ludovic.dutoit@otago.ac.nz; maceras@gmail.com</t>
  </si>
  <si>
    <t>Morrison, Adele K/C-1774-2012; Macaya, Erasmo C/G-5291-2012; Waters, Jonathan/B-4983-2009; Parvizi, Elahe/HKV-4514-2023; Pardo, L M/A-3178-2008</t>
  </si>
  <si>
    <t>Waters, Jonathan/0000-0002-1514-7916; Macaya, Erasmo C./0000-0002-9878-483X; Fraser, Ceridwen/0000-0002-6918-8959; Pardo, Luis Miguel/0000-0002-8179-5057</t>
  </si>
  <si>
    <t>JUL 25</t>
  </si>
  <si>
    <t>10.1016/j.cub.2022.05.035</t>
  </si>
  <si>
    <t>3V8HQ</t>
  </si>
  <si>
    <t>WOS:000841900900005</t>
  </si>
  <si>
    <t>Sletten, TL; Sullivan, JP; Arendt, J; Palinkas, LA; Barger, LK; Fletcher, L; Arnold, M; Wallace, J; Strauss, C; Baker, RJS; Kloza, K; Kennaway, DJ; Rajaratnam, SMW; Ayton, J; Lockley, SW</t>
  </si>
  <si>
    <t>Sletten, Tracey L.; Sullivan, Jason P.; Arendt, Josephine; Palinkas, Lawrence A.; Barger, Laura K.; Fletcher, Lloyd; Arnold, Malcolm; Wallace, Jan; Strauss, Clive; Baker, Richard J. S.; Kloza, Kate; Kennaway, David J.; Rajaratnam, Shantha M. W.; Ayton, Jeff; Lockley, Steven W.</t>
  </si>
  <si>
    <t>The role of circadian phase in sleep and performance during Antarctic winter expeditions</t>
  </si>
  <si>
    <t>JOURNAL OF PINEAL RESEARCH</t>
  </si>
  <si>
    <t>Antarctica; circadian; melatonin; performance; sleep; space analog</t>
  </si>
  <si>
    <t>RHYTHM DISTURBANCES; MELATONIN RHYTHM; SEASONAL-CHANGES; BRIGHT LIGHT; NIGHT-SHIFT; MOOD; DURATION; IMPACT; STATES; TIME</t>
  </si>
  <si>
    <t>The Antarctic environment presents an extreme variation in the natural light-dark cycle which can cause variability in the alignment of the circadian pacemaker with the timing of sleep, causing sleep disruption, and impaired mood and performance. This study assessed the incidence of circadian misalignment and the consequences for sleep, cognition, and psychological health in 51 over-wintering Antarctic expeditioners (45.6 +/- 11.9 years) who completed daily sleep diaries, and monthly performance tests and psychological health questionnaires for 6 months. Circadian phase was assessed via monthly 48-h urine collections to assess the 6-sulphatoxymelatonin (aMT6s) rhythm. Although the average individual sleep duration was 7.2 +/- 0.8 h, there was substantial sleep deficiency with 41.4% of sleep episodes &lt;7 h and 19.1% &lt;6 h. Circadian phase was highly variable and 34/50 expeditioners had sleep episodes that occurred at an abnormal circadian phase (acrophase outside of the sleep episode), accounting for 18.8% (295/1565) of sleep episodes. Expeditioners slept significantly less when misaligned (6.1 +/- 1.3 h), compared with when aligned (7.3 +/- 1.0 h; p &lt; .0001). Performance and mood were worse when awake closer to the aMT6s peak and with increased time awake (all p &lt; .0005). This research highlights the high incidence of circadian misalignment in Antarctic over-wintering expeditioners. Similar incidence has been observed in long-duration space flight, reinforcing the fidelity of Antarctica as a space analog. Circadian misalignment has considerable safety implications, and potentially longer term health risks for other circadian-controlled physiological systems. This increased risk highlights the need for preventative interventions, such as proactively planned lighting solutions, to ensure circadian alignment during long-duration Antarctic and space missions.</t>
  </si>
  <si>
    <t>[Sletten, Tracey L.; Barger, Laura K.; Rajaratnam, Shantha M. W.] Monash Univ, Turner Inst Brain &amp; Mental Hlth, Bldg 2,270 Ferntree Gully Rd, Notting Hill, Vic 3168, Australia; [Sletten, Tracey L.; Barger, Laura K.; Rajaratnam, Shantha M. W.] Monash Univ, Sch Psychol Sci, Bldg 2,270 Ferntree Gully Rd, Notting Hill, Vic 3168, Australia; [Sullivan, Jason P.; Barger, Laura K.; Rajaratnam, Shantha M. W.; Lockley, Steven W.] Brigham &amp; Womens Hosp, Dept Med, Div Sleep &amp; Circadian Disorders, 75 Francis St, Boston, MA 02115 USA; [Sullivan, Jason P.; Barger, Laura K.; Rajaratnam, Shantha M. W.; Lockley, Steven W.] Brigham &amp; Womens Hosp, Dept Neurol, Div Sleep &amp; Circadian Disorders, 75 Francis St, Boston, MA 02115 USA; [Arendt, Josephine] Univ Surrey, Fac Hlth &amp; Med Sci, Guildford, Surrey, England; [Palinkas, Lawrence A.] Univ Southern Calif, Suzanne Dworak Peck Sch Social Work, Los Angeles, CA 90007 USA; [Barger, Laura K.; Rajaratnam, Shantha M. W.; Lockley, Steven W.] Harvard Med Sch, Div Sleep Med, Boston, MA 02115 USA; [Fletcher, Lloyd; Arnold, Malcolm; Wallace, Jan; Strauss, Clive; Baker, Richard J. S.; Kloza, Kate; Ayton, Jeff] Australian Antarctic Div, Polar Med Unit, Kingston, Tas, Australia; [Kennaway, David J.] Univ Adelaide, Sch Med, Robinson Res Inst, Discipline Obstet &amp; Gynaecol, Adelaide, SA, Australia</t>
  </si>
  <si>
    <t>Monash University; Monash University; Harvard University; Brigham &amp; Women's Hospital; Harvard University; Brigham &amp; Women's Hospital; University of Surrey; University of Southern California; Harvard University; Harvard Medical School; Australian Antarctic Division; Robinson Research Institute; University of Adelaide</t>
  </si>
  <si>
    <t>Sletten, TL (corresponding author), Monash Univ, Turner Inst Brain &amp; Mental Hlth, Bldg 2,270 Ferntree Gully Rd, Notting Hill, Vic 3168, Australia.;Sletten, TL (corresponding author), Monash Univ, Sch Psychol Sci, Bldg 2,270 Ferntree Gully Rd, Notting Hill, Vic 3168, Australia.</t>
  </si>
  <si>
    <t>tracey.sletten@monash.edu</t>
  </si>
  <si>
    <t>Kloza, Kate/IYT-3757-2023; Kennaway, David J/B-8955-2009; Rajaratnam, Shantha MW/D-8144-2012</t>
  </si>
  <si>
    <t>Sletten, Tracey/0000-0002-0005-7838</t>
  </si>
  <si>
    <t>NASA Headquarters Moon and Mars Analog Mission Activities 2008 Research Opportunities in Space and Earth Sciences (ROSES) Planetary Science Division Research Program; Australian Antarctic Division; National Health and Medical Research Council Centre for Integrated Research and Understanding of Sleep; Australasian Sleep Association</t>
  </si>
  <si>
    <t>0742-3098</t>
  </si>
  <si>
    <t>1600-079X</t>
  </si>
  <si>
    <t>J PINEAL RES</t>
  </si>
  <si>
    <t>J. Pineal Res.</t>
  </si>
  <si>
    <t>e12817</t>
  </si>
  <si>
    <t>10.1111/jpi.12817</t>
  </si>
  <si>
    <t>Endocrinology &amp; Metabolism; Neurosciences; Physiology</t>
  </si>
  <si>
    <t>Endocrinology &amp; Metabolism; Neurosciences &amp; Neurology; Physiology</t>
  </si>
  <si>
    <t>3U0BA</t>
  </si>
  <si>
    <t>WOS:000830868000001</t>
  </si>
  <si>
    <t>Huang, XX; Wu, SG; De Santis, L; Wang, GL; Hernández-Molina, FJ</t>
  </si>
  <si>
    <t>Huang, Xiaoxia; Wu, Shiguo; De Santis, Laura; Wang, Guolong; Hernandez-Molina, F. Javier</t>
  </si>
  <si>
    <t>Deep water sedimentary processes in the Enderby Basin (East Antarctic margin) during the Cenozoic</t>
  </si>
  <si>
    <t>BASIN RESEARCH</t>
  </si>
  <si>
    <t>Antarctic Bottom Water; East Antarctica; Enderby Basin; sediment drifts; sediment waves; submarine channels</t>
  </si>
  <si>
    <t>CONTINENTAL RISE WEST; ICE-SHEET DYNAMICS; PRYDZ BAY; SOUTHERN-OCEAN; INDIAN-OCEAN; MIDDLE MIOCENE; WEDDELL SEA; EVOLUTION; PENINSULA; CLIMATE</t>
  </si>
  <si>
    <t>The thick sequence of mid-late Cenozoic sediments preserved within the Enderby Basin of the East Antarctica margin contains key information regarding glacial history and palaeo-oceanographic conditions during the last 34 My. The interplay between glacial processes and ocean circulation can be reconstructed from seismic stratigraphic studies. Here, interpretation of seismic sequences and geomorphology from an extensive 2D seismic dataset (similar to 75,000 km) are correlated with lithological data of the ODP site 1165 drilled on the continental rise, and used to assess the age and origin of the sediment, and the possible influence of oceanic currents on its distribution. Mapping of seismic units and facies reveals that, in addition to glacial sediments derived from the Antarctic mainland, the upper Cenozoic succession includes drift units with prograding sequences building out from the Mac. Robertson Land margin, west of the Prydz Bay. Three contourite drifts grew on the western side of submarine channels and large sediment wave fields suggest a mixed system of turbidity currents influenced by west-flowing bottom currents. The drifts are composed of four seismic units representing stages of onset (Lower Oligocene), main growth (Early-Middle Miocene), maintenance (Middle-Late Miocene) and burial (Pliocene). The internal geometry and reflection patterns of the drifts imply an intensified current activity from the Early to Middle Miocene. The results plausibly reflect that the formation of proto Antarctic Bottom Water (AABW) started around the Eocene-Oligocene boundary and intensified episodically from the early to middle Miocene.</t>
  </si>
  <si>
    <t>[Huang, Xiaoxia; Wu, Shiguo; Wang, Guolong] Chinese Acad Sci, Inst Deep Sea Sci &amp; Engn, Sanya 572000, Peoples R China; [De Santis, Laura] Natl Inst Oceanog &amp; Appl Geophys OGS, Trieste, Italy; [Hernandez-Molina, F. Javier] Univ London, Dept Earth Sci, Royal Holloway, Egham, Surrey, England</t>
  </si>
  <si>
    <t>Chinese Academy of Sciences; Institute of Deep-Sea Science &amp; Engineering, CAS; Istituto Nazionale di Oceanografia e di Geofisica Sperimentale; University of London; Royal Holloway University London</t>
  </si>
  <si>
    <t>Huang, XX (corresponding author), Chinese Acad Sci, Inst Deep Sea Sci &amp; Engn, Sanya 572000, Peoples R China.</t>
  </si>
  <si>
    <t>huangxx@idsse.ac.cn</t>
  </si>
  <si>
    <t>Huang, Xiaoxia/0000-0002-9978-5404</t>
  </si>
  <si>
    <t>National Neutral Science Foundation of China [41976233]; Pioneer Hundred Talents Program [Y910091001]; Key Research Program of Frontier Sciences [ZDBS--LY--7018]</t>
  </si>
  <si>
    <t>National Neutral Science Foundation of China; Pioneer Hundred Talents Program; Key Research Program of Frontier Sciences</t>
  </si>
  <si>
    <t>National Neutral Science Foundation of China, Grant/Award Number: 41976233; Pioneer Hundred Talents Program, Grant/Award Number: Y910091001; the Key Research Program of Frontier Sciences, Grant/Award Number: ZDBS--LY--7018</t>
  </si>
  <si>
    <t>0950-091X</t>
  </si>
  <si>
    <t>1365-2117</t>
  </si>
  <si>
    <t>BASIN RES</t>
  </si>
  <si>
    <t>Basin Res.</t>
  </si>
  <si>
    <t>10.1111/bre.12690</t>
  </si>
  <si>
    <t>6M4GA</t>
  </si>
  <si>
    <t>WOS:000830482500001</t>
  </si>
  <si>
    <t>Schimani, K; Zacher, K; Jerosch, K; Pehlke, H; Wiencke, C; Bartsch, I</t>
  </si>
  <si>
    <t>Schimani, Katherina; Zacher, Katharina; Jerosch, Kerstin; Pehlke, Hendrik; Wiencke, Christian; Bartsch, Inka</t>
  </si>
  <si>
    <t>Video survey of deep benthic macroalgae and macroalgal detritus along a glacial Arctic fjord: Kongsfjorden (Spitsbergen)</t>
  </si>
  <si>
    <t>Arctic fjord; Detached macroalgae; Lower macroalgal depth distribution; Deep sea</t>
  </si>
  <si>
    <t>RHODOLITH BEDS CORALLINALES; COMMUNITY COMPOSITION; CARBON; ENVIRONMENT; RHODOPHYTA; PATTERNS; SVALBARD; WATER; BIODIVERSITY; KROSSFJORDEN</t>
  </si>
  <si>
    <t>In Kongsfjorden (Spitsbergen), we quantified the zonation of visually dominant macroalgal taxa and of detached macroalgae from underwater videos taken in summer 2009 at six transects between 2 and 138 m water depth. For the first time, we provide information on the occurrence of deep water red algae below the kelp forest and of detached macroalgae at water depth &gt; 30 m. The presence and depth distribution of visually dominant red algae were especially pronounced at the outer fjord, decreased with proximity to the glacial front and they were absent at the innermost locations. Deepest crustose coralline red algae and foliose red algae were observed at 72 and 68 m, respectively. Brown algae were distributed along the entire fjord axis at 2-32 m. Green algae were only present at the middle to inner fjord and at areas influenced by physical disturbance at water depths of 2-26 m. With proximity to the inner fjord the depth distribution of all macroalgae became shallower and only extended to 18 m depth at the innermost location. Major recipients of detached macroalgae were sites at the shallower inner fjord and at the middle fjord below the photic zone at depths to 138 m. They may either fuel deep water secondary production, decompose or support carbon sequestration. Univariate and community analyses of macroalgal classes including detached macroalgae across transects and over depths reveal a considerable difference in community structure between the outermost sites, the central part and the inner fjord areas, reflecting the strong environmental gradients along glacial fjords.</t>
  </si>
  <si>
    <t>[Schimani, Katherina; Zacher, Katharina; Jerosch, Kerstin; Pehlke, Hendrik; Wiencke, Christian; Bartsch, Inka] Helmholtz Ctr Polar &amp; Marine Res, Alfred Wegener Inst, Handelshafen 12, D-27570 Bremerhaven, Germany; [Schimani, Katherina] Free Univ Berlin, Bot Garten &amp; Bot Museum Berlin, Konigin Luise Str 6-8, D-14195 Berlin, Germany</t>
  </si>
  <si>
    <t>Helmholtz Association; Alfred Wegener Institute, Helmholtz Centre for Polar &amp; Marine Research; Free University of Berlin</t>
  </si>
  <si>
    <t>Schimani, K (corresponding author), Helmholtz Ctr Polar &amp; Marine Res, Alfred Wegener Inst, Handelshafen 12, D-27570 Bremerhaven, Germany.;Schimani, K (corresponding author), Free Univ Berlin, Bot Garten &amp; Bot Museum Berlin, Konigin Luise Str 6-8, D-14195 Berlin, Germany.</t>
  </si>
  <si>
    <t>k.schimani@bo.berlin</t>
  </si>
  <si>
    <t>Jerosch, Kerstin/ABC-8913-2020</t>
  </si>
  <si>
    <t>Jerosch, Kerstin/0000-0003-0728-2154; Schimani, Katherina/0000-0003-2125-0239; Pehlke, Hendrik/0000-0003-1916-7831</t>
  </si>
  <si>
    <t>Deutsche Forschungsgemeinschaft (DFG) [Za735/1-1]; European Union [869154]; Projekt DEAL</t>
  </si>
  <si>
    <t>Deutsche Forschungsgemeinschaft (DFG)(German Research Foundation (DFG)); European Union(European Union (EU)); Projekt DEAL</t>
  </si>
  <si>
    <t>This work was supported by the Deutsche Forschungsgemeinschaft (DFG) in the framework of the priority programme `Antarctic Research with comparative investigations in Arctic ice areas' by a grant Za735/1-1. The finalization of this study was enabled in the frame of the project FACE-IT (The Future of Arctic Coastal Ecosystems Identifying Transitions in Fjord Systems and Adjacent Coastal Areas). FACE-IT has received funding from the European Union's Horizon 2020 research and innovation programme under grant agreement No 869154. Open Access funding enabled and organized by Projekt DEAL.</t>
  </si>
  <si>
    <t>10.1007/s00300-022-03072-x</t>
  </si>
  <si>
    <t>3K3TL</t>
  </si>
  <si>
    <t>WOS:000829681400001</t>
  </si>
  <si>
    <t>Frémand, AC; Bodart, JA; Jordan, TA; Ferraccioli, F; Robinson, C; Corr, HFJ; Peat, HJ; Bingham, RG; Vaughan, DG</t>
  </si>
  <si>
    <t>Fremand, Alice C.; Bodart, Julien A.; Jordan, Tom A.; Ferraccioli, Fausto; Robinson, Carl; Corr, Hugh F. J.; Peat, Helen J.; Bingham, Robert G.; Vaughan, David G.</t>
  </si>
  <si>
    <t>British Antarctic Survey's aerogeophysical data: releasing 25 years of airborne gravity, magnetic, and radar datasets over Antarctica</t>
  </si>
  <si>
    <t>PINE ISLAND GLACIER; WEDDELL SEA SECTOR; ELLSWORTH SUBGLACIAL HIGHLANDS; CORE WD2014 CHRONOLOGY; DRONNING MAUD LAND; WEST ANTARCTICA; ICE-SHEET; EAST ANTARCTICA; BASAL ROUGHNESS; INTERNAL STRUCTURE</t>
  </si>
  <si>
    <t>Over the past 50 years, the British Antarctic Survey (BAS) has been one of the major acquirers of aerogeophysical data over Antarctica, providing scientists with gravity, magnetic, and radar datasets that have been central to many studies of the past, present, and future evolution of the Antarctic Ice Sheet. Until recently, many of these datasets were not openly available, restricting further usage of the data for different glaciological and geophysical applications. Starting in 2020, scientists and data managers at BAS have worked on standardizing and releasing large swaths of aerogeophysical data acquired during the period 1994-2020, including a total of 64 datasets from 24 different surveys, amounting to similar to 450 000 line-km (or 5.3 million km(2)) of data across West Antarctica, East Antarctica, and the Antarctic Peninsula. Amongst these are the extensive surveys over the fast-changing Pine Island (BBAS 2004-2005) and Thwaites (ITGC 2018-2019 &amp; 2019-2020) glacier catchments, and the first ever surveys of the Wilkes Subglacial Basin (WISE-ISODYN 2005-2006) and Gamburtsev Subglacial Mountains (AGAP 2007-2009). Considerable effort has been made to standardize these datasets to comply with the FAIR (findable, accessible, interoperable and re-usable) data principles, as well as to create the Polar Airborne Geophysics Data Portal (https://www.bas.ac.uk/project/nagdp/, last access: 18 July 2022), which serves as a user-friendly interface to interact with and download the newly published data. This paper reviews how these datasets were acquired and processed, presents the methods used to standardize them, and introduces the new data portal and interactive tutorials that were created to improve the accessibility of the data. Lastly, we exemplify future potential uses of the aerogeophysical datasets by extracting information on the continuity of englacial layering from the fully published airborne radar data. We believe these newly released data will be a valuable asset to future glaciological and geophysical studies over Antarctica and will significantly extend the life cycle of the data. All datasets included in this data release are now fully accessible at https://data.bas.ac.uk (British Antarctic Survey, 2022).</t>
  </si>
  <si>
    <t>[Fremand, Alice C.; Bodart, Julien A.; Jordan, Tom A.; Ferraccioli, Fausto; Robinson, Carl; Corr, Hugh F. J.; Peat, Helen J.; Vaughan, David G.] British Antarctic Survey, Cambridge, England; [Bodart, Julien A.; Bingham, Robert G.] Univ Edinburgh, Sch GeoSci, Edinburgh, Midlothian, Scotland; [Ferraccioli, Fausto] Ist Nazl Oceanog &amp; Geofis Sperimentale, Trieste, Italy</t>
  </si>
  <si>
    <t>UK Research &amp; Innovation (UKRI); Natural Environment Research Council (NERC); NERC British Antarctic Survey; University of Edinburgh; Istituto Nazionale di Oceanografia e di Geofisica Sperimentale</t>
  </si>
  <si>
    <t>Frémand, AC; Bodart, JA (corresponding author), British Antarctic Survey, Cambridge, England.;Bodart, JA (corresponding author), Univ Edinburgh, Sch GeoSci, Edinburgh, Midlothian, Scotland.</t>
  </si>
  <si>
    <t>almand@bas.ac.uk; julien.bodart@ed.ac.uk</t>
  </si>
  <si>
    <t>Corr, Hugh/C-5398-2011; Peat, Helen J/E-9666-2015; Bingham, Robert G/G-3576-2017</t>
  </si>
  <si>
    <t>Jordan, Tom/0000-0003-2780-1986; Bodart, Dr Julien A/0000-0002-8237-0675; Fremand, Alice/0000-0001-8272-0981</t>
  </si>
  <si>
    <t>NERC National Capability Environmental Data Service; NERC Doctoral Training Partnership [NE/L002558/1]</t>
  </si>
  <si>
    <t>NERC National Capability Environmental Data Service; NERC Doctoral Training Partnership(UK Research &amp; Innovation (UKRI)Natural Environment Research Council (NERC))</t>
  </si>
  <si>
    <t>This research has been supported by the NERC National Capability Environmental Data Service. Julien A. Bodart was also supported by the NERC Doctoral Training Partnership (grant reference number: NE/L002558/1) hosted in the Edinburgh E3 DTP program.</t>
  </si>
  <si>
    <t>10.5194/essd-14-3379-2022</t>
  </si>
  <si>
    <t>3D7VN</t>
  </si>
  <si>
    <t>WOS:000829505800001</t>
  </si>
  <si>
    <t>Akers, PD; Savarino, J; Caillon, N; Servettaz, APM; Le Meur, E; Magand, O; Martins, J; Agosta, C; Crockford, P; Kobayashi, K; Hattori, S; Curran, M; van Ommen, T; Jong, L; Roberts, JL</t>
  </si>
  <si>
    <t>Akers, Pete D.; Savarino, Joel; Caillon, Nicolas; Servettaz, Aymeric P. M.; Le Meur, Emmanuel; Magand, Olivier; Martins, Jean; Agosta, Cecile; Crockford, Peter; Kobayashi, Kanon; Hattori, Shohei; Curran, Mark; van Ommen, Tas; Jong, Lenneke; Roberts, Jason L.</t>
  </si>
  <si>
    <t>Sunlight-driven nitrate loss records Antarctic surface mass balance</t>
  </si>
  <si>
    <t>DRONNING MAUD LAND; AIR-SNOW TRANSFER; ICE CORES; DOME-C; EAST ANTARCTICA; ISOTOPIC CONSTRAINTS; REACTIVE NITROGEN; ACCUMULATION RATE; PHOTOLYSIS; VARIABILITY</t>
  </si>
  <si>
    <t>Standard proxies for reconstructing surface mass balance (SMB) in Antarctic ice cores are often inaccurate or coarsely resolved when applied to more complicated environments away from dome summits. Here, we propose an alternative SMB proxy based on photolytic fractionation of nitrogen isotopes in nitrate observed at 114 sites throughout East Antarctica. Applying this proxy approach to nitrate in a shallow core drilled at a moderate SMB site (Aurora Basin North), we reconstruct 700 years of SMB changes that agree well with changes estimated from ice core density and upstream surface topography. For the undersampled transition zones between dome summits and the coast, we show that this proxy can provide past and present SMB values that reflect the immediate local environment and are derived independently from existing techniques.</t>
  </si>
  <si>
    <t>[Akers, Pete D.; Savarino, Joel; Caillon, Nicolas; Le Meur, Emmanuel; Magand, Olivier; Martins, Jean] Univ Grenoble Alpes, CNRS, IRD, Grenoble INP,IGE, Grenoble, France; [Akers, Pete D.] Trinity Coll Dublin, Dept Geog, Dublin, Ireland; [Servettaz, Aymeric P. M.] Japan Agcy Marine Earth Sci &amp; Technol, Yokosuka, Japan; [Agosta, Cecile] Univ Paris Saclay, Lab Sci Climat &amp; Environm, LSCE IPSL, CEA CNRS UVSQ, Gif Sur Yvette, France; [Crockford, Peter] Woods Hole Oceanog Inst, Dept Marine Chem &amp; Geochem, Woods Hole, MA USA; [Crockford, Peter] Harvard Univ, Dept Earth &amp; Planetary Sci, Cambridge, MA USA; [Kobayashi, Kanon; Hattori, Shohei] Tokyo Inst Technol, Dept Chem Sci &amp; Engn, Yokohama, Kanagawa, Japan; [Hattori, Shohei] Nanjing Univ, Int Ctr Isotope Effects Res, Nanjing, Peoples R China; [Hattori, Shohei] Nanjing Univ, Sch Earth Sci &amp; Engn, Nanjing, Peoples R China; [Curran, Mark; van Ommen, Tas; Jong, Lenneke; Roberts, Jason L.] Australian Antarctic Div, Dept Climate Change Energy Environm &amp; Water, Kingston, Tas, Australia; [Curran, Mark; van Ommen, Tas; Jong, Lenneke; Roberts, Jason L.] Univ Tasmania, Australian Antarctic Program Partnership, Inst Marine &amp; Antarct Studies, Hobart, Tas, Australia</t>
  </si>
  <si>
    <t>Institut de Recherche pour le Developpement (IRD); Centre National de la Recherche Scientifique (CNRS); Communaute Universite Grenoble Alpes; Universite Grenoble Alpes (UGA); Institut National Polytechnique de Grenoble; Trinity College Dublin; Japan Agency for Marine-Earth Science &amp; Technology (JAMSTEC); CEA; Centre National de la Recherche Scientifique (CNRS); Universite Paris Saclay; Universite Paris Cite; Woods Hole Oceanographic Institution; Harvard University; Tokyo Institute of Technology; Nanjing University; Nanjing University; Australian Antarctic Division; University of Tasmania</t>
  </si>
  <si>
    <t>Akers, PD; Savarino, J (corresponding author), Univ Grenoble Alpes, CNRS, IRD, Grenoble INP,IGE, Grenoble, France.;Akers, PD (corresponding author), Trinity Coll Dublin, Dept Geog, Dublin, Ireland.</t>
  </si>
  <si>
    <t>pete.akers@tcd.ie; joel.savarino@cnrs.fr</t>
  </si>
  <si>
    <t>Jong, Lenneke M/AAT-3230-2020; Martins, Jean M.F./B-2715-2008; Hattori, Shohei/C-1368-2015; Hattori, Shohei/KGK-4865-2024; Akers, Pete D/J-7590-2017; savarino, joel/H-9730-2012; Caillon, Nicolas/B-7127-2019</t>
  </si>
  <si>
    <t>Jong, Lenneke M/0000-0001-6707-570X; Martins, Jean M.F./0000-0003-0314-1311; Hattori, Shohei/0000-0002-4438-5462; savarino, joel/0000-0002-6708-9623; Akers, Pete D./0000-0002-2266-5551; Caillon, Nicolas/0000-0002-6318-6194; Servettaz, Aymeric/0000-0002-2909-6160; MAGAND, Olivier/0000-0001-8711-4155</t>
  </si>
  <si>
    <t>INSU; MITACS Globalink program; JSPS-CNRS joint research program; European Union's Horizon 2020 research and innovation programme under the Marie Sklodowska-Curie grant [889508-SCADI]; Agence Nationale de la Recherche (ANR) [ANR-10LABX56, ANR-11-EQPX-009-CLIMCOR, ANR-16-CE01-0011-01]; BNP-Paribas Climate Initiative programs [1115, 1117 (CAPOXI 35-75), 1169]; Japan Society for the Promotion of Science: MEXT/JSPS KAKENHI [20H0496]; Agence Nationale de la Recherche (ANR) [ANR-16-CE01-0011] Funding Source: Agence Nationale de la Recherche (ANR)</t>
  </si>
  <si>
    <t>INSU(Centre National de la Recherche Scientifique (CNRS)); MITACS Globalink program; JSPS-CNRS joint research program; European Union's Horizon 2020 research and innovation programme under the Marie Sklodowska-Curie grant(Marie Curie Actions); Agence Nationale de la Recherche (ANR)(Agence Nationale de la Recherche (ANR)); BNP-Paribas Climate Initiative programs; Japan Society for the Promotion of Science: MEXT/JSPS KAKENHI(Ministry of Education, Culture, Sports, Science and Technology, Japan (MEXT)Japan Society for the Promotion of ScienceGrants-in-Aid for Scientific Research (KAKENHI)); Agence Nationale de la Recherche (ANR)(Agence Nationale de la Recherche (ANR))</t>
  </si>
  <si>
    <t>We express thanks to the following individuals for project assistance and data support: Sarah Albertin, Selin Bagci, Albane Barbero, Mathieu Casado, Armelle Crouzet, Vincent Favier, Elsa Gautier, Gaspard Jannot, Alexis Lamothe, Anais Orsi, Fred Parrenin, Holly Winton, and the overwintering crews at Concordia Station. We acknowledge the logistical support of IPEV for the French missions in Antarctica, the IPEV and PNRA colleagues and overwintering crews at Concordia Station, and the JARE54 traverse team for fieldwork assistance and access to the S80 site data. We thank the co-investigators for the ABN drilling project (Jerome Chappellaz, Dorthe Dahl-Jensen, David Etheridge, Joe McConnell, Andrew Moy, Steven Phipps, Andrew Smith, Tessa Vance, Meredith Nation) and the French National Center for Coring and Drilling (C2FN, funded by INSU) for critical drilling, logistic, and analytical support at ABN and other sites. Finally, we acknowledge the Glacioclim-SAMBA, ITASE, and IPICS 2kyr Array programs for SMB data, the AirO-Sol facility at IGE for microbial culturing, and additional support from the MITACS Globalink program and JSPS-CNRS joint research program. This project has received funding from the European Union's Horizon 2020 research and innovation programme under the Marie Sklodowska-Curie grant agreement 889508-SCADI (P.D.A., J.S.). Funding also provided by the Agence Nationale de la Recherche (ANR): ANR-10LABX56, ANR-11-EQPX-009-CLIMCOR, ANR-16-CE01-0011-01 (J.S.), BNP-Paribas Climate Initiative programs: 1115 (CHICTABA), 1117 (CAPOXI 35-75) (JS), and 1169 (EAIIST) (J.S.), and the Japan Society for the Promotion of Science: MEXT/JSPS KAKENHI 20H0496.</t>
  </si>
  <si>
    <t>10.1038/s41467-022-31855-7</t>
  </si>
  <si>
    <t>M4FG6</t>
  </si>
  <si>
    <t>WOS:001029766300001</t>
  </si>
  <si>
    <t>Lee, JR; Waterman, MJ; Shaw, JD; Bergstrom, DM; Lynch, HJ; Wall, DH; Robinson, SA</t>
  </si>
  <si>
    <t>Lee, Jasmine R.; Waterman, Melinda J.; Shaw, Justine D.; Bergstrom, Dana M.; Lynch, Heather J.; Wall, Diana H.; Robinson, Sharon A.</t>
  </si>
  <si>
    <t>Islands in the ice: Potential impacts of habitat transformation on Antarctic biodiversity</t>
  </si>
  <si>
    <t>Antarctica; biodiversity; biotic homogenization; climate change; connectivity; ice-free; non-native species</t>
  </si>
  <si>
    <t>MCMURDO DRY VALLEYS; KING-GEORGE-ISLAND; CLIMATE-CHANGE; VICTORIA LAND; GENETIC DIVERSITY; TERRESTRIAL BIODIVERSITY; MICROBIAL COMMUNITIES; BIOLOGICAL INVASIONS; PENGUIN POPULATIONS; BIOTIC INTERACTIONS</t>
  </si>
  <si>
    <t>Antarctic biodiversity faces an unknown future with a changing climate. Most terrestrial biota is restricted to limited patches of ice-free land in a sea of ice, where they are adapted to the continent's extreme cold and wind and exploit microhabitats of suitable conditions. As temperatures rise, ice-free areas are predicted to expand, more rapidly in some areas than others. There is high uncertainty as to how species' distributions, physiology, abundance, and survivorship will be affected as their habitats transform. Here we use current knowledge to propose hypotheses that ice-free area expansion (i) will increase habitat availability, though the quality of habitat will vary; (ii) will increase structural connectivity, although not necessarily increase opportunities for species establishment; (iii) combined with milder climates will increase likelihood of non-native species establishment, but may also lengthen activity windows for all species; and (iv) will benefit some species and not others, possibly resulting in increased homogeneity of biodiversity. We anticipate considerable spatial, temporal, and taxonomic variation in species responses, and a heightened need for interdisciplinary research to understand the factors associated with ecosystem resilience under future scenarios. Such research will help identify at-risk species or vulnerable localities and is crucial for informing environmental management and policymaking into the future.</t>
  </si>
  <si>
    <t>[Lee, Jasmine R.] British Antarctic Survey, NERC, Cambridge, England; [Lee, Jasmine R.; Shaw, Justine D.] Queensland Univ Technol, Sch Biol &amp; Environm Sci, Securing Antarcticas Environm Future, Brisbane, Qld, Australia; [Waterman, Melinda J.; Robinson, Sharon A.] Univ Wollongong, Securing Antarcticas Environm Future, Sch Earth Atmospher &amp; Life Sci, Wollongong, NSW, Australia; [Bergstrom, Dana M.] Dept Agr Water &amp; Environm, Australian Antarctic Div, Kingston, Tas, Australia; [Bergstrom, Dana M.; Robinson, Sharon A.] Univ Wollongong, Global Challenges Program, Wollongong, NSW, Australia; [Lynch, Heather J.] SUNY Stony Brook, Dept Ecol &amp; Evolut, Stony Brook, NY 11794 USA; [Wall, Diana H.] Colorado State Univ, Dept Biol, Ft Collins, CO 80523 USA; [Wall, Diana H.] Colorado State Univ, Sch Global Environm Sustainabil, Ft Collins, CO 80523 USA</t>
  </si>
  <si>
    <t>UK Research &amp; Innovation (UKRI); Natural Environment Research Council (NERC); NERC British Antarctic Survey; Queensland University of Technology (QUT); University of Wollongong; Australian Antarctic Division; University of Wollongong; State University of New York (SUNY) System; State University of New York (SUNY) Stony Brook; Colorado State University; Colorado State University</t>
  </si>
  <si>
    <t>Lee, JR (corresponding author), British Antarctic Survey, NERC, Cambridge, England.</t>
  </si>
  <si>
    <t>jaslee45@bas.ac.uk</t>
  </si>
  <si>
    <t>Robinson, Sharon/B-2683-2008; Wall, Diana H/F-5491-2011</t>
  </si>
  <si>
    <t>Robinson, Sharon/0000-0002-7130-9617; Lynch, Heather/0000-0002-9026-1612; Waterman, Melinda/0000-0001-5907-4512; Lee, Jasmine/0000-0003-3847-1679; Shaw, Justine/0000-0002-9603-2271</t>
  </si>
  <si>
    <t>Australian Research Council [DP200100223, SR200100005]; National Science Foundation [NSF OPP 1115245, NSF OPP 1341648]; Royal Commission for the Exhibition of 1851; Australian Research Council [DP200100223, SR200100005] Funding Source: Australian Research Council</t>
  </si>
  <si>
    <t>Australian Research Council(Australian Research Council); National Science Foundation(National Science Foundation (NSF)); Royal Commission for the Exhibition of 1851; Australian Research Council(Australian Research Council)</t>
  </si>
  <si>
    <t>Australian Research Council, Grant/Award Number: DP200100223 and SR200100005; National Science Foundation, Grant/Award Number: NSF OPP 1115245 and NSF OPP 1341648; Royal Commission for the Exhibition of 1851</t>
  </si>
  <si>
    <t>10.1111/gcb.16331</t>
  </si>
  <si>
    <t>4M7RE</t>
  </si>
  <si>
    <t>WOS:000829269100001</t>
  </si>
  <si>
    <t>Da Silva, RRP; White, CA; Bowman, JP; Ross, DJ</t>
  </si>
  <si>
    <t>Da Silva, R. R. P.; White, C. A.; Bowman, J. P.; Ross, D. J.</t>
  </si>
  <si>
    <t>Composition and functionality of bacterioplankton communities in marine coastal zones adjacent to finfish aquaculture</t>
  </si>
  <si>
    <t>Bacterioplankton; 16S rRNA gene sequencing; Differential abundance; Machine learning; Aquaculture; Coastal environment</t>
  </si>
  <si>
    <t>16S RIBOSOMAL-RNA; BACTERIAL COMMUNITIES; ENVIRONMENTAL-IMPACT; MICROBIAL COMMUNITIES; SALMON AQUACULTURE; DIVERSITY; FARM; SEDIMENTS; PATTERNS; SITES</t>
  </si>
  <si>
    <t>Finfish aquaculture is a fast-growing primary industry and is increasingly common in coastal ecosystems. Bac-terioplankton is ubiquitous in marine environment and respond rapidly to environmental changes. Changes in bacterioplankton community are not well understood in semi-enclosed stratified embayments. This study aims to examine aquaculture effects in the composition and functional profiles of the bacterioplankton community using amplicon sequencing along a distance gradient from two finfish leases in a marine embayment. Results revealed natural stratification in bacterioplankton associated to NOx, conductivity, salinity, temperature and PO4. Among the differentially abundant bacteria in leases, we found members associated with nutrient enrichment and aquaculture activities. Abundant predicted functions near leases were assigned to organic matter degradation, fermentation, and antibiotic resistance. This study provides a first effort to describe changes in the bacter-ioplankton community composition and function due to finfish aquaculture in a semi-enclosed and highly stratified embayment with a significant freshwater input.</t>
  </si>
  <si>
    <t>[Da Silva, R. R. P.; White, C. A.; Ross, D. J.] Inst Marine &amp; Antarctic Studies IMAS, Taroona, Tas 7053, Australia; [Bowman, J. P.] Univ Tasmania, Tasmanian Inst Agr TIA, Hobart, Tas 7001, Australia</t>
  </si>
  <si>
    <t>Rocha Pavan da Silva, Ricardo/Q-5502-2017</t>
  </si>
  <si>
    <t>Rocha Pavan da Silva, Ricardo/0000-0002-7878-2861</t>
  </si>
  <si>
    <t>Australian Fisheries Research &amp; Development Council [2016-067]; State Government of Tasmania; Institute for Marine and Antarctic Studies</t>
  </si>
  <si>
    <t>Australian Fisheries Research &amp; Development Council; State Government of Tasmania; Institute for Marine and Antarctic Studies</t>
  </si>
  <si>
    <t>This study was supported by the Australian Fisheries Research &amp; Development Council grant 2016-067 and the Sustainable Marine Research Collaborative Agreement between the Institute for Marine and Antarctic Studies and the State Government of Tasmania. The authors would like to thank Samuel Kruimink, Patricia Peinado Fuentes, Ruth Eriksen, Andy Revill, Kirsten Karsh, Lev Bodrossy and Eric Raes for their assistance in obtaining field samples and laboratory data. We appreciate the help and comments of the anonymous reviewers, that improved our manuscript notably.</t>
  </si>
  <si>
    <t>10.1016/j.marpolbul.2022.113957</t>
  </si>
  <si>
    <t>4N5KI</t>
  </si>
  <si>
    <t>WOS:000854057700010</t>
  </si>
  <si>
    <t>Shen, Y; Zhu, GP</t>
  </si>
  <si>
    <t>Shen, Yi; Zhu, Guoping</t>
  </si>
  <si>
    <t>First report on the burden and distribution of Cu, Zn, Pb, and Cd in the Ocellated icefish (Chionodraco rastrospinosus) of northern Antarctic Peninsula</t>
  </si>
  <si>
    <t>Chionodraco rastrospinosus; Trace element; Antarctic Peninsula; Nutrient</t>
  </si>
  <si>
    <t>TRACE-ELEMENTS; HEAVY-METALS; CHAMPSOCEPHALUS-GUNNARI; ZINC TRANSPORTERS; DIFFERENT TISSUES; OXIDATIVE STRESS; MARINE ORGANISMS; LEAD TOXICITY; FISH; COPPER</t>
  </si>
  <si>
    <t>Understanding the distribution of trace elements in Ocellated icefish (Chionodraco rastrospinosus), one of fish species with lacking hemoglobin from the family Channichthyidae and distributes in a very limited area at the south Scotia Sea, will help understand their physiological composition and conserve this vulnerable population; however, information on this topic is extremely limited. This study examines trace elements (two essential el-ements, copper [Cu] and zinc [Zn], and two non-essential elements, cadmium [Cd] and lead [Pb]) in C. rastrospinosus and provides for the first time baseline data on elemental distribution in four tissues of C. rastrospinosus in the northern Antarctic Peninsula (NAP). The element concentrations showed the following trends: Zn &gt; Cu &gt; Pb &gt; Cd in muscle and stomach and Zn &gt; Cu &gt; Cd &gt; Pb in intestine and liver. Among all tissues, muscle had the lowest element concentrations. The average Zn level is 70.81 +/- 28.91 mu g g(-1) dry weight (DW) in C. rastrospinosus muscle, which is higher significantly than average levels of Cu (0.56 +/- 0.41 mu g g(-1) DW), Pb (0.29 +/- 0.33 mu g g(-1 )DW) and Cd (0.12 +/- 0.05 mu g g(-1) DW). Zn and Cd concentrations in the stomach and intestines were significantly positively correlated. C. rastrospinosus could be a useful bioindicator for monitoring variability in trace elements dynamics in NAP and the environmental variability in this region.</t>
  </si>
  <si>
    <t>[Shen, Yi; Zhu, Guoping] Shanghai Ocean Univ, Coll Marine Sci, Shanghai 201306, Peoples R China; [Zhu, Guoping] Shanghai Ocean Univ, Ctr Polar Res, Shanghai 201306, Peoples R China; [Zhu, Guoping] Key Lab Sustainable Exploitat Ocean Fisheries Reso, Polar Marine Ecosyst Grp, Minist Educ, Shanghai 201306, Peoples R China; [Zhu, Guoping] Natl Engn Res Ctr Ocean Fisheries, Shanghai 201306, Peoples R China</t>
  </si>
  <si>
    <t>Shanghai Ocean University; Shanghai Ocean University; National Engineering Research Center for Oceanic Fisheries</t>
  </si>
  <si>
    <t>Zhu, GP (corresponding author), Shanghai Ocean Univ, Coll Marine Sci, Shanghai 201306, Peoples R China.</t>
  </si>
  <si>
    <t>m200200624@st.shou.edu.cn; gpzhu@shou.edu.cn</t>
  </si>
  <si>
    <t>ZHU, Guo-ping/D-1002-2010</t>
  </si>
  <si>
    <t>Zhu, Guoping/0000-0001-6081-7811</t>
  </si>
  <si>
    <t>National Science Foundation of China [41776185]; National Key Research and Development Program of China [2018YFC1406801]</t>
  </si>
  <si>
    <t>National Science Foundation of China(National Natural Science Foundation of China (NSFC)); National Key Research and Development Program of China</t>
  </si>
  <si>
    <t>We are grateful to the owners and the captains of large-scale trawlers Furonghai and Longteng and the scientific observers onboard those ves- sels for krill sampling and processing. Team members of the Polar Marine Ecosystem Laboratory, Shanghai Ocean University deserves special recognition for their efforts in the laboratory. We thank Ms. Yuwen Chen to help produce the Fig. 1. We also thank the College of Marine Sciences at Shanghai Ocean University for providing the facilities in the laboratory that make this study happen. Funding was provided by the National Science Foundation of China (grant no 41776185 to G.P.Z.) , and the National Key Research and Development Program of China (grant no 2018YFC1406801 to G.P.Z.) . We finally thank the referees who pro- vided detailed comments that greatly improved the manuscript.</t>
  </si>
  <si>
    <t>10.1016/j.marpolbul.2022.113963</t>
  </si>
  <si>
    <t>3X4KW</t>
  </si>
  <si>
    <t>WOS:000843012200009</t>
  </si>
  <si>
    <t>Becheler, R; Haverbeck, D; Clerc, C; Montecinos, G; Valero, M; Mansilla, A; Faugeron, S</t>
  </si>
  <si>
    <t>Becheler, Ronan; Haverbeck, Daniela; Clerc, Corentin; Montecinos, Gabriel; Valero, Myriam; Mansilla, Andres; Faugeron, Sylvain</t>
  </si>
  <si>
    <t>Variation in Thermal Tolerance of the Giant Kelp's Gametophytes: Suitability of Habitat, Population Quality or Local Adaptation?</t>
  </si>
  <si>
    <t>phenotypic plasticity; latitudinal gradient; common garden experiment; heat tolerance; local adaptation</t>
  </si>
  <si>
    <t>MACROCYSTIS-PYRIFERA; GENETIC-STRUCTURE; PHENOTYPIC PLASTICITY; MICROSCOPIC STAGES; PHAEOPHYCEAE; RANGE; EVOLUTION; TEMPERATURE; MIGRATION; ECOLOGY</t>
  </si>
  <si>
    <t>The giant kelp Macrocystis pyrifera is a cosmopolitan species of cold-temperate coasts. Its South-American distribution ranges from Peru to Cape Horn and Argentina, encompassing a considerable temperature gradient, from 3 to 20 degrees C. Temperature is known to strongly affect survival, growth and reproduction of many kelp species, and ongoing global warming is already eroding their range distribution. Their response to thermal variability was shown to vary among genetically differentiated regions and populations, suggesting a possible adaptive divergence in thermal tolerance traits. This study aimed at testing the existence of local adaptation in the giant kelp, in regions separated by up to 4000km and strong thermal divergence. Two complementary experiments mimicked reciprocal transplants through a common garden approach, each habitat being represented by a given temperature corresponding to the regional average of the sampled populations. Several proxies of fitness were measured in the haploid stage of the kelp, and sympatric versus allopatric conditions (i.e. individuals at the temperature of their region of origin versus in a different temperature and versus individuals from other regions in that temperature) were compared. Additionally, a heat wave at 24 degrees C was applied to measure the tolerance limits of these gametophytes. A significant interaction between experimental temperature and region of origin revealed that temperature tolerance varied among regions. However, depending on the fitness parameter measured, high latitude populations from the sub-Antarctic region were not always less heat resilient than populations from the warmer region of Peru. Even at 24 degrees C, a temperature that is exceptionally reached in the southernmost part of the kelp's natural habitat, all the gametophytes survived, although with strong differences in other traits among regions and populations within regions. This large range of temperature tolerance supports the idea of kelp gametophytes being a resistant stage. Finally, local adaptation sensu stricto was not detected. Fertility was more influenced by the geographic origin than by temperature, with possible effects of marginal conditions at the extremes of the distribution range. The latter results also suggest that stochastic dynamics such as genetic drift restricts adaptive processes in some populations of M. pyrifera.</t>
  </si>
  <si>
    <t>[Becheler, Ronan; Haverbeck, Daniela; Clerc, Corentin; Montecinos, Gabriel; Faugeron, Sylvain] Pontificia Univ Catolica Chile, Fac Ciencias Biol, Nucleo Milenio Marine Agron Seaweed Holobionts MAS, Santiago, Chile; [Becheler, Ronan; Haverbeck, Daniela; Montecinos, Gabriel; Valero, Myriam; Faugeron, Sylvain] Univ Austral Chile, Sorbonne Univ, Pontificia Univ Catolica Chile, Ctr Natl Rech Sci CNRS,Int Res Lab 3614 IRL3614 Ev, Roscoff, France; [Clerc, Corentin] Sorbonne Univ, Univ Paris Sci &amp; Lettres IPL, Ecole Normale Super, Ecole Polytech,Ctr Natl Rech Sci CNRS,Lab Meteorol, Paris, France; [Mansilla, Andres] Univ Magallanes, Lab Macroalgas Antarticas &amp; Subantarticas LMAS, Punta Arenas, Chile; [Mansilla, Andres] Univ Chile, Inst Ecol &amp; Biodivers, Inst Ecol &amp; Biodivers Chile, Santiago, Chile</t>
  </si>
  <si>
    <t>Pontificia Universidad Catolica de Chile; Universidad Austral de Chile; Sorbonne Universite; Centre National de la Recherche Scientifique (CNRS); Centre National de la Recherche Scientifique (CNRS); Sorbonne Universite; Universite PSL; Ecole Normale Superieure (ENS); Universidad de Magallanes; Universidad de Chile</t>
  </si>
  <si>
    <t>Faugeron, S (corresponding author), Pontificia Univ Catolica Chile, Fac Ciencias Biol, Nucleo Milenio Marine Agron Seaweed Holobionts MAS, Santiago, Chile.;Faugeron, S (corresponding author), Univ Austral Chile, Sorbonne Univ, Pontificia Univ Catolica Chile, Ctr Natl Rech Sci CNRS,Int Res Lab 3614 IRL3614 Ev, Roscoff, France.</t>
  </si>
  <si>
    <t>sfaugeron@bio.puc.cl</t>
  </si>
  <si>
    <t>Valero, Myriam/M-6052-2019</t>
  </si>
  <si>
    <t>Valero, Myriam/0000-0002-9000-1423; Haverbeck, Daniela/0000-0002-0171-7316; Faugeron, Sylvain/0000-0001-7258-5229; Mansilla, Andres/0000-0003-3505-7018</t>
  </si>
  <si>
    <t>ANID/CONICYT; FONDECYT [1160930, 3170597, FB-0001]; CeBiB; ANID MIllenium Science Initiative Program [NCN2021_033]; CNRS International Research Network: Diversity and Biotechnology of Marine Algae; IDEALG project [ANR-10-BTBR-04]</t>
  </si>
  <si>
    <t>ANID/CONICYT; FONDECYT(Comision Nacional de Investigacion Cientifica y Tecnologica (CONICYT)CONICYT FONDECYT); CeBiB; ANID MIllenium Science Initiative Program; CNRS International Research Network: Diversity and Biotechnology of Marine Algae; IDEALG project</t>
  </si>
  <si>
    <t>This study was financed by grants ANID/CONICYT FONDECYT 1160930, FONDECYT 3170597, FB-0001 CeBiB, ANID MIllenium Science Initiative Program NCN2021_033, CNRS International Research Network: Diversity and Biotechnology of Marine Algae, and IDEALG project (France: ANR-10-BTBR-04).</t>
  </si>
  <si>
    <t>JUL 22</t>
  </si>
  <si>
    <t>10.3389/fmars.2022.802535</t>
  </si>
  <si>
    <t>3P0WC</t>
  </si>
  <si>
    <t>WOS:000837258300001</t>
  </si>
  <si>
    <t>Boss, E; Waite, AM; Karstensen, J; Trull, T; Muller-Karger, F; Sosik, HM; Uitz, J; Acinas, SG; Fennel, K; Berman-Frank, I; Thomalla, S; Yamazaki, H; Batten, S; Gregori, G; Richardson, AJ; Wanninkhof, R</t>
  </si>
  <si>
    <t>Boss, Emmanuel; Waite, Anya M.; Karstensen, Johannes; Trull, Tom; Muller-Karger, Frank; Sosik, Heidi M.; Uitz, Julia; Acinas, Silvia G.; Fennel, Katja; Berman-Frank, Ilana; Thomalla, Sandy; Yamazaki, Hidekatsu; Batten, Sonia; Gregori, Gerald; Richardson, Anthony J.; Wanninkhof, Rik</t>
  </si>
  <si>
    <t>Recommendations for Plankton Measurements on OceanSITES Moorings With Relevance to Other Observing Sites</t>
  </si>
  <si>
    <t>plankton; ocean; measurements; sensors; OceanSITES; ocean biology</t>
  </si>
  <si>
    <t>SOUTHERN-OCEAN; PRIMARY PRODUCTIVITY; BEAM ATTENUATION; SEDIMENT TRAPS; BUOY SYSTEM; PHYTOPLANKTON; SIZE; CARBON; EXPORT; DISTRIBUTIONS</t>
  </si>
  <si>
    <t>Measuring plankton and associated variables as part of ocean time-series stations has the potential to revolutionize our understanding of ocean biology and ecology and their ties to ocean biogeochemistry. It will open temporal scales (e.g., resolving diel cycles) not typically sampled as a function of depth. In this review we motivate the addition of biological measurements to time-series sites by detailing science questions they could help address, reviewing existing technology that could be deployed, and providing examples of time-series sites already deploying some of those technologies. We consider here the opportunities that exist through global coordination within the OceanSITES network for long-term (climate) time series station in the open ocean. Especially with respect to data management, global solutions are needed as these are critical to maximize the utility of such data. We conclude by providing recommendations for an implementation plan.</t>
  </si>
  <si>
    <t>[Boss, Emmanuel] Univ Maine, Sch Marine Sci, Orono, ME 04469 USA; [Waite, Anya M.] Dalhousie Univ, Ocean Frontier Inst, Dept Oceanog, Halifax, NS, Canada; [Karstensen, Johannes] GEOMAR Helmholtz Ctr Ocean Res Kiel, Kiel, Germany; [Trull, Tom] Commonwealth Sci &amp; Ind Res Org CSIRO, Oceans &amp; Atmosphere, Hobart, Tas, Australia; [Muller-Karger, Frank] Univ S Florida, Coll Marine Sci, St Petersburg, FL USA; [Sosik, Heidi M.] Woods Hole Oceanog Inst, Dept Biol, Woods Hole, MA 02543 USA; [Uitz, Julia] Sorbonne Univ, Lab Oceanog Villefranche, CNRS, Villefranchie Sur Mer, France; [Acinas, Silvia G.] CSIC, Inst Ciencies Mar, Dept Marine Biol &amp; Oceanog, Barcelona, Spain; [Fennel, Katja] Dalhousie Univ, Dept Oceanog, Halifax, NS, Canada; [Berman-Frank, Ilana] Univ Haifa, Dept Marine Biol, Leon H Chamey Sch Marine Sci, Haifa, Israel; [Thomalla, Sandy] CSIR, Southern Ocean Carbon Climate Observ, Cape Town, South Africa; [Thomalla, Sandy] Univ Cape Town, Marine &amp; Antarctic Res Innovat &amp; Sustainabil, Cape Town, South Africa; [Yamazaki, Hidekatsu] Tokyo Univ Merine Sci &amp; Technol, Dept Ocean Sci, Tokyo, Japan; [Batten, Sonia] North Pacific Marine Sci Org PICES, Sidney, BC, Canada; [Gregori, Gerald] Aix Marseille Univ, Univ Toulon, Mediterranean Inst Oceanog, CNRS,IRD, Marseille, France; [Richardson, Anthony J.] CSIRO Oceans &amp; Atmosphere St Lucia, St Lucia, Qld, Australia; [Richardson, Anthony J.] Univ Queensland, Sch Math &amp; Phys, St Lucia, Qld, Australia; [Wanninkhof, Rik] NOAA, Atlantic Oceanog &amp; Meteorol Lab, Miami, FL 33149 USA</t>
  </si>
  <si>
    <t>University of Maine System; University of Maine Orono; Dalhousie University; Helmholtz Association; GEOMAR Helmholtz Center for Ocean Research Kiel; Commonwealth Scientific &amp; Industrial Research Organisation (CSIRO); State University System of Florida; University of South Florida; Woods Hole Oceanographic Institution; Sorbonne Universite; Centre National de la Recherche Scientifique (CNRS); Consejo Superior de Investigaciones Cientificas (CSIC); CSIC - Centro Mediterraneo de Investigaciones Marinas y Ambientales (CMIMA); CSIC - Instituto de Ciencias del Mar (ICM); Dalhousie University; University of Haifa; Council for Scientific &amp; Industrial Research (CSIR) - South Africa; University of Cape Town; Aix-Marseille Universite; Centre National de la Recherche Scientifique (CNRS); Institut de Recherche pour le Developpement (IRD); University of Queensland; National Oceanic Atmospheric Admin (NOAA) - USA; Atlantic Oceanographic &amp; Meteorological Laboratory (AOML)</t>
  </si>
  <si>
    <t>Boss, E (corresponding author), Univ Maine, Sch Marine Sci, Orono, ME 04469 USA.</t>
  </si>
  <si>
    <t>Emmanuel.boss@maine.edu</t>
  </si>
  <si>
    <t>Uitz, Julia/JTV-4579-2023; Karstensen, Johannes/A-8534-2013; Boss, Emmanuel/C-5765-2009; Richardson, Anthony J/B-3649-2010; Fennel, Katja/A-7470-2009; Waite, Anya M/A-5492-2015; Grégori, Gérald J/HJA-3378-2022; Acinas, Silvia/F-7462-2016</t>
  </si>
  <si>
    <t>Karstensen, Johannes/0000-0001-5044-7079; Boss, Emmanuel/0000-0002-8334-9595; Richardson, Anthony J/0000-0002-9289-7366; Grégori, Gérald J/0000-0003-1645-9468; Acinas, Silvia/0000-0002-3439-0428</t>
  </si>
  <si>
    <t>Scientific Committee on Oceanic Research [WG154]; U.S. National Science Foundation [OCE-1840868]; Marine Biodiversity Observation Network (MBON); NASA; NOAA; ONR; BOEM; Simons Foundation</t>
  </si>
  <si>
    <t>Scientific Committee on Oceanic Research; U.S. National Science Foundation(National Science Foundation (NSF)); Marine Biodiversity Observation Network (MBON); NASA(National Aeronautics &amp; Space Administration (NASA)); NOAA(National Oceanic Atmospheric Admin (NOAA) - USA); ONR(Office of Naval Research); BOEM; Simons Foundation</t>
  </si>
  <si>
    <t>This work was partially supported from funding to SCOR WG 154 (P-OBS) provided by national committees of the Scientific Committee on Oceanic Research (SCOR) and from a grant to SCOR from the U.S. National Science Foundation (OCE-1840868). FM-K acknowledges the support provided for participation by the Marine Biodiversity Observation Network (MBON) sponsored by NASA, NOAA, ONR, BOEM. HS acknowledges support from the Simons Foundation.</t>
  </si>
  <si>
    <t>10.3389/fmars.2022.929436</t>
  </si>
  <si>
    <t>3P2ZW</t>
  </si>
  <si>
    <t>WOS:000837408500001</t>
  </si>
  <si>
    <t>Liu, HH; Peng, DM; Yang, HJ; Mu, YT; Zhu, YG</t>
  </si>
  <si>
    <t>Liu, Honghong; Peng, Daomin; Yang, Hyun-Joo; Mu, Yongtong; Zhu, Yugui</t>
  </si>
  <si>
    <t>A Proposed Scheme of Fishing Quota Allocation to Ensure the Sustainable Development of China's Marine Capture Fisheries</t>
  </si>
  <si>
    <t>catch share; socioeconomics; entropy method; coupling coordination; sustainability</t>
  </si>
  <si>
    <t>CATCH SHARES; MANAGEMENT; RESOURCE</t>
  </si>
  <si>
    <t>The sustainable development of marine capture fisheries (MCFs) plays a significant role in food security, economic development, and employment stability. The lack of information on the sustainability of MCFs, along with the inadequate management of fisheries output controls, has weakened China's efforts towards a national catch limit target of no more than 10 million tons from capture fisheries until 2020. Furthermore, overfishing and fishery conflicts still exist. In order to try and resolve the above problems and achieve the sustainable use of fishery resources, an evaluation of the development status of these fisheries based on the coupling coordination model has been undertaken. The results show that the social, economic, and biological systems of MCFs in coastal areas of China interact with each other while their development is not coordinated, and regional differences exist. This study integrates the socioeconomic indicators using the catch-share program as a breakthrough methodology to resolve inconsistencies. The results under different allocation schemes suggest that the multifactor scheme is more equitable than the single-factor scheme, which enhances the fairness of the initial distribution.</t>
  </si>
  <si>
    <t>[Liu, Honghong; Peng, Daomin; Yang, Hyun-Joo; Mu, Yongtong; Zhu, Yugui] Ocean Univ China, Coll Fisheries, Key Lab Mariculture, Minist Educ, Qingdao, Peoples R China; [Zhu, Yugui] Southern Marine Sci &amp; Engn Guangdong Lab, Guangzhou, Peoples R China</t>
  </si>
  <si>
    <t>Ocean University of China; Southern Marine Science &amp; Engineering Guangdong Laboratory; Southern Marine Science &amp; Engineering Guangdong Laboratory (Guangzhou)</t>
  </si>
  <si>
    <t>Mu, YT; Zhu, YG (corresponding author), Ocean Univ China, Coll Fisheries, Key Lab Mariculture, Minist Educ, Qingdao, Peoples R China.;Zhu, YG (corresponding author), Southern Marine Sci &amp; Engn Guangdong Lab, Guangzhou, Peoples R China.</t>
  </si>
  <si>
    <t>ytmu@ouc.edu.cn; zhuyugui@ouc.edu.cn</t>
  </si>
  <si>
    <t>Peng, Daomin/0000-0003-2814-1350</t>
  </si>
  <si>
    <t>China Agriculture Research System of MOF and MARA; Chinese Arctic and Antarctic Program [JDB20210211]; Key Special Project for Introduced Talents Team of Southern Marine Science and Engineering Guangdong Laboratory (Guangzhou) [GML2019ZD0402]</t>
  </si>
  <si>
    <t>China Agriculture Research System of MOF and MARA; Chinese Arctic and Antarctic Program; Key Special Project for Introduced Talents Team of Southern Marine Science and Engineering Guangdong Laboratory (Guangzhou)</t>
  </si>
  <si>
    <t>This study was supported by China Agriculture Research System of MOF and MARA, the Chinese Arctic and Antarctic Program (JDB20210211), and the Key Special Project for Introduced Talents Team of Southern Marine Science and Engineering Guangdong Laboratory (Guangzhou) (GML2019ZD0402).</t>
  </si>
  <si>
    <t>10.3389/fmars.2022.881306</t>
  </si>
  <si>
    <t>3P0RV</t>
  </si>
  <si>
    <t>WOS:000837246500001</t>
  </si>
  <si>
    <t>Renault, D; Leclerc, C; Colleu, MA; Boutet, A; Hotte, H; Colinet, H; Chown, SL; Convey, P</t>
  </si>
  <si>
    <t>Renault, David; Leclerc, Camille; Colleu, Marc-Antoine; Boutet, Aude; Hotte, Hoel; Colinet, Herve; Chown, Steven L.; Convey, Peter</t>
  </si>
  <si>
    <t>The rising threat of climate change for arthropods from Earth's cold regions: Taxonomic rather than native status drives species sensitivity</t>
  </si>
  <si>
    <t>arachnid; Araneae; Coleoptera; Diptera; heat exposure; insect; sub-Antarctic islands; temperature; thermal fluctuations; warming</t>
  </si>
  <si>
    <t>CRITICAL THERMAL LIMITS; ECOLOGICAL RESPONSES; CARABID BEETLE; WARMING EVENTS; TERRESTRIAL; ACCLIMATION; TOLERANCE; IMPACTS; VARIABILITY; BIOLOGY</t>
  </si>
  <si>
    <t>Polar and alpine regions are changing rapidly with global climate change. Yet, the impacts on biodiversity, especially on the invertebrate ectotherms which are dominant in these areas, remain poorly understood. Short-term extreme temperature events, which are growing in frequency, are expected to have profound impacts on high-latitude ectotherms, with native species being less resilient than their alien counterparts. Here, we examined in the laboratory the effects of short periodic exposures to thermal extremes on survival responses of seven native and two non-native invertebrates from the sub-Antarctic Islands. We found that survival of dipterans was significantly reduced under warming exposures, on average having median lethal times (LT50) of about 30 days in control conditions, which declined to about 20 days when exposed to daily short-term maxima of 24 degrees C. Conversely, coleopterans were either not, or were less, affected by the climatic scenarios applied, with predicted LT50 as high as 65 days under the warmest condition (daily exposures at 28 degrees C for 2 h). The native spider Myro kerguelensis was characterized by an intermediate sensitivity when subjected to short-term daily heat maxima. Our results unexpectedly revealed a taxonomic influence, with physiological sensitivity to heat differing between higher level taxa, but not between native and non-native species representing the same higher taxon. The survival of a non-native carabid beetle under the experimentally imposed conditions was very high, but similar to that of native beetles, while native and non-native flies also exhibited very similar sensitivity to warming. As dipterans are a major element of diversity of sub-Antarctic, Arctic and other cold ecosystems, such observations suggest that the increased occurrence of extreme, short-term, thermal events could lead to large-scale restructuring of key terrestrial ecosystem components both in ecosystems protected from and those exposed to the additional impacts of biological invasions.</t>
  </si>
  <si>
    <t>[Renault, David; Leclerc, Camille; Colleu, Marc-Antoine; Boutet, Aude; Hotte, Hoel; Colinet, Herve] Univ Rennes, CNRS, UMR 6553, ECOBIO,Ecosyst Biodiversite Evolut, F-35000 Rennes, France; [Leclerc, Camille] Aix Marseille Univ, INRAE, UMR Recover, Aix En Provence, France; [Hotte, Hoel] ANSES, Plant Hlth Lab, Nematol Unit, Le Rheu, France; [Chown, Steven L.] Monash Univ, Sch Biol Sci, Securing Antarcticas Environm Future, Melbourne, Vic, Australia; [Convey, Peter] British Antarctic Survey, NERC, Cambridge, England; [Convey, Peter] Univ Johannesburg, Dept Zool, Auckland Pk, South Africa</t>
  </si>
  <si>
    <t>Universite de Rennes; Centre National de la Recherche Scientifique (CNRS); CNRS - Institute of Ecology &amp; Environment (INEE); Aix-Marseille Universite; INRAE; Agence Nationale de Securite Sanitaire de l'Alimentation, de l'Environnement du Travail (ANSES); Laboratoire de la Sante des Vegetaux; Monash University; Melbourne Genomics Health Alliance; UK Research &amp; Innovation (UKRI); Natural Environment Research Council (NERC); NERC British Antarctic Survey; University of Johannesburg</t>
  </si>
  <si>
    <t>Renault, D (corresponding author), Univ Rennes, CNRS, UMR 6553, ECOBIO,Ecosyst Biodiversite Evolut, F-35000 Rennes, France.</t>
  </si>
  <si>
    <t>david.renault@univ-rennes1.fr</t>
  </si>
  <si>
    <t>Colinet, hervé/K-8768-2019; Convey, Peter/AAV-5728-2020; Chown, Steven/ABD-7646-2021; Leclerc, Camille/AAD-5707-2019; Chown, Steven/H-3347-2011</t>
  </si>
  <si>
    <t>Colinet, hervé/0000-0002-8806-3107; Convey, Peter/0000-0001-8497-9903; Leclerc, Camille/0000-0001-5830-1787; Chown, Steven/0000-0001-6069-5105; Boutet, Aude/0000-0003-2658-2849; , Hoel HOTTE/0000-0002-0605-1154</t>
  </si>
  <si>
    <t>Agence Nationale de la Recherche [ANR-20-EBI5-0004]; ARC SRIEAS [SR200100005]; British Antarctic Survey; InEE-CNRS; Institut Polaire Francais Paul Emile Victor [IPEV 136 Subanteco]; Natural Environment Research Council; Agence Nationale de la Recherche (ANR) [ANR-20-EBI5-0004] Funding Source: Agence Nationale de la Recherche (ANR)</t>
  </si>
  <si>
    <t>Agence Nationale de la Recherche(Agence Nationale de la Recherche (ANR)); ARC SRIEAS(Australian Research Council); British Antarctic Survey; InEE-CNRS; Institut Polaire Francais Paul Emile Victor; Natural Environment Research Council(UK Research &amp; Innovation (UKRI)Natural Environment Research Council (NERC)); Agence Nationale de la Recherche (ANR)(Agence Nationale de la Recherche (ANR))</t>
  </si>
  <si>
    <t>Agence Nationale de la Recherche, Grant/Award Number: ANR--20--EBI5--0004; ARC SRIEAS, Grant/Award Number: SR200100005; British Antarctic Survey; InEE--CNRS; Institut Polaire Francais Paul Emile Victor, Grant/Award Number: Projet IPEV 136 Subanteco; Natural Environment Research Council</t>
  </si>
  <si>
    <t>10.1111/gcb.16338</t>
  </si>
  <si>
    <t>WOS:000828903200001</t>
  </si>
  <si>
    <t>Hindley, NP; Mitchell, NJ; Cobbett, N; Smith, AK; Fritts, DC; Janches, D; Wright, CJ; Moffat-Griffin, T</t>
  </si>
  <si>
    <t>Hindley, Neil P.; Mitchell, Nicholas J.; Cobbett, Neil; Smith, Anne K.; Fritts, Dave C.; Janches, Diego; Wright, Corwin J.; Moffat-Griffin, Tracy</t>
  </si>
  <si>
    <t>Radar observations of winds, waves and tides in the mesosphere and lower thermosphere over South Georgia island (54° S, 36° W) and comparison with WACCM simulations</t>
  </si>
  <si>
    <t>QUASI-BIENNIAL OSCILLATION; GRAVITY-WAVE; METEOR RADAR; SATELLITE-OBSERVATIONS; FORCING MECHANISMS; SEMIDIURNAL TIDES; ARCTIC MESOSPHERE; MIDDLE ATMOSPHERE; PLANETARY-WAVES; MOUNTAIN WAVES</t>
  </si>
  <si>
    <t>The mesosphere and lower thermosphere (MLT) is a dynamic layer of the earth's atmosphere. This region marks the interface at which neutral atmosphere dynamics begin to influence the upper atmosphere and ionosphere. However, our understanding of this region and our ability to accurately simulate it in global circulation models (GCMs) is limited by a lack of observations, especially in remote locations. To this end, a meteor radar was deployed from 2016 to 2020 on the remote mountainous island of South Georgia (54 degrees S, 36 degrees W) in the Southern Ocean. In this study we use these new measurements to characterise the fundamental dynamics of the MLT above South Georgia including large-scale winds, solar tides, planetary waves (PWs), and mesoscale gravity waves (GWs). We first present an improved method for time-height localisation of radar wind measurements and characterise the large-scale MLT winds. We then determine the amplitudes and phases of the diurnal (24 h), semidiurnal (12 h), terdiurnal (8 h), and quardiurnal (6 h) solar tides at this latitude. We find very large amplitudes up to 30 m s(-1) for the quasi 2 d PW in summer and, combining our measurements with the meteor SAAMER radar in Argentina, show that the dominant modes of the quasi 5, 10, and 16 d PWs are westward 1 and 2. We investigate and compare wind variance due to both large-scale resolved GWs and small-scale subvolume GWs in the MLT and characterise their seasonal cycles. Last, we use our radar observations and satellite temperature observations from the Microwave Limb Sounder to test a climatological simulation of the Whole Atmosphere Community Climate Model (WACCM). We find that WACCM exhibits a summertime mesopause near 80 km altitude that is around 10 K warmer and 10 km lower in altitude than observed. Above 95 km altitude, summertime meridional winds in WACCM reverse to poleward, but this not observed in radar observations in this altitude range. More significantly, we find that wintertime zonal winds between 85 to 105 km altitude are eastward up to 40 m s(-1) in radar observations, but in WACCM they are westward up to 20 m s(-1). We propose that this large discrepancy may be linked to the impacts of secondary GWs (2GWs) on the residual circulation, which are not included in most global models, including WACCM. These radar measurements can therefore provide vital constraints that can guide the development of GCMs as they extend upwards into this important region of the atmosphere.</t>
  </si>
  <si>
    <t>[Hindley, Neil P.; Mitchell, Nicholas J.; Wright, Corwin J.] Univ Bath, Ctr Space Atmospher &amp; Ocean Sci, Bath, Avon, England; [Mitchell, Nicholas J.; Cobbett, Neil; Moffat-Griffin, Tracy] British Antarctic Survey, Cambridge, England; [Smith, Anne K.] Natl Ctr Atmospher Res, POB 3000, Boulder, CO 80307 USA; [Fritts, Dave C.] GATS, Boulder, CO USA; [Janches, Diego] NASA, Goddard Space Flight Ctr, Greenbelt, MD USA</t>
  </si>
  <si>
    <t>University of Bath; UK Research &amp; Innovation (UKRI); Natural Environment Research Council (NERC); NERC British Antarctic Survey; National Center Atmospheric Research (NCAR) - USA; National Aeronautics &amp; Space Administration (NASA); NASA Goddard Space Flight Center</t>
  </si>
  <si>
    <t>Hindley, NP (corresponding author), Univ Bath, Ctr Space Atmospher &amp; Ocean Sci, Bath, Avon, England.</t>
  </si>
  <si>
    <t>n.hindley@bath.ac.uk</t>
  </si>
  <si>
    <t>Wright, Corwin/J-4598-2014</t>
  </si>
  <si>
    <t>Wright, Corwin/0000-0003-2496-953X; Hindley, Neil/0000-0003-4377-2038; Smith, Anne/0000-0003-2384-5033</t>
  </si>
  <si>
    <t>UK Natural Environment Research Council (NERC) [NE/K015117/1, NE/K012614/1, NE/R001391/1, NE/R001235/1, NE/S00985X/1]; Royal Society [UF160545]</t>
  </si>
  <si>
    <t>UK Natural Environment Research Council (NERC)(UK Research &amp; Innovation (UKRI)Natural Environment Research Council (NERC)); Royal Society(Royal Society)</t>
  </si>
  <si>
    <t>This work was supported by the UK Natural Environment Research Council (NERC) under grants NE/K015117/1, NE/K012614/1, NE/R001391/1, NE/R001235/1 and NE/S00985X/1 and the Royal Society under grant number UF160545.</t>
  </si>
  <si>
    <t>10.5194/acp-22-9435-2022</t>
  </si>
  <si>
    <t>3C5EO</t>
  </si>
  <si>
    <t>WOS:000828645800001</t>
  </si>
  <si>
    <t>Morgan, JD; Buizert, C; Fudge, TJ; Kawamura, K; Severinghaus, JP; Trudinger, CM</t>
  </si>
  <si>
    <t>Morgan, Jacob D.; Buizert, Christo; Fudge, Tyler J.; Kawamura, Kenji; Severinghaus, Jeffrey P.; Trudinger, Cathy M.</t>
  </si>
  <si>
    <t>Gas isotope thermometry in the South Pole and Dome Fuji ice cores provides evidence for seasonal rectification of ice core gas records</t>
  </si>
  <si>
    <t>ABRUPT CLIMATE-CHANGE; DEEP AIR CONVECTION; NEAR-SURFACE SNOW; TRAPPED AIR; SP19 CHRONOLOGY; OCCLUDED AIR; FIRN; TEMPERATURE; GREENLAND; VARIABILITY</t>
  </si>
  <si>
    <t>Gas isotope thermometry using the isotopes of molecular nitrogen and argon has been used extensively to reconstruct past surface temperature change from Greenland ice cores. The gas isotope ratios delta N-15 and delta Ar-4(0) in the ice core are each set by the amount of gravitational and thermal fractionation in the firn. The gravitational component of fractionation is proportional to the firn thickness, and the thermal component is proportional to the temperature difference between the top and bottom of the firn column, which can be related to surface temperature change. Compared to Greenland, Antarctic climate change is typically more gradual and smaller in magnitude, which results in smaller thermal fractionation signals that are harder to detect. This has hampered application of gas isotope thermometry to Antarctic ice cores. Here, we present an analytical method for measuring delta N-15 and delta Ar-40 with a precision of 0.002 parts per thousand per atomic mass unit, a two-fold improvement on previous work. This allows us to reconstruct changes in firn thickness and temperature difference at the South Pole between 30 and 5 kyr BR. We find that variability in firn thickness is controlled in part by changes in snow accumulation rate, which is, in turn, influenced strongly by the along-flowline topography upstream of the ice core site. Variability in our firn temperature difference record cannot be explained by annual-mean processes. We therefore propose that the ice core gas isotopes contain a seasonal bias due to rectification of seasonal signals in the upper firn. The strength of the rectification also appears to be linked to fluctuations in the upstream topography. As further evidence for the existence of rectification, we present new data from the Dome Fuji ice core that are also consistent with a seasonal bias throughout the Holocene. Our findings have important implications for the interpretation of ice core gas records. For example, we show that the effects of upstream topography on ice core records can be significant at flank sites like the South Pole - they are responsible for some of the largest signals in our record. Presumably upstream signals impact other flank-flow ice cores such as EDML, Vostok, and EGRIP similarly. Additionally, future work is required to confirm the existence of seasonal rectification in polar firn, to determine how spatially and temporally widespread rectifier effects are, and to incorporate the relevant physics into firn air models.</t>
  </si>
  <si>
    <t>[Morgan, Jacob D.; Severinghaus, Jeffrey P.] Univ Calif San Diego, Scripps Inst Oceanog, La Jolla, CA 92093 USA; [Buizert, Christo] Oregon State Univ, Coll Earth Ocean &amp; Atmospher Sci, Corvallis, OR 97331 USA; [Fudge, Tyler J.] Univ Washington, Dept Earth &amp; Space Sci, Seattle, WA 98195 USA; [Kawamura, Kenji] Natl Inst Polar Res, Tokyo 1908518, Japan; [Kawamura, Kenji] Grad Univ Adv Studies SOKENDAI, Dept Polar Sci, Tokyo 1908518, Japan; [Kawamura, Kenji] Japan Agcy Marine Earth Sci &amp; Technol JAMSTEC, Yokosuka, Kanagawa 2370061, Japan; [Trudinger, Cathy M.] CSIRO Oceans &amp; Atmosphere, Climate Sci Ctr, Aspendale, Vic 3195, Australia</t>
  </si>
  <si>
    <t>University of California System; University of California San Diego; Scripps Institution of Oceanography; Oregon State University; University of Washington; University of Washington Seattle; Research Organization of Information &amp; Systems (ROIS); National Institute of Polar Research (NIPR) - Japan; Graduate University for Advanced Studies - Japan; Japan Agency for Marine-Earth Science &amp; Technology (JAMSTEC); Commonwealth Scientific &amp; Industrial Research Organisation (CSIRO)</t>
  </si>
  <si>
    <t>Morgan, JD (corresponding author), Univ Calif San Diego, Scripps Inst Oceanog, La Jolla, CA 92093 USA.</t>
  </si>
  <si>
    <t>jdmorgan@ucsd.edu</t>
  </si>
  <si>
    <t>Trudinger, Cathy/A-2532-2008; Kawamura, Kenji/C-7660-2011</t>
  </si>
  <si>
    <t>Kawamura, Kenji/0000-0003-1163-700X; Severinghaus, Jeffrey/0000-0001-8883-3119; Trudinger, Cathy/0000-0002-4844-2153</t>
  </si>
  <si>
    <t>NSF [1443710, 1443472, 1643394]; JSPS; MEXT KAKENHI [18749002, 21671001, 15KK0027, 17H06320]; Directorate For Geosciences; Office of Polar Programs (OPP) [1643394] Funding Source: National Science Foundation; Directorate For Geosciences; Office of Polar Programs (OPP) [1443472, 1443710] Funding Source: National Science Foundation; Grants-in-Aid for Scientific Research [20H00639] Funding Source: KAKEN</t>
  </si>
  <si>
    <t>NSF(National Science Foundation (NSF)); JSPS(Ministry of Education, Culture, Sports, Science and Technology, Japan (MEXT)Japan Society for the Promotion of Science); MEXT KAKENHI(Ministry of Education, Culture, Sports, Science and Technology, Japan (MEXT)Japan Society for the Promotion of ScienceGrants-in-Aid for Scientific Research (KAKENHI)); Directorate For Geosciences; Office of Polar Programs (OPP)(National Science Foundation (NSF)NSF - Directorate for Geosciences (GEO)); Directorate For Geosciences; Office of Polar Programs (OPP)(National Science Foundation (NSF)NSF - Directorate for Geosciences (GEO)); Grants-in-Aid for Scientific Research(Ministry of Education, Culture, Sports, Science and Technology, Japan (MEXT)Japan Society for the Promotion of ScienceGrants-in-Aid for Scientific Research (KAKENHI))</t>
  </si>
  <si>
    <t>We thank the U.S. Ice Drilling Program for drilling the ice core; the 109th New York Air National Guard for airlift in Antarctica; NSF's Antarctic Infrastructure and Logistics and Antarctic Support Contractors, the SPICEcore field team, and the members of the South Pole station who facilitated the field operations; and the National Science Foundation Ice Core Facility for ice core processing and archiving. We thank Ross Beaudette for help with the ice analysis, David Lilien, and Ed Brook for their helpful comments and discussion, and Benjamin Hills, Bob Hawley, and Max Stevens for sharing South Pole firn temperature data. For the South Pole gas isotope measurements and firn densification modeling, we gratefully acknowledge funding from NSF (1443710, 1443472, and 1643394). Kenji Kawamura and the Dome Fuji measurements were supported by JSPS and MEXT KAKENHI grants (18749002,21671001, 15KK0027, and 17H06320). The manuscript was greatly improved thanks to constructive feedback from Markus Leuenberger and one anonymous referee.</t>
  </si>
  <si>
    <t>10.5194/tc-16-2947-2022</t>
  </si>
  <si>
    <t>3C6CA</t>
  </si>
  <si>
    <t>WOS:000828708500001</t>
  </si>
  <si>
    <t>García-Plazaola, JI; López-Pozo, M; Fernández-Marín, B</t>
  </si>
  <si>
    <t>Ignacio Garcia-Plazaola, Jose; Lopez-Pozo, Marina; Fernandez-Marin, Beatriz</t>
  </si>
  <si>
    <t>Xanthophyll cycles in the juniper haircap moss (Polytrichum juniperinum) and Antarctic hair grass (Deschampsia antarctica) on Livingston Island (South Shetland Islands, Maritime Antarctica)</t>
  </si>
  <si>
    <t>Deschampsia antarctica; Polytrichum juniperinum; Photochemical efficiency; Violaxanthin; Zeaxanthin</t>
  </si>
  <si>
    <t>CHLOROPHYLL FLUORESCENCE; COLOBANTHUS-QUITENSIS; PIGMENT COMPOSITION; ENERGY-DISSIPATION; 2 ECOTYPES; PLANTS; LIGHT; CAROTENOIDS; LEAF; PHOTOSYNTHESIS</t>
  </si>
  <si>
    <t>The summer climate in Maritime Antarctica is characterised by high humidity and cloudiness with slightly above zero temperatures. Under such conditions, photosynthetic activity is temperature-limited and plant communities are formed by a few species. These conditions could prevent the operation of the photoprotective xanthophyll (VAZ) cycle as low irradiance reduces the excess of energy and low temperatures limit enzyme activity. The VAZ cycle regulates the dissipation of the excess of absorbed light as heat, which is the main mechanism of photoprotection in plants. To test whether this mechanism operates dynamically in Antarctic plant communities, we characterised pigment dynamics under natural field conditions in two representative species: the moss Polytrichum juniperinum and the grass Deschampsia antarctica. Pigment analyses revealed that the total VAZ pool was in the upper range of the values reported for most plant species, suggesting that they are exposed to a high degree of environmental stress. Despite cloudiness, there was a strong conversion of violaxanthin (V) to zeaxanthin (Z) during daytime. Conversely, the dark-induced enzymatic epoxidation back to V was not limited by nocturnal temperatures. In contrast with plants from other cold ecosystems, we did not find any evidence of overnight retention of Z or sustained reductions in photochemical efficiency. These results are of interest for modelling, remote sensing and upscaling of the responses of Antarctic vegetation to environmental challenges.</t>
  </si>
  <si>
    <t>[Ignacio Garcia-Plazaola, Jose; Lopez-Pozo, Marina] Univ Basque Country, Dept Plant Biol &amp; Ecol, UPV EHU, Barrio Sarriena S-N, Leioa 48940, Spain; [Fernandez-Marin, Beatriz] Univ La Laguna ULL, Dept Bot Ecol &amp; Plant Physiol, Tenerife 38200, Spain</t>
  </si>
  <si>
    <t>University of Basque Country; Universidad de la Laguna</t>
  </si>
  <si>
    <t>García-Plazaola, JI (corresponding author), Univ Basque Country, Dept Plant Biol &amp; Ecol, UPV EHU, Barrio Sarriena S-N, Leioa 48940, Spain.</t>
  </si>
  <si>
    <t>joseignacio.garcia@ehu.eus</t>
  </si>
  <si>
    <t>López-Pozo, Marina/AFJ-4452-2022; Garcia-Plazaola, Jose Ignacio/B-8188-2009</t>
  </si>
  <si>
    <t>López-Pozo, Marina/0000-0002-0425-4062; Garcia-Plazaola, Jose Ignacio/0000-0001-6498-975X</t>
  </si>
  <si>
    <t>Spanish Ministry of Science, Innovation and Universities (MICIU/FEDER, EU) [CTM2014-53902-C2-2-P, PGC2018-093824-B-C44, UPV/EHU IT-1018-16]; Basque Government [CTM2014-53902-C2-2-P, PGC2018-093824-B-C44, UPV/EHU IT-1018-16]</t>
  </si>
  <si>
    <t>Spanish Ministry of Science, Innovation and Universities (MICIU/FEDER, EU); Basque Government(Basque Government)</t>
  </si>
  <si>
    <t>We would like to thank Jose Vicente Alberto for kindly providing meteorological data from Livingston Island. We deeply thank the extraordinary support received at the Spanish Antarctic Research Station BAE JCI from all the staff of the Unidad de Tecnologia Marina-UTM and to Joan Riba with particular emphasis. Javier Martinez-Abaigar (University of La Rioja), for helpful assistance on the taxonomic identification of Polytrichum species. We also thank prof. Alexander G. Ivanov and one anonymous reviewer for helpful comments on the manuscript. The Spanish Ministry of Science, Innovation and Universities (MICIU/FEDER, EU) and the Basque Government funded this research through the projects CTM2014-53902-C2-2-P, PGC2018-093824-B-C44 and UPV/EHU IT-1018-16.</t>
  </si>
  <si>
    <t>10.1007/s00300-022-03068-7</t>
  </si>
  <si>
    <t>WOS:000828435600001</t>
  </si>
  <si>
    <t>Sadok, W; Wiersma, JJ; Steffenson, BJ; Snapp, SS; Smith, KP</t>
  </si>
  <si>
    <t>Sadok, Walid; Wiersma, Jochum J.; Steffenson, Brian J.; Snapp, Sigelinde S.; Smith, Kevin P.</t>
  </si>
  <si>
    <t>Improving winter barley adaptation to freezing and heat stresses in the US Midwest: bottlenecks and opportunities</t>
  </si>
  <si>
    <t>FIELD CROPS RESEARCH</t>
  </si>
  <si>
    <t>Breeding; Climate change; Food security; Freezing stress; Extremophiles; Genetic diversity; Heat stress</t>
  </si>
  <si>
    <t>HIGH-TEMPERATURE STRESS; ANTARCTIC VASCULAR PLANTS; WHEAT TRITICUM-AESTIVUM; CHLOROPHYLL FLUORESCENCE; PHENOTYPING PLATFORM; SPIKELET FERTILITY; GENETIC-RESOURCES; DROUGHT TOLERANCE; COLD-ACCLIMATION; FROST-RESISTANCE</t>
  </si>
  <si>
    <t>Continental cropping systems are increasingly exposed to extreme and opposing trends of temperatures over the same growing season. This situation is epitomized by winter barley grown in the Upper Midwest, which is subject to temperatures that can be as low as -30 degrees C during the winter and over 30 degrees C during summer. This interaction severely limits the potential of this emerging crop, by threatening the winter survival of the crown which is often exposed to lethal freezing stress and by exposing reproductive organs to high temperature (HT) stress, to which this cool-season grass is highly sensitive. This poses a unique challenge that requires the discovery and capture of well-defined sets of traits enabling adaptation to extreme tail ends of a stressor, with limited trade-offs, while minimizing costs. Here, based on a critical literature review, we propose a framework integrating i) environmental characterization (envirotyping), ii) envirotype-relevant scouting of genetic resources, iii) ecophysiology-informed trait identification and phenotyping and iv) breeding pipelines. We outline propositions and guidelines for implementing these steps and discuss their feasibility, with an emphasis on i) identifying novel genetic resources and eco-physiological traits relevant to this problem, ii) navigating their physiological trade-offs and iii) leveraging this information to develop ad hoc phenotyping methods for deployment in breeding programs. Our review indicates that the eco-physiological and genetic bases for improving tolerance to both stresses in the same organism likely exists based on evidence from crop relatives and extremophile species, with smaller vasculature (freezing tolerance) and transpirational cooling (HT tolerance) being prime examples. Our findings indicate that such traits could be captured with minimal trade-offs, and that is possible to use similar phenotyping concepts (thermal imaging) and infrastructure (cold/heat tents) to screen for these traits and accelerate breeding to enhance adaptation to temperature extremes.</t>
  </si>
  <si>
    <t>[Sadok, Walid; Wiersma, Jochum J.; Smith, Kevin P.] Univ Minnesota, Dept Agron &amp; Plant Genet, St Paul, MN USA; [Steffenson, Brian J.] Univ Minnesota, Dept Plant Pathol, St Paul, MN USA; [Snapp, Sigelinde S.] Michigan State Univ, Soil and Microbial Sci, Plant, E Lansing, MI USA</t>
  </si>
  <si>
    <t>University of Minnesota System; University of Minnesota Twin Cities; University of Minnesota System; University of Minnesota Twin Cities; Michigan State University</t>
  </si>
  <si>
    <t>Sadok, W (corresponding author), Univ Minnesota, Dept Agron &amp; Plant Genet, St Paul, MN USA.</t>
  </si>
  <si>
    <t>msadok@umn.edu</t>
  </si>
  <si>
    <t>Smith, Kevin/0000-0001-8253-3326; Wiersma, Jochum/0000-0001-8548-4937; Steffenson, Brian/0000-0001-7961-5363</t>
  </si>
  <si>
    <t>USDA NIFA through the Minnesota Agricultural Experiment Station [MIN-13-124]; Minnesota Department of Agriculture through the AGRI grant program [138815]; Forever Green Initiative [00068865]</t>
  </si>
  <si>
    <t>USDA NIFA through the Minnesota Agricultural Experiment Station; Minnesota Department of Agriculture through the AGRI grant program; Forever Green Initiative</t>
  </si>
  <si>
    <t>This work was supported by USDA NIFA through the Minnesota Agricultural Experiment Station (Project No. MIN-13-124), the Minnesota Department of Agriculture through the AGRI grant program (Contract No. 138815), and the Forever Green Initiative (Project No. 00068865).</t>
  </si>
  <si>
    <t>0378-4290</t>
  </si>
  <si>
    <t>1872-6852</t>
  </si>
  <si>
    <t>FIELD CROP RES</t>
  </si>
  <si>
    <t>Field Crop. Res.</t>
  </si>
  <si>
    <t>10.1016/j.fcr.2022.108635</t>
  </si>
  <si>
    <t>Agronomy</t>
  </si>
  <si>
    <t>6B8IZ</t>
  </si>
  <si>
    <t>WOS:000881571800008</t>
  </si>
  <si>
    <t>González-Pérez, A; Alvarez-Esteban, R; Penas, A; del Río, S</t>
  </si>
  <si>
    <t>Gonzalez-Perez, A.; Alvarez-Esteban, R.; Penas, A.; del Rio, S.</t>
  </si>
  <si>
    <t>Analysis of recent rainfall trends and links to teleconnection patterns in California (US)</t>
  </si>
  <si>
    <t>JOURNAL OF HYDROLOGY</t>
  </si>
  <si>
    <t>Precipitation; Trends; Teleconnection Patterns; Regionalisation; California</t>
  </si>
  <si>
    <t>ANTHROPOGENIC CLIMATE-CHANGE; NORTH-ATLANTIC OSCILLATION; PRECIPITATION EXTREMES; WINTER PRECIPITATION; ANTARCTIC OSCILLATION; ATMOSPHERIC RIVERS; ARCTIC OSCILLATION; DAILY TEMPERATURE; INCREASED DROUGHT; ARIDITY INDEX</t>
  </si>
  <si>
    <t>The aim of this research is to enlarge knowledge of space-time evolution of precipitation in California over the last decade on a monthly, seasonal and annual time-scale. This study also analyses the relationship between precipitation and teleconnection patterns with most influence on Californian climate. The homogeneity of the data from the selected stations was verified and finally 165 meteorological stations were used with an observation period that ranged from 1980 to 2019. In order to evaluate trends and statistical significance, both the non-parametric Mann-Kendall test and modified Sen's slope method were used. Correlation analysis using the partial non-parametric Spearman Test (95% confidence level) was performed to find out relationships between precipitation and nine teleconnection patterns in the State of California. Spatial analysis was achieved using Empirical Bayesian Kriging (EBK). Finally, this research, as a novelty, shows regionalisation of California State as a function of significance in the correlation of precipitation with teleconnection patterns. To achieve this, Principal Component Analysis (PCA) and Agglomerative Hierarchical Cluster analysis (HCA) was performed. Results show a positive precipitation trend in winter and negative precipitation trend in late summer and autumn. The teleconnection patterns more correlated with precipitation are El Nin similar to o along Southern Oscillation (ENSO), Antarctic Oscillation (AAO) and North Atlantic Oscillation (NAO). Four areas were discerned outlining the Mojave Climate Region (Area 4) by having ENSO as the teleconnection pattern that best account precipitation.</t>
  </si>
  <si>
    <t>[Gonzalez-Perez, A.] Univ Leon, Dept Biodivers &amp; Environm Management, Bot Area, Fac Biol &amp; Environm Sci, Campus Vegazana S-N, E-24071 Leon, Spain; [Alvarez-Esteban, R.] Univ Leon, Dept Econ &amp; Stat, Stat &amp; Operat Res Area, Fac Econ &amp; Business, Campus Vegazana S-N, E-24071 Leon, Spain; [Penas, A.; del Rio, S.] Univ Leon, Dept Biodivers &amp; Environm Management, Bot Area,Mt Livestock Inst CSIC UNILEON, Fac Biol &amp; Environm Sci, Campus Vegazana S-N, E-24071 Leon, Spain</t>
  </si>
  <si>
    <t>Universidad de Leon; Universidad de Leon; Universidad de Leon</t>
  </si>
  <si>
    <t>González-Pérez, A (corresponding author), Univ Leon, Dept Biodivers &amp; Environm Management, Bot Area, Fac Biol &amp; Environm Sci, Campus Vegazana S-N, E-24071 Leon, Spain.</t>
  </si>
  <si>
    <t>agonp@unileon.es; ramon.alvarez@unileon.es; apenm@unileon.es; sriog@unileon.es</t>
  </si>
  <si>
    <t>del Río, Sara/B-4023-2011; Alvarez-Esteban, Ramon/P-6374-2017</t>
  </si>
  <si>
    <t>del Río, Sara/0000-0002-0733-2150; Gonzalez Perez, Alejandro/0000-0001-6431-4226; Alvarez-Esteban, Ramon/0000-0002-4751-2797</t>
  </si>
  <si>
    <t>European Regional Development Fund (ERDF); Junta de Castilla y Le'on (JCyL)</t>
  </si>
  <si>
    <t>European Regional Development Fund (ERDF)(European Union (EU)); Junta de Castilla y Le'on (JCyL)(Junta de Castilla y Leon)</t>
  </si>
  <si>
    <t>This paper was supported by the European Regional Development Fund (ERDF) and the Junta de Castilla y Le'on (JCyL). The grant was awarded to the first author and included in a Fellowship Scheme for a Doctoral Training Program: Orden de 12 de diciembre de 2019 de la Consejena de Educacio'n (extractopublicado en el B.O.C. y L. n.? 245, de 23 de diciembre. BDNS (Identifi.): 487971. The Authors would like to thank Ruth J.R. Winter for her advice on English terminology.</t>
  </si>
  <si>
    <t>0022-1694</t>
  </si>
  <si>
    <t>1879-2707</t>
  </si>
  <si>
    <t>J HYDROL</t>
  </si>
  <si>
    <t>J. Hydrol.</t>
  </si>
  <si>
    <t>B</t>
  </si>
  <si>
    <t>10.1016/j.jhydrol.2022.128211</t>
  </si>
  <si>
    <t>Engineering, Civil; Geosciences, Multidisciplinary; Water Resources</t>
  </si>
  <si>
    <t>Engineering; Geology; Water Resources</t>
  </si>
  <si>
    <t>5Y1RW</t>
  </si>
  <si>
    <t>WOS:000879067900001</t>
  </si>
  <si>
    <t>Cavaleri, L; Benetazzo, A; Bertotti, L; Bidlot, JR; Pomaro, A; Portilla-Yandun, J</t>
  </si>
  <si>
    <t>Cavaleri, L.; Benetazzo, A.; Bertotti, L.; Bidlot, J-R; Pomaro, A.; Portilla-Yandun, J.</t>
  </si>
  <si>
    <t>The 2015 exceptional swell in the Southern Pacific: Generation, advection, forecast and implied extremes</t>
  </si>
  <si>
    <t>Antarctic storms; Wave modelling; Pacific swell; Energy advection; Swell wave and max wave heights; Extremely low-frequency forerunners</t>
  </si>
  <si>
    <t>WIND; WAVES</t>
  </si>
  <si>
    <t>A very severe storm in the Antarctic belt is analysed that sent a very large swell throughout the South-Pacific Ocean. The reasons for the storm were a deep depression passing over an anomalous warm sea area, with consequent increased intensity, more active wind input, gustiness, with also dynamical generation. Wind and wave model results are verified with scatterometer and altimeter data. We follow the swell evolution during the five days required to reach the Galapagos Islands and a buoy off the Peruvian coast. The first forerunners peaked at 0.032 Hz at these locations, well represented in the model thanks to a purposely extended frequency range used in the WAM model. A nonlinear combined analysis is carried out to estimate the overall maximum single wave heights that may have impinged on the Galapagos coasts. Single wave heights up to 6 m have been estimated. Once generated, the swell conditions at Galapagos and the buoy are perfectly anticipated. Including generation, useful forecasts extend till at least eight days before the event. The lack of any local communication is discussed. An analysis using ERA5 winds, but a respectively higher resolution long-term wave hindcast, shows that a similar, actually stronger, event happened in 2006. A simple, but sound method, based on physical principles and elementary geometry, is proposed to estimate, firsthand and after any time, the maximum height of a once generated swell. The results for the 2015 storm are correct within 5% of the model values.</t>
  </si>
  <si>
    <t>[Cavaleri, L.; Benetazzo, A.; Bertotti, L.; Pomaro, A.] Inst Marine Sci, Venice, Italy; [Bidlot, J-R] European Ctr Medium Range Weather Forecasts, Reading, Berks, England; [Portilla-Yandun, J.] Escuela Politecn Natl, Res Ctr Math Modelling MODEMAT, Quito, Ecuador</t>
  </si>
  <si>
    <t>Consiglio Nazionale delle Ricerche (CNR); Istituto di Scienze Marine (ISMAR-CNR); European Centre for Medium-Range Weather Forecasts (ECMWF); Escuela Politecnica Nacional Ecuador</t>
  </si>
  <si>
    <t>Cavaleri, L (corresponding author), Inst Marine Sci, Venice, Italy.</t>
  </si>
  <si>
    <t>luigi.cavaleri@ismar.cnr.it</t>
  </si>
  <si>
    <t>Pomaro, Angela/0000-0001-9351-071X</t>
  </si>
  <si>
    <t>EPN project [PIGR-19-08]</t>
  </si>
  <si>
    <t>EPN project</t>
  </si>
  <si>
    <t>J. Portilla-Yandun acknowledges EPN project PIGR-19-08. This work has also been conducted as part of the bilateral project EOLO-1 (Extreme Oceanic waves during tropical, tropical-like, and bomb cyclones) between CNR-ISMAR and the University of Tokyo (Japan). The buoy data have been retrieved from the NOAA-NDBC archive https://www.ndbc.noaa.gov.Satellite data was downloaded from the IOWAGA archive at https://wwz.ifremer.fr/iowaga/Products.Following the rules of the European Centre for Medium-Range Weather Forecasts, the model data are available at the Centre. More specifically:; -the wave hindcast with 37 frequencies at https://doi.org/10.21957/9jcv-r297,; The long wave hindcast was created using four experiments. The results for the single decades are available at:; -1979-1989 at https://doi.org/10.21957/y03s-tz09.; -1990-1999 at https://doi.org/10.21957/strn-cs36.; -2000-2009 at https://doi.org/10.21957/dgkx-1485.; -2010-2020 at https://doi.org/10.21957/t3vj-b111.; Silvio Davison has done a careful review of the English text that we much appreciate.</t>
  </si>
  <si>
    <t>10.1016/j.pocean.2022.102840</t>
  </si>
  <si>
    <t>4R6TI</t>
  </si>
  <si>
    <t>WOS:000856893400001</t>
  </si>
  <si>
    <t>Rössler, H; Lynch, M; Ortiz, ST; Larsen, ON; Beaulieu, M</t>
  </si>
  <si>
    <t>Roessler, Helen; Lynch, Maureen; Ortiz, Sara Torres; Larsen, Ole Naesbye; Beaulieu, Michael</t>
  </si>
  <si>
    <t>Neighbors matter: Vocal variation in Gentoo Penguins depends on the species composition of their colony</t>
  </si>
  <si>
    <t>ORNITHOLOGY</t>
  </si>
  <si>
    <t>Antarctic Peninsula; ecstatic display call; Gentoo Penguins; mixed colonies; Pygoscelis papua ellsworthi; vocal variation</t>
  </si>
  <si>
    <t>ACOUSTIC COMMUNICATION; ECOLOGICAL SEGREGATION; PYGOSCELIS; RECOGNITION; EVOLUTION; RESPONSES; PLAYBACK; ADELIE; NOISE</t>
  </si>
  <si>
    <t>When suitable nesting habitat is rare, birds may have to share it with heterospecific individuals with similar nesting requirements.The resulting species mosaic may in turn affect how breeding birds communicate vocally with each other. For instance, they may modify their vocalizations if the ambient noise produced by heterospecifics interferes with their own vocalizations. The colonies of Gentoo Penguins (Pygoscelis papua ellsworthi) are interesting to examine whether such a vocal variation occurs in colonial seabirds, as these birds frequently breed in the same colony as Adelie (P. adeliae) or Chinstrap (P. antarcticus) penguins. We investigated whether the presence of congeneric penguins breeding in the same colony as Gentoo Penguins affected the acoustic characteristics of their most common vocalization, the ecstatic display call. Based on vocalizations recorded in 23 breeding colonies along the Antarctic Peninsula during 3 field seasons, we found that the frequency of ecstatic display calls of Gentoo Penguins was consistently lower (average exhale phrase similar to 460 Hz lower, average inhale phrase similar to 370 Hz lower) as well as decreased in energy distribution when they bred in mixed colonies with Addle Penguins than when they bred only in proximity to conspecifics. In contrast, the frequency of both inhale and exhale phrases was unaffected by the presence of Chinstrap Penguins, potentially due to the already greater frequency difference between these 2 species. The apparent vocal plasticity, in mixed colonies with Adelie Penguins, likely allows Gentoo Penguins to adjust the quality of their vocalizations depending on the acoustic space available in their colonies, and hence possibly enhance signal transmission between conspecifics. However, whether this acoustic adjustment is sufficient to increase the detectability of vocalizations and localization of individuals has yet to be determined.</t>
  </si>
  <si>
    <t>[Roessler, Helen; Beaulieu, Michael] Deutsch Meeresmuseum German Oceanog Museum, Stralsund, Germany; [Lynch, Maureen] SUNY Stony Brook, Dept Ecol &amp; Evolut, Stony Brook, NY 11794 USA; [Ortiz, Sara Torres; Larsen, Ole Naesbye] Univ Southern Denmark, Dept Biol, Odense M, Denmark</t>
  </si>
  <si>
    <t>State University of New York (SUNY) System; State University of New York (SUNY) Stony Brook; University of Southern Denmark</t>
  </si>
  <si>
    <t>Rössler, H (corresponding author), Deutsch Meeresmuseum German Oceanog Museum, Stralsund, Germany.</t>
  </si>
  <si>
    <t>helen.roessler@meeresmuseum.de</t>
  </si>
  <si>
    <t>Larsen, Ole Næsbye/B-3070-2015; Beaulieu, Michael/A-5261-2011</t>
  </si>
  <si>
    <t>Larsen, Ole Næsbye/0000-0002-8325-0982; Rossler, Helen/0000-0003-0166-9155; Beaulieu, Michael/0000-0002-9948-269X; Lynch, Maureen/0000-0003-4494-7012</t>
  </si>
  <si>
    <t>OXFORD UNIV PRESS INC</t>
  </si>
  <si>
    <t>CARY</t>
  </si>
  <si>
    <t>JOURNALS DEPT, 2001 EVANS RD, CARY, NC 27513 USA</t>
  </si>
  <si>
    <t>0004-8038</t>
  </si>
  <si>
    <t>2732-4613</t>
  </si>
  <si>
    <t>10.1093/ornithology/ukac031</t>
  </si>
  <si>
    <t>5B9ZL</t>
  </si>
  <si>
    <t>WOS:000844759900001</t>
  </si>
  <si>
    <t>Reisinger, RR; Trathan, PN; Johnson, CM; Joyce, TW; Durban, JW; Pitman, RL; Friedlaender, AS</t>
  </si>
  <si>
    <t>Reisinger, Ryan R.; Trathan, Philip N.; Johnson, Christopher M.; Joyce, Trevor W.; Durban, John W.; Pitman, Robert L.; Friedlaender, Ari S.</t>
  </si>
  <si>
    <t>Spatiotemporal Overlap of Baleen Whales and Krill Fisheries in the Western Antarctic Peninsula Region</t>
  </si>
  <si>
    <t>humpback whale (Megaptera novaeangliae); Antarctic krill (Euphausia superba); Antarctic minke whale (Balaenoptera bonaerensis); competition; fishing; tracking</t>
  </si>
  <si>
    <t>EUPHAUSIA-SUPERBA; MARINE ECOSYSTEM; OCCURRENCE PATTERNS; HUMPBACK WHALES; BEHAVIOR; SEA; ICE; VARIABILITY; POPULATIONS; COMPETITION</t>
  </si>
  <si>
    <t>In Antarctica, abundant consumers rely on Antarctic krill for food, but krill are also the subject of a commercial fishery. The fishery overlaps in time and space with the foraging areas of these consumers, thus potential competition between krill fisheries and krill consumers is a major management concern. The fishery is managed by the Commission for the Conservation of Antarctic Marine Living Resources with an ecosystem approach, according to which fishing should not interfere with either the population growth of krill, or krill-dependent consumers. Krill catches have become increasingly spatially concentrated in a small number of hotspots, raising concerns about how local depletion of krill impacts consumers. Such concentrated fishing demonstrates that there is a mismatch between the spatial and temporal scale at which krill fisheries are currently managed, and that at which fisheries operate and consumers forage. Information on the seasonal dynamics of predator abundance and their foraging behaviour is fundamental to future precautionary management of the krill fishery. We analysed the spatiotemporal distribution of two major krill consumers - humpback and minke whales - and that of krill fishing, off the Western Antarctic Peninsula. We used whale tracking data (58 humpback whale tracks and 19 minke whale tracks) to develop spatial random forest models predicting the monthly distribution of whale foraging areas from January-July. Using these predictions, we calculated spatiotemporally-explicit geographic overlap between whales and fisheries, the latter represented by krill fishing effort and catch data. Over the krill fishing season, fishing effort and catch hotspots shifted to the southwest, into the Bransfield Strait where effort and catch was highest. Predicted humpback whale foraging areas increased in the Bransfield Strait over the same period, while predicted minke whale foraging areas showed an opposite trend. For both we predicted a whale-fishing interaction hotspot in the Bransfield Strait, strongest in April and May. Our results illustrate the fine spatial scale of likely interactions between baleen whales and the krill fishery, and their concentration over the season, underlining the need for fishery management more closely aligned to the spatiotemporal scale of likely predator-fishery interactions.</t>
  </si>
  <si>
    <t>[Reisinger, Ryan R.; Trathan, Philip N.] Univ Southampton, Natl Oceanog Ctr Southampton, Ocean &amp; Earth Sci, European Way, Southampton, Hants, England; [Trathan, Philip N.] British Antarctic Survey, Cambridge, Cambs, England; [Johnson, Christopher M.] World Wide Fund Nat, Australia WWF Australia, Melbourne, Vic, Australia; [Johnson, Christopher M.] Curtin Univ, Ctr Marine Sci &amp; Technol, Perth, WA, Australia; [Joyce, Trevor W.; Durban, John W.; Pitman, Robert L.] Oregon State Univ, Marine Mammal Inst, Newport, OR 97331 USA; [Friedlaender, Ari S.] Univ Calif Santa Cruz, Ocean Sci &amp; Inst Marine Sci, Santa Cruz, CA 95064 USA</t>
  </si>
  <si>
    <t>University of Southampton; NERC National Oceanography Centre; UK Research &amp; Innovation (UKRI); Natural Environment Research Council (NERC); NERC British Antarctic Survey; Melbourne Genomics Health Alliance; Curtin University; Oregon State University; University of California System; University of California Santa Cruz</t>
  </si>
  <si>
    <t>Reisinger, RR (corresponding author), Univ Southampton, Natl Oceanog Ctr Southampton, Ocean &amp; Earth Sci, European Way, Southampton, Hants, England.</t>
  </si>
  <si>
    <t>Reisinger, Ryan/D-6151-2014</t>
  </si>
  <si>
    <t>Reisinger, Ryan/0000-0002-8933-6875</t>
  </si>
  <si>
    <t>Antarctic Wildlife Research Fund; National Science Foundation Office of Polar Programs [ANT-0823101, 1250208, 1440435]; Lindblad Expeditions-National Geographic Fund; International Whaling Commission Southern Ocean Research Partnership; Hogwarts Running Club; UKRI/BAS Ecosystems programme; Office of Polar Programs (OPP); Directorate For Geosciences [1250208] Funding Source: National Science Foundation</t>
  </si>
  <si>
    <t>Antarctic Wildlife Research Fund; National Science Foundation Office of Polar Programs(National Science Foundation (NSF)NSF - Directorate for Geosciences (GEO)); Lindblad Expeditions-National Geographic Fund; International Whaling Commission Southern Ocean Research Partnership; Hogwarts Running Club; UKRI/BAS Ecosystems programme; Office of Polar Programs (OPP); Directorate For Geosciences(National Science Foundation (NSF)NSF - Directorate for Geosciences (GEO))</t>
  </si>
  <si>
    <t>Funding for this work was provided by the Antarctic Wildlife Research Fund. Tracking work was supported by National Science Foundation Office of Polar Programs awards ANT-0823101, 1250208, and 1440435, by the Lindblad Expeditions-National Geographic Fund, the International Whaling Commission Southern Ocean Research Partnership and the Hogwarts Running Club. PT was supported by the UKRI/BAS Ecosystems programme.</t>
  </si>
  <si>
    <t>JUL 21</t>
  </si>
  <si>
    <t>10.3389/fmars.2022.914726</t>
  </si>
  <si>
    <t>3P0HD</t>
  </si>
  <si>
    <t>WOS:000837216700001</t>
  </si>
  <si>
    <t>Zhang, T; Ji, ZQ; Li, J; Yu, LY</t>
  </si>
  <si>
    <t>Zhang, Tao; Ji, Zhongqiang; Li, Jun; Yu, Liyan</t>
  </si>
  <si>
    <t>Metagenomic insights into the antibiotic resistome in freshwater and seawater from an Antarctic ice-free area</t>
  </si>
  <si>
    <t>Antibiotic resistance genes; Water pollution; Bacterial communities; Antarctica; Metagenome-assembled genomes</t>
  </si>
  <si>
    <t>RESISTANCE GENES; WASTE-WATER; SEA-WATER; BACTERIAL; ALIGNMENT; DIVERSITY; SEWAGE; CELLS</t>
  </si>
  <si>
    <t>The comprehensive profiles of antibiotic resistance genes (ARGs) in the Antarctic water environments and their potential health risks are not well understood. The present study characterized the bacterial community com-positions and ARG profiles of freshwater (11 samples) and seawater (28 samples) around the Fildes Region (an ice-free area in Antarctica) using a shotgun metagenomic sequencing approach for the first time. There were significant differences in the compositions of the bacterial community and ARG profiles between freshwater and seawater. In the 39 water samples, 114 ARG subtypes belonging to 15 ARG types were detectable. In freshwater, the dominant ARGs were related to multidrug and rifamycin resistance. In seawater, the dominant ARGs were related to peptide, multidrug, and beta-lactam resistance. Both the bacterial community compositions and ARG profiles were significantly related to certain physicochemical properties (e.g., pH, salinity, NO3-). Procrustes analysis revealed a significant correlation between the bacterial community compositions and ARG profiles of freshwater and seawater samples. A total of 31 metagenome-assembled genomes (MAGs) carrying 35 ARG subtypes were obtained and identified. The results will contribute to a better evaluation of the ARG contami-nation in relation to human health in the Antarctic aquatic environments.</t>
  </si>
  <si>
    <t>[Zhang, Tao; Li, Jun; Yu, Liyan] Chinese Acad Med Sci, Inst Med Biotechnol, China Pharmaceut Culture Collect, Beijing, Peoples R China; [Ji, Zhongqiang] Minist Nat Resources, Inst Oceanog 2, Key Lab Marine Ecosyst Dynam, Hangzhou, Peoples R China; [Zhang, Tao; Li, Jun; Yu, Liyan] Peking Union Med Coll, Beijing, Peoples R China</t>
  </si>
  <si>
    <t>Chinese Academy of Medical Sciences - Peking Union Medical College; Institute of Medicinal Biotechnology - CAMS; Ministry of Natural Resources of the People's Republic of China; Chinese Academy of Medical Sciences - Peking Union Medical College; Peking Union Medical College</t>
  </si>
  <si>
    <t>Yu, LY (corresponding author), Chinese Acad Med Sci, Inst Med Biotechnol, China Pharmaceut Culture Collect, Beijing, Peoples R China.;Yu, LY (corresponding author), Peking Union Med Coll, Beijing, Peoples R China.</t>
  </si>
  <si>
    <t>zhangt@cpcc.ac.cn; yly@cpcc.ac.cn</t>
  </si>
  <si>
    <t>yu, liyan/GYD-2950-2022</t>
  </si>
  <si>
    <t>yu, liyan/0000-0002-8861-9806</t>
  </si>
  <si>
    <t>Projects of the Chinese Arctic and Antarctic Administration, State Oceanic Administration; CAMS Innovation Fund for Medical Sciences [2021-I2M-1-055]; National Microbial Resource Center [NMRC-2020-3]; Non-profit Central Research Institute Fund of CAMS [2021-PT350-001]; Chinese Polar Environmental Comprehensive Investigation &amp; Assessment Programs [CHINARE-02-01]</t>
  </si>
  <si>
    <t>Projects of the Chinese Arctic and Antarctic Administration, State Oceanic Administration; CAMS Innovation Fund for Medical Sciences; National Microbial Resource Center; Non-profit Central Research Institute Fund of CAMS; Chinese Polar Environmental Comprehensive Investigation &amp; Assessment Programs</t>
  </si>
  <si>
    <t>This research was supported by Projects of the Chinese Arctic and Antarctic Administration, State Oceanic Administration; CAMS Innovation Fund for Medical Sciences (Grant no. 2021-I2M-1-055) ; National Microbial Resource Center (Grant no. NMRC-2020-3) ; Non-profit Central Research Institute Fund of CAMS (Grant no. 2021-PT350-001) ; the Chinese Polar Environmental Comprehensive Investigation &amp; Assessment Programs (CHINARE-02-01) .</t>
  </si>
  <si>
    <t>10.1016/j.envpol.2022.119738</t>
  </si>
  <si>
    <t>3M7TQ</t>
  </si>
  <si>
    <t>WOS:000835660400004</t>
  </si>
  <si>
    <t>Drysdale, WS; Vaughan, AR; Squires, FA; Cliff, SJ; Metzger, S; Durden, D; Pingintha-Durden, N; Helfter, C; Nemitz, E; Grimmond, CSB; Barlow, J; Beevers, S; Stewart, G; Dajnak, D; Purvis, RM; Lee, JD</t>
  </si>
  <si>
    <t>Drysdale, Will S.; Vaughan, Adam R.; Squires, Freya A.; Cliff, Sam J.; Metzger, Stefan; Durden, David; Pingintha-Durden, Natchaya; Helfter, Carole; Nemitz, Eiko; Grimmond, C. Sue B.; Barlow, Janet; Beevers, Sean; Stewart, Gregor; Dajnak, David; Purvis, Ruth M.; Lee, James D.</t>
  </si>
  <si>
    <t>Eddy covariance measurements highlight sources of nitrogen oxide emissions missing from inventories for central London</t>
  </si>
  <si>
    <t>FLUX MEASUREMENTS; NOX FLUXES; METHANE; UK</t>
  </si>
  <si>
    <t>During March-June 2017 emissions of nitrogen oxides were measured via eddy covariance at the British Telecom Tower in central London, UK. Through the use of a footprint model the expected emissions were simulated from the spatially resolved National Atmospheric Emissions Inventory for 2017 and compared with the measured emissions. These simulated emissions were shown to underestimate measured emissions during the daytime by a factor of 1.48, but they agreed well overnight. Furthermore, underestimations were spatially mapped, and the areas around the measurement site responsible for differences in measured and simulated emissions were inferred. It was observed that areas of higher traffic, such as major roads near national rail stations, showed the greatest underestimation by the simulated emissions. These discrepancies are partially attributed to a combination of the inventory not fully capturing traffic conditions in central London and both the spatial and temporal resolution of the inventory not fully describing the high heterogeneity of the urban centre. Understanding of this underestimation may be further improved with longer measurement time series to better understand temporal variation and improved temporal scaling factors to better simulate sub-annual emissions.</t>
  </si>
  <si>
    <t>[Drysdale, Will S.; Vaughan, Adam R.; Squires, Freya A.; Cliff, Sam J.; Purvis, Ruth M.; Lee, James D.] Univ York, Wolfson Atmospher Chem Labs, Dept Chem, York YO10 5DD, N Yorkshire, England; [Metzger, Stefan; Durden, David; Pingintha-Durden, Natchaya] Natl Ecol Observ Network, Battelle, 1685 38th St, Boulder, CO 80301 USA; [Metzger, Stefan] Univ Wisconsin, Dept Atmospher &amp; Ocean Sci, 1225 W Dayton St, Madison, WI 53711 USA; [Helfter, Carole; Nemitz, Eiko] UK Ctr Ecol &amp; Hydrol, Bush Estate, Penicuik EH26 0QB, Midlothian, Scotland; [Grimmond, C. Sue B.; Barlow, Janet] Univ Reading, Dept Meteorol, Reading RG6 6BB, Berks, England; [Purvis, Ruth M.; Lee, James D.] Univ York, Natl Ctr Atmospher Sci, York, N Yorkshire, England; [Beevers, Sean; Stewart, Gregor; Dajnak, David] Imperial Coll London, MRC Ctr Environm &amp; Hlth, London, England; [Squires, Freya A.] British Antarctic Survey, Nat Environm Res Council, Cambridge CB3 0ET, England</t>
  </si>
  <si>
    <t>University of York - UK; University of Wisconsin System; University of Wisconsin Madison; UK Centre for Ecology &amp; Hydrology (UKCEH); University of Reading; University of York - UK; UK Research &amp; Innovation (UKRI); Natural Environment Research Council (NERC); NERC National Centre for Atmospheric Science; Imperial College London; UK Research &amp; Innovation (UKRI); Natural Environment Research Council (NERC); NERC British Antarctic Survey</t>
  </si>
  <si>
    <t>Drysdale, WS; Lee, JD (corresponding author), Univ York, Wolfson Atmospher Chem Labs, Dept Chem, York YO10 5DD, N Yorkshire, England.;Lee, JD (corresponding author), Univ York, Natl Ctr Atmospher Sci, York, N Yorkshire, England.</t>
  </si>
  <si>
    <t>willdrysdale@googlemail.com; james.lee@york.ac.uk</t>
  </si>
  <si>
    <t>Vaughan, Adam R/O-2912-2015; Squires, Freya/IRZ-4422-2023; Barlow, Janet Fraser/HKN-8491-2023; Drysdale, Will/GPP-6712-2022; Grimmond, Sue/A-2179-2009; Helfter, Carole/A-1835-2010</t>
  </si>
  <si>
    <t>Squires, Freya/0000-0002-3364-4617; Barlow, Janet Fraser/0000-0002-9022-6833; Cliff, Samuel/0000-0002-1078-3972; Grimmond, Sue/0000-0002-3166-9415; Helfter, Carole/0000-0001-5773-4652; Drysdale, Will/0000-0002-7114-7144; Durden, David/0000-0001-9572-8325; beevers, sean/0000-0002-1096-866X</t>
  </si>
  <si>
    <t>UK Natural Environment Research Council; Integrated Research Observation System for Clean Air project [NE/T001917/1, NE/R016429/1]; MRC [MR/S019669/1] Funding Source: UKRI; NERC [NE/R016429/1, NE/V003925/1] Funding Source: UKRI</t>
  </si>
  <si>
    <t>UK Natural Environment Research Council(UK Research &amp; Innovation (UKRI)Natural Environment Research Council (NERC)); Integrated Research Observation System for Clean Air project; MRC(UK Research &amp; Innovation (UKRI)Medical Research Council UK (MRC)); NERC(UK Research &amp; Innovation (UKRI)Natural Environment Research Council (NERC))</t>
  </si>
  <si>
    <t>This research has been supported by the UK Natural Environment Research Council and the Integrated Research Observation System for Clean Air project (grant no. NE/T001917/1) as well as through UKCEH's UK-SCAPE programme delivering National Capability (grant no. NE/R016429/1).</t>
  </si>
  <si>
    <t>10.5194/acp-22-9413-2022</t>
  </si>
  <si>
    <t>3E0JL</t>
  </si>
  <si>
    <t>WOS:000829678600001</t>
  </si>
  <si>
    <t>Ward, JPJ; Hendry, KR; Arndt, S; Faust, JC; Freitas, FS; Henley, SF; Krause, JW; März, C; Tessin, AC; Airs, RL</t>
  </si>
  <si>
    <t>Ward, James P. J.; Hendry, Katharine R.; Arndt, Sandra; Faust, Johan C.; Freitas, Felipe S.; Henley, Sian F.; Krause, Jeffrey W.; Marz, Christian; Tessin, Allyson C.; Airs, Ruth L.</t>
  </si>
  <si>
    <t>Benthic silicon cycling in the Arctic Barents Sea: a reaction-transport model study</t>
  </si>
  <si>
    <t>MARGINAL ICE-ZONE; BIOGENIC SILICA; MARINE-SEDIMENTS; SOUTHERN-OCEAN; ISOTOPE FRACTIONATION; EARLY DIAGENESIS; BIOGEOCHEMICAL CYCLE; ACCUMULATION RATES; DISSOLUTION RATES; EXPORT FLUXES</t>
  </si>
  <si>
    <t>Over recent decades the highest rates of water column warming and sea ice loss across the Arctic Ocean have been observed in the Barents Sea. These physical changes have resulted in rapid ecosystem adjustments, manifesting as a northward migration of temperate phytoplankton species at the expense of silica-based diatoms. These changes will potentially alter the composition of phytodetritus deposited at the seafloor, which acts as a biogeochemical reactor and is pivotal in the recycling of key nutrients, such as silicon (Si). To appreciate the sensitivity of the Barents Sea benthic system to the observed changes in surface primary production, there is a need to better understand this benthic-pelagic coupling. Stable Si isotopic compositions of sediment pore waters and the solid phase from three stations in the Barents Sea reveal a coupling of the iron (Fe) and Si cycles, the contemporaneous dissolution of lithogenic silicate minerals (LSi) alongside biogenic silica (BSi), and the potential for the reprecipitation of dissolved silicic acid (DSi) as authigenic clay minerals (AuSi). However, as reaction rates cannot be quantified from observational data alone, a mechanistic understanding of which factors control these processes is missing. Here, we employ reaction-transport modelling together with observational data to disentangle the reaction pathways controlling the cycling of Si within the seafloor. Processes such as the dissolution of BSi are active on multiple timescales, ranging from weeks to hundreds of years, which we are able to examine through steady state and transient model runs. Steady state simulations show that 60 % to 98 % of the sediment pore water DSi pool may be sourced from the dissolution of LSi, while the isotopic composition is also strongly influenced by the desorption of Si from metal oxides, most likely Fe (oxyhydr)oxides (FeSi), as they reductively dissolve. Further, our model simulations indicate that between 2.9 % and 37 % of the DSi released into sediment pore waters is subsequently removed by a process that has a fractionation factor of approximately -2 parts per thousand, most likely representing reprecipitation as AuSi. These observations are significant as the dissolution of LSi represents a source of new Si to the ocean DSi pool and precipitation of AuSi an additional sink, which could address imbalances in the current regional ocean Si budget. Lastly, transient modelling suggests that at least one-third of the total annual benthic DSi flux could be sourced from the dissolution of more reactive, diatom-derived BSi deposited after the surface water bloom at the marginal ice zone. This benthic-pelagic coupling will be subject to change with the continued northward migration of Atlantic phytoplankton species, the northward retreat of the marginal ice zone and the observed decline in the DSi inventory of the subpolar North Atlantic Ocean over the last 3 decades.</t>
  </si>
  <si>
    <t>[Ward, James P. J.; Hendry, Katharine R.; Freitas, Felipe S.] Univ Bristol, Sch Earth Sci, Bristol BS8 1QE, Avon, England; [Arndt, Sandra; Freitas, Felipe S.] Univ Libre Bruxelles, Dept Geosci, BGeoSys, CP160-03, B-1050 Brussels, Belgium; [Faust, Johan C.] Univ Bremen, MARUM Ctr Marine Environm Sci, D-28359 Bremen, Germany; [Faust, Johan C.; Marz, Christian] Univ Leeds, Sch Earth &amp; Environm, Leeds LS2 9JT, W Yorkshire, England; [Henley, Sian F.] Univ Edinburgh, Sch GeoSci, Edinburgh EH9 3FE, Midlothian, Scotland; [Krause, Jeffrey W.] Dauphin Isl Sea Lab, Dauphin Isl, AL USA; [Krause, Jeffrey W.] Univ S Alabama, Sch Marine &amp; Environm Sci, Mobile, AL 36688 USA; [Tessin, Allyson C.] Kent State Univ, Dept Geol, Kent, OH 44242 USA; [Airs, Ruth L.] Plymouth Marine Lab, Prospect Pl, Plymouth PL1 3DH, Devon, England; [Hendry, Katharine R.] British Antarctic Survey, Cambridge CB3 0ET, England; [Marz, Christian] Univ Bonn, Inst Geosci, D-853115 Bonn, Germany</t>
  </si>
  <si>
    <t>University of Bristol; Universite Libre de Bruxelles; University of Bremen; University of Leeds; University of Edinburgh; Dauphin Island Sea Lab; University of South Alabama; University System of Ohio; Kent State University; Kent State University Salem; Kent State University Kent; Plymouth Marine Laboratory; UK Research &amp; Innovation (UKRI); Natural Environment Research Council (NERC); NERC British Antarctic Survey; University of Bonn</t>
  </si>
  <si>
    <t>Ward, JPJ (corresponding author), Univ Bristol, Sch Earth Sci, Bristol BS8 1QE, Avon, England.</t>
  </si>
  <si>
    <t>jamespj.ward@bristol.ac.uk</t>
  </si>
  <si>
    <t>Arndt, Sandra/E-7639-2017; Hendry, Katharine/E-4793-2011</t>
  </si>
  <si>
    <t>Sales de Freitas, Felipe/0000-0001-8279-5772; Hendry, Katharine/0000-0002-0790-5895; Krause, Jeffrey/0000-0003-2479-6229</t>
  </si>
  <si>
    <t>Natural Environment Research Council [NE/P005942/1, NE/P006108/1, NE/P006493/1]; NERC [NE/P005942/1, NE/P006108/1, NE/P006434/1] Funding Source: UKRI</t>
  </si>
  <si>
    <t>Natural Environment Research Council(UK Research &amp; Innovation (UKRI)Natural Environment Research Council (NERC)); NERC(UK Research &amp; Innovation (UKRI)Natural Environment Research Council (NERC))</t>
  </si>
  <si>
    <t>This research has been supported by the Natural Environment Research Council (grant nos. NE/P005942/1, NE/P006108/1 and NE/P006493/1).</t>
  </si>
  <si>
    <t>10.5194/bg-19-3445-2022</t>
  </si>
  <si>
    <t>3E0HJ</t>
  </si>
  <si>
    <t>WOS:000829673100001</t>
  </si>
  <si>
    <t>Tetzner, DR; Thomas, ER; Allen, CS; Grieman, MM</t>
  </si>
  <si>
    <t>Tetzner, Dieter R.; Thomas, Elizabeth R.; Allen, Claire S.; Grieman, Mackenzie M.</t>
  </si>
  <si>
    <t>Regional validation of the use of diatoms in ice cores from the Antarctic Peninsula as a Southern Hemisphere westerly wind proxy</t>
  </si>
  <si>
    <t>SEA-SALT AEROSOL; CLIMATE VARIABILITY; AMUNDSEN SEA; ATMOSPHERIC TRANSPORT; GLOBAL TRENDS; SPUME DROPS; MARINE; OCEAN; DUST; GLACIER</t>
  </si>
  <si>
    <t>The Southern Hemisphere westerly winds are among the most important drivers of recently observed environmental changes in West Antarctica. However, the lack of long-term wind records in this region hinders our ability to assess the long-term context of these variations. Ice core proxy records yield valuable information about past environmental changes, although current proxies present limitations when aiming to reconstruct past winds. Here we present the first regional wind study based on the novel use of diatoms preserved in Antarctic ice cores. We assess the temporal variability in diatom abundance and its relation to regional environmental parameters spanning a 20-year period across three sites in the southern Antarctic Peninsula and Ellsworth Land, Antarctica. Correlation analyses reveal that the temporal variability of diatom abundance from high-elevation ice core sites is driven by changes in wind strength over the core of the Southern Hemisphere westerly wind belt, validating the use of diatoms preserved in ice cores from high-elevation inland sites in the southern Antarctic Peninsula and Ellsworth Land as a proxy for reconstructing past variations in wind strength over the Pacific sector of the Southern Hemisphere westerly wind belt.</t>
  </si>
  <si>
    <t>[Tetzner, Dieter R.; Thomas, Elizabeth R.; Allen, Claire S.] British Antarctic Survey, Ice Dynam &amp; Paleoclimate, Cambridge CB3 0ET, England; [Tetzner, Dieter R.; Grieman, Mackenzie M.] Univ Cambridge, Dept Earth Sci, Cambridge CB2 3EQ, England</t>
  </si>
  <si>
    <t>UK Research &amp; Innovation (UKRI); Natural Environment Research Council (NERC); NERC British Antarctic Survey; University of Cambridge</t>
  </si>
  <si>
    <t>Tetzner, DR (corresponding author), British Antarctic Survey, Ice Dynam &amp; Paleoclimate, Cambridge CB3 0ET, England.;Tetzner, DR (corresponding author), Univ Cambridge, Dept Earth Sci, Cambridge CB2 3EQ, England.</t>
  </si>
  <si>
    <t>dietet95@bas.ac.uk</t>
  </si>
  <si>
    <t>Thomas, Elizabeth Ruth/0000-0002-3010-6493; Tetzner, Dieter/0000-0001-7659-8799; Grieman, Mackenzie/0000-0001-9610-7141</t>
  </si>
  <si>
    <t>Comision Nacional de Investigacion Cientifica y Tecnologica [72180432]</t>
  </si>
  <si>
    <t>Comision Nacional de Investigacion Cientifica y Tecnologica</t>
  </si>
  <si>
    <t>This research has been supported by the Comision Nacional de Investigacion Cientifica y Tecnologica (grant no. 72180432).</t>
  </si>
  <si>
    <t>10.5194/cp-18-1709-2022</t>
  </si>
  <si>
    <t>3B8QX</t>
  </si>
  <si>
    <t>WOS:000828201500001</t>
  </si>
  <si>
    <t>Nazario, EC; Cade, DE; Bierlich, KC; Czapanskiy, MF; Goldbogen, JA; Kahane-Rapport, SR; van der Hoop, JM; San Luis, MT; Friedlaender, AS</t>
  </si>
  <si>
    <t>Nazario, Emily C.; Cade, David E.; Bierlich, K. C.; Czapanskiy, Max F.; Goldbogen, Jeremy A.; Kahane-Rapport, Shirel R.; van der Hoop, Julie M.; San Luis, Merceline T.; Friedlaender, Ari S.</t>
  </si>
  <si>
    <t>Baleen whale inhalation variability revealed using animal-borne video tags</t>
  </si>
  <si>
    <t>Ventilation; Nares; Rorqual whales; Biotelemetry</t>
  </si>
  <si>
    <t>ENERGY-EXPENDITURE; HUMPBACK WHALES; PULMONARY-FUNCTION; STORE MANAGEMENT; HARBOR PORPOISE; METABOLIC-RATE; GAS-EXCHANGE; GRAY WHALES; PATTERNS; SEALS</t>
  </si>
  <si>
    <t>Empirical metabolic rate and oxygen consumption estimates for free-ranging whales have been limited to counting respiratory events at the surface. Because these observations were limited and generally viewed from afar, variability in respiratory properties was unknown and oxygen consumption estimates assumed constant breath-to-breath tidal volume and oxygen uptake. However, evidence suggests that cetaceans in human care vary tidal volume and breathing frequency to meet aerobic demand, which would significantly impact energetic estimates if the findings held in free-ranging species. In this study, we used suction cup-attached video tags positioned posterior to the nares of two humpback whales (Megaptera novaeangliae) and four Antarctic minke whales (Balaenoptera bonaerensis) to measure inhalation duration, relative nares expansion, and maximum nares expansion. Inhalation duration and nares expansion varied between and within initial, middle, and terminal breaths of surface sequences between dives. The initial and middle breaths exhibited the least variability and had the shortest durations and smallest nares expansions. In contrast, terminal breaths were highly variable, with the longest inhalation durations and the largest nares expansions. Our results demonstrate breath-to-breath variability in duration and nares expansion, suggesting differential oxygen exchange in each breath during the surface interval. With future validation, inhalation duration or nares area could be used alongside respiratory frequency to improve oxygen consumption estimates by accounting for breath-to-breath variation in wild whales.</t>
  </si>
  <si>
    <t>[Nazario, Emily C.; San Luis, Merceline T.] Univ Calif Santa Cruz, Ecol &amp; Evolutionary Biol, Santa Cruz, CA 95064 USA; [Cade, David E.; Czapanskiy, Max F.; Goldbogen, Jeremy A.] Stanford Univ, Hopkins Marine Stn, Dept Biol, Pacific Grove, CA 93950 USA; [Bierlich, K. C.] Oregon State Univ, Hatfield Marine Sci Ctr, Marine Mammal Inst, Newport, OR USA; [Kahane-Rapport, Shirel R.] Calif State Univ Fullerton, Dept Biol Sci, Fullerton, CA 92634 USA; [van der Hoop, Julie M.] Aarhus Univ, Dept Biosci, Zoophysiol, Aarhus, Denmark; [Friedlaender, Ari S.] Univ Calif Santa Cruz, Inst Marine Sci, Santa Cruz, CA 95064 USA</t>
  </si>
  <si>
    <t>University of California System; University of California Santa Cruz; Stanford University; Oregon State University; California State University System; California State University Fullerton; Aarhus University; University of California System; University of California Santa Cruz</t>
  </si>
  <si>
    <t>Nazario, EC (corresponding author), Univ Calif Santa Cruz, Ecol &amp; Evolutionary Biol, Santa Cruz, CA 95064 USA.</t>
  </si>
  <si>
    <t>enazario@ucsc.edu</t>
  </si>
  <si>
    <t>Czapanskiy, Max/HLX-2992-2023</t>
  </si>
  <si>
    <t>van der Hoop, Julie/0000-0003-2327-9000; Nazario, Emily/0000-0003-2372-8742; Czapanskiy, Max/0000-0002-6302-905X</t>
  </si>
  <si>
    <t>National Science Foundation [IOS-1656676, IOS-1656656, OPP-1644209, 07-39483]; Stanford University; Myers Foundation; American Cetacean Society; San Francisco Bay; Ethel M. Myers Oceanographic and Marine Biology Trust</t>
  </si>
  <si>
    <t>National Science Foundation(National Science Foundation (NSF)); Stanford University(Stanford University); Myers Foundation; American Cetacean Society; San Francisco Bay; Ethel M. Myers Oceanographic and Marine Biology Trust</t>
  </si>
  <si>
    <t>The following grant information was disclosed by the authors: National Science Foundation OPP: 1643877. National Science Foundation: IOS-1656676, IOS-1656656, OPP-1644209, 07-39483. Stanford University, the Myers Foundation. American Cetacean Society. San Francisco Bay. Ethel M. Myers Oceanographic and Marine Biology Trust.</t>
  </si>
  <si>
    <t>JUL 20</t>
  </si>
  <si>
    <t>e13724</t>
  </si>
  <si>
    <t>10.7717/peerj.13724</t>
  </si>
  <si>
    <t>3S1SV</t>
  </si>
  <si>
    <t>Green Submitted, gold, Green Published</t>
  </si>
  <si>
    <t>WOS:000839383800003</t>
  </si>
  <si>
    <t>Conners, MG; Sisson, NB; Agamboue, PD; Atkinson, PW; Baylis, AMM; Benson, SR; Block, BA; Bograd, SJ; Bordino, P; Bowen, WD; Brickle, P; Bruno, IM; Carman, VG; Champagne, CD; Crocker, DE; Costa, DP; Dawson, TM; Deguchi, T; Dewar, H; Doherty, PD; Eguchi, T; Formia, A; Godley, BJ; Graham, RT; Gredzens, C; Hart, KM; Hawkes, LA; Henderson, S; Henry, RW; Hueckstaedt, LA; Irvine, LM; Kienle, SS; Kuhn, CE; Lidgard, D; Loredo, SA; Mate, BR; Metcalfe, K; Nzegoue, J; Oliwina, CKK; Orben, RA; Ozaki, K; Parnell, R; Pike, EP; Robinson, PW; Rosenbaum, HC; Sato, F; Shaffer, SA; Shaver, DJ; Simmons, SE; Smith, BJ; Sounguet, GP; Suryan, RM; Thompson, DR; Tierney, M; Tilley, D; Young, HS; Warwick-Evans, V; Weise, MJ; Wells, RS; Wilkinson, BP; Witt, MJ; Maxwell, SM</t>
  </si>
  <si>
    <t>Conners, Melinda G.; Sisson, Nicholas B.; Agamboue, Pierre D.; Atkinson, Philip W.; Baylis, Alastair M. M.; Benson, Scott R.; Block, Barbara A.; Bograd, Steven J.; Bordino, Pablo; Bowen, W. D.; Brickle, Paul; Bruno, Ignacio M.; Gonzalez Carman, Victoria; Champagne, Cory D.; Crocker, Daniel E.; Costa, Daniel P.; Dawson, Tiffany M.; Deguchi, Tomohiro; Dewar, Heidi; Doherty, Philip D.; Eguchi, Tomo; Formia, Angela; Godley, Brendan J.; Graham, Rachel T.; Gredzens, Christian; Hart, Kristen M.; Hawkes, Lucy A.; Henderson, Suzanne; Henry, Robert William; Hueckstaedt, Luis A.; Irvine, Ladd M.; Kienle, Sarah S.; Kuhn, Carey E.; Lidgard, Damian; Loredo, Stephanie A.; Mate, Bruce R.; Metcalfe, Kristian; Nzegoue, Jacob; Kouerey Oliwina, Carmen K.; Orben, Rachael A.; Ozaki, Kiyoaki; Parnell, Richard; Pike, Elizabeth P.; Robinson, Patrick W.; Rosenbaum, Howard C.; Sato, Fumio; Shaffer, Scott A.; Shaver, Donna J.; Simmons, Samantha E.; Smith, Brian J.; Sounguet, Guy-Philippe; Suryan, Robert M.; Thompson, David R.; Tierney, Megan; Tilley, Dominic; Young, Hillary S.; Warwick-Evans, Victoria; Weise, Michael J.; Wells, Randall S.; Wilkinson, Bradley P.; Witt, Matthew J.; Maxwell, Sara M.</t>
  </si>
  <si>
    <t>Mismatches in scale between highly mobile marine megafauna and marine protected areas</t>
  </si>
  <si>
    <t>dynamic ocean management; home range; life history; marine predators; marine protected areas; migratory connectivity; mobile marine protected areas; pelagic conservation</t>
  </si>
  <si>
    <t>SHORT-TAILED ALBATROSSES; FORAGING HABITAT; TRACKING DATA; MANAGEMENT; TELEMETRY; SEABIRDS; TURTLES; CONSERVATION; BIODIVERSITY; GEOLOCATION</t>
  </si>
  <si>
    <t>Marine protected areas (MPAs), particularly large MPAs, are increasing in number and size around the globe in part to facilitate the conservation of marine megafauna under the assumption that large-scale MPAs better align with vagile life histories; however, this alignment is not well established. Using a global tracking dataset from 36 species across five taxa, chosen to reflect the span of home range size in highly mobile marine megafauna, we show most MPAs are too small to encompass complete home ranges of most species. Based on size alone, 40% of existing MPAs could encompass the home ranges of the smallest ranged species, while only &lt; 1% of existing MPAs could encompass those of the largest ranged species. Further, where home ranges and MPAs overlapped in real geographic space, MPAs encompassed &lt; 5% of core areas used by all species. Despite most home ranges of mobile marine megafauna being much larger than existing MPAs, we demonstrate how benefits from MPAs are still likely to accrue by targeting seasonal aggregations and critical life history stages and through other management techniques.</t>
  </si>
  <si>
    <t>[Conners, Melinda G.; Maxwell, Sara M.] Univ Washington, Sch Interdisciplinary Arts &amp; Sci, Bothell, WA 98011 USA; [Conners, Melinda G.] SUNY Stony Brook, Sch Marine &amp; Atmospher Sci, Stony Brook, NY 11794 USA; [Sisson, Nicholas B.; Dawson, Tiffany M.; Maxwell, Sara M.] Old Dominion Univ, Dept Biol, Norfolk, VA USA; [Agamboue, Pierre D.; Formia, Angela; Nzegoue, Jacob; Kouerey Oliwina, Carmen K.; Parnell, Richard] Gabon Program, Wildlife Conservat Soc, Libreville, Gabon; [Atkinson, Philip W.] British Trust Ornithol, The Nunnery, Thetford, Norfolk, England; [Baylis, Alastair M. M.; Brickle, Paul; Tierney, Megan] South Atlantic Environm Res Inst, Stanley FIQQ1ZZ, Falkland Island; [Baylis, Alastair M. M.] Macquarie Univ, Dept Biol Sci, Sydney, NSW, Australia; [Benson, Scott R.] NOAA, Natl Marine Fisheries Serv, Southwest Fisheries Sci Ctr, Marine Mammal &amp; Turtle Div, Moss Landing, CA USA; [Benson, Scott R.] San Jose State Univ, Moss Landing Marine Labs, Moss Landing, CA USA; [Block, Barbara A.] Stanford Univ, Hopkins Marine Stn, Dept Fisheries, Wildlife &amp; Conservat, Pacific Grove, CA USA; [Bograd, Steven J.] NOAA, Southwest Fisheries Sci Ctr, Environm Res Div, Monterey, CA USA; [Bordino, Pablo; Wells, Randall S.] Chicago Zool Soc Sarasota Dolphin Res Program, C-O Mote Marine Lab, Sarasota, FL USA; [Bowen, W. D.] Bedford Inst Oceanog, Dept Fisheries &amp; Oceans, Populat Ecol Div, Dartmouth, NS, Canada; [Bowen, W. D.] Dalhousie Univ, Biol Dept, Halifax, NS, Canada; [Brickle, Paul] Univ Aberdeen, Sch Biol Sci Zool, Aberdeen, Aberdeenshire, Scotland; [Bruno, Ignacio M.; Gonzalez Carman, Victoria] Inst Invest &amp; Desarrollo Pesquero INIDEP, Mar Del Plata, Argentina; [Gonzalez Carman, Victoria] Inst Invest Marinas &amp; Costeras UNMdP, CONICET, Mar Del Plata, Argentina; [Champagne, Cory D.] Univ Washington, Dept Biol, Bothell, WA USA; [Crocker, Daniel E.] Sonoma State Univ, Dept Biol, Sonoma, CA USA; [Costa, Daniel P.; Hueckstaedt, Luis A.; Robinson, Patrick W.; Simmons, Samantha E.] Univ Calif Santa Cruz, Dept Ecol &amp; Evolutionary Biol, Santa Cruz, CA USA; [Dawson, Tiffany M.] Univ Cent Florida, Dept Biol, Orlando, FL USA; [Deguchi, Tomohiro; Ozaki, Kiyoaki; Sato, Fumio] Yamashina Inst Ornithol, Div Avian Conservat, Chiba, Japan; [Dewar, Heidi; Eguchi, Tomo] NOAA, Southwest Fisheries Sci Ctr, Fisheries Resources Div, La Jolla, CA USA; [Doherty, Philip D.; Godley, Brendan J.; Hueckstaedt, Luis A.; Metcalfe, Kristian; Tilley, Dominic] Univ Exeter, Coll Life &amp; Environm Sci, Ctr Ecol &amp; Conservat, Penryn Campus, Cornwall, England; [Formia, Angela] African Aquat Conservat Fund, Chilmark, MA USA; [Graham, Rachel T.] Ciudad Saber, MarAlliance, Panama City, Panama; [Gredzens, Christian; Shaver, Donna J.] Div Sea Turtle Sci &amp; Recovery, Padre Isl Natl Seashore, Corpus Christi, TX USA; [Hart, Kristen M.] Wetland &amp; Aquat Res Ctr, US Geol Survey, Davie, FL USA; [Hawkes, Lucy A.; Witt, Matthew J.] Univ Exeter, Coll Life &amp; Environm Sci, Hatherly Labs, Prince Wales Rd, Exeter, Devon, England; [Henderson, Suzanne] Scottish Nat Heritage, Inverness, Scotland; [Henry, Robert William] Groundswell Coastal Ecol, Davenport, CA USA; [Irvine, Ladd M.; Mate, Bruce R.] Oregon State Univ, Marine Mammal Inst, Hatfield Marine Sci Ctr, Wildlife &amp; Conservat, Newport, OR USA; [Kienle, Sarah S.] Baylor Univ, Dept Biol, Waco, TX USA; [Kuhn, Carey E.] Natl Ocean &amp; Atmospher Adm Alaska Fisheries Sci C, Marine Mammal Lab, Seattle, WA USA; [Lidgard, Damian] Dalhousie Univ, Dept Biol, Halifax, NS, Canada; [Loredo, Stephanie A.; Orben, Rachael A.] Oregon State Univ, Hatfield Marine Sci Ctr, Dept Fisheries &amp; Wildlife, Newport, OR USA; [Pike, Elizabeth P.] Marine Conservat Inst, Seattle, WA USA; [Rosenbaum, Howard C.] Ocean Giants Program, Wildlife Conservat Soc, Bronx, NY USA; [Shaffer, Scott A.] San Jose State Univ, Dept Biol Sci, San Jose, CA USA; [Simmons, Samantha E.] Marine Mammal Commiss, Bethesda, MD USA; [Smith, Brian J.] Cherokee Nations Technol, Contracted US Geol Survey, Davie, FL USA; [Sounguet, Guy-Philippe] Aventures Sans Frontieres, Libreville, Gabon; [Sounguet, Guy-Philippe] Agence Natl Parcs Nationaux, Libreville, Gabon; [Suryan, Robert M.] Alaska Fisheries Sci Ctr, Auke Bay Labs, NOAA Fisheries, Juneau, AK USA; [Thompson, David R.] Atmospher Res Ltd, Natl Inst Water, Wellington, New Zealand; [Tierney, Megan] Joint Nat Conservat Comm, Peterborough, Northamptonshir, England; [Young, Hillary S.] Univ Calif Santa Barbara, Dept Ecol &amp; Marine Biol, Santa Barbara, CA USA; [Warwick-Evans, Victoria] British Antarctic Survey, Cambridge, Cambridgeshire, England; [Weise, Michael J.] Off Naval Res, Arlington, VA USA; [Wilkinson, Bradley P.] Clemson Univ, Dept Forestry &amp; Environm Conservat, South Carolina Cooperat Fish &amp; Wildlife Res Unit, Clemson, SC USA</t>
  </si>
  <si>
    <t>University of Washington; University of Washington Bothell; State University of New York (SUNY) System; State University of New York (SUNY) Stony Brook; Old Dominion University; British Trust for Ornithology; Macquarie University; National Oceanic Atmospheric Admin (NOAA) - USA; Moss Landing Marine Laboratories; California State University System; San Jose State University; Stanford University; Wildlife Conservation Society; National Oceanic Atmospheric Admin (NOAA) - USA; Bedford Institute of Oceanography; Fisheries &amp; Oceans Canada; Dalhousie University; University of Aberdeen; National Fisheries Research &amp; Development Institute (INIDEP); Consejo Nacional de Investigaciones Cientificas y Tecnicas (CONICET); University of Washington; University of Washington Bothell; California State University System; Sonoma State University; University of California System; University of California Santa Cruz; State University System of Florida; University of Central Florida; National Oceanic Atmospheric Admin (NOAA) - USA; University of Exeter; United States Department of the Interior; United States Geological Survey; University of Exeter; Oregon State University; Wildlife Conservation Society; Baylor University; Dalhousie University; Oregon State University; Wildlife Conservation Society; California State University System; San Jose State University; National Oceanic Atmospheric Admin (NOAA) - USA; National Institute of Water &amp; Atmospheric Research (NIWA) - New Zealand; University of California System; University of California Santa Barbara; UK Research &amp; Innovation (UKRI); Natural Environment Research Council (NERC); NERC British Antarctic Survey; United States Department of Defense; United States Navy; Clemson University</t>
  </si>
  <si>
    <t>Conners, MG (corresponding author), Univ Washington, Sch Interdisciplinary Arts &amp; Sci, Bothell, WA 98011 USA.;Conners, MG (corresponding author), SUNY Stony Brook, Sch Marine &amp; Atmospher Sci, Stony Brook, NY 11794 USA.</t>
  </si>
  <si>
    <t>Pike, Elizabeth/GRS-0517-2022; Huckstadt, Luis/JNR-7637-2023; Orben, Rachael A./H-9460-2019; Hawkes, Lucy A/C-8671-2009; Young, Hillary Suzanne/S-1514-2017; Shaver, Donna J/D-6227-2013; Baylis, Alastair/H-9471-2019; Witt, Matthew/V-3318-2018; Atkinson, Philip W/B-8975-2009; Godley, Brendan J/A-6139-2009; Metcalfe, Kristian/A-2297-2015; Huckstadt, Luis/A-5838-2018; Shaffer, Scott/D-5015-2009</t>
  </si>
  <si>
    <t>Pike, Elizabeth/0000-0001-8578-0605; Orben, Rachael A./0000-0002-0802-407X; Young, Hillary Suzanne/0000-0003-0449-8582; Shaver, Donna J/0000-0003-1379-8974; Baylis, Alastair/0000-0002-5167-0472; Godley, Brendan J/0000-0003-3845-0034; Metcalfe, Kristian/0000-0002-7662-5379; Doherty, Philip/0000-0001-7561-3731; Sisson, Nick/0000-0003-0066-9225; Atkinson, Philip/0000-0002-0838-557X; Kuhn, Carey/0000-0002-6835-9744; Huckstadt, Luis/0000-0002-2453-7350; Shaffer, Scott/0000-0002-7751-5059; Tilley, Dominic/0000-0002-5427-191X</t>
  </si>
  <si>
    <t>10.3389/fmars.2022.897104</t>
  </si>
  <si>
    <t>3N2FH</t>
  </si>
  <si>
    <t>WOS:000835967200001</t>
  </si>
  <si>
    <t>Sreejith, M; Remya, PG; Kumar, BP; Raj, A; Nair, TMB</t>
  </si>
  <si>
    <t>Sreejith, Meenakshi; Remya, P. G.; Kumar, B. Praveen; Raj, Abhijith; Nair, T. M. Balakrishnan</t>
  </si>
  <si>
    <t>Exploring the impact of southern ocean sea ice on the Indian Ocean swells</t>
  </si>
  <si>
    <t>The present study analyzes the impact of the Southern Ocean (SO) sea ice concentration on the north Indian Ocean (NIO) wave fields through swells using 6 years (2016-2021) of WAVEWATCH III (WWIII) simulations. We did two experimental runs of WWIII, one with sea ice concentration and winds as the forcing (W3(w)(i)(th_ice)) and the second run with only wind forcing (W3(no_ice)). Analysis shows the impact of the SO sea ice concentration on northward swell peaks in September-November, coinciding with the maximum sea ice extent in the Antarctic region of the Indian Ocean. W3(no_ice) simulations are biased more by similar to 60% and similar to 37% in significant wave height and period, respectively, against W3(with)(_i)(ce) when compared with NIO mooring data. W3(no_i)(ce) simulates low-frequency swells and travels fast towards NIO, with implications for operational oceanography. We have shown that the forecasts of the timing of high swell events along NIO coasts can be erroneous by similar to 12 h if the SO sea ice concentration is not included in the model. Further, W3(no_ic)(e) could potentially produce false swell alerts along southeastern Australian coasts. In summary, our study highlights the importance of the SO sea ice concentration inclusion in the wave models to accurately simulate NIO waves.</t>
  </si>
  <si>
    <t>[Sreejith, Meenakshi; Remya, P. G.; Kumar, B. Praveen; Raj, Abhijith; Nair, T. M. Balakrishnan] Indian Natl Ctr Ocean Informat Serv INCOIS, Minist Earth Sci MoES, Hyderabad 500090, Telangana, India; [Sreejith, Meenakshi; Raj, Abhijith] Kerala Univ Fisheries &amp; Ocean Studies, Sch Ocean Sci &amp; Technol, Cochin 682506, Kerala, India</t>
  </si>
  <si>
    <t>Ministry of Earth Sciences (MoES) - India; Indian National Centre for Ocean Information Services (INCOIS); Kerala University of Fisheries &amp; Ocean Studies</t>
  </si>
  <si>
    <t>Remya, PG (corresponding author), Indian Natl Ctr Ocean Informat Serv INCOIS, Minist Earth Sci MoES, Hyderabad 500090, Telangana, India.</t>
  </si>
  <si>
    <t>remya.pg@incois.gov.in</t>
  </si>
  <si>
    <t>BORRA, PRAVEEN KUMAR/HTP-4068-2023</t>
  </si>
  <si>
    <t>DOM</t>
  </si>
  <si>
    <t>The authors thank Director INCOIS for facilitating this research. This research comes under Deep Ocean Mission (DOM)-Ocean Climate Change Advisory Services (OCCAS) project and funded by DOM. We thank the Editor and two reviewers who commented critically on an earlier version of the manuscript, which helped us improve to the present version. We used the daily sea-ice concentration data from https://n5eil01u.ecs.nsidc.org/SMAP_ANC/SMAP_L1_L3_ANC_NOAA.001/and the bathymetry data from ETOPO1-1 Arc-Minute Global Relief Model. Jason-2 altimeter data was obtained from ftp://ftp.nodc.noaa.gov/pub/data.nodc/jason2/. PyFerret is used for graphics and analysis. The in-situ buoy observations used for this study are obtained from http://odis.incois.gov.in.We thank Dr. Jossia Joseph, NIOT, for providing the wave spectrum data for the work. This article is part of Meenakshi Sreejith's doctoral research and acknowledges the research fellowship through the Ministry of Earth Sciences (MoES, Govt. of India) Development of Skilled Manpower in Earth Sciences (DESK) Research Fellow Program. This is INCOIS contribution number 465.</t>
  </si>
  <si>
    <t>10.1038/s41598-022-16634-0</t>
  </si>
  <si>
    <t>3C0HZ</t>
  </si>
  <si>
    <t>WOS:000828314800065</t>
  </si>
  <si>
    <t>Sherwell, S; Kalra, I; Li, W; McKnight, DM; Priscu, JC; Morgan-Kiss, RM</t>
  </si>
  <si>
    <t>Sherwell, Shasten; Kalra, Isha; Li, Wei; McKnight, Diane M.; Priscu, John C.; Morgan-Kiss, Rachael M.</t>
  </si>
  <si>
    <t>Antarctic lake phytoplankton and bacteria from near-surface waters exhibit high sensitivity to climate-driven disturbance</t>
  </si>
  <si>
    <t>MCMURDO DRY VALLEYS; DISSOLVED ORGANIC-MATTER; COMMUNITY STRUCTURE; CHLOROPHYLL-A; POLAR NIGHT; ICE COVER; DIVERSITY; BONNEY; ACTINOBACTERIA; MARINE</t>
  </si>
  <si>
    <t>The McMurdo Dry Valleys (MDVs), Antarctica, represent a cold, desert ecosystem poised on the threshold of melting and freezing water. The MDVs have experienced dramatic signs of climatic change, most notably a warm austral summer in 2001-2002 that caused widespread flooding, partial ice cover loss and lake level rise. To understand the impact of these climatic disturbances on lake microbial communities, we simulated lake level rise and ice-cover loss by transplanting dialysis-bagged communities from selected depths to other locations in the water column or to an open water perimeter moat. Bacteria and eukaryote communities residing in the surface waters (5 m) exhibited shifts in community composition when exposed to either disturbance, while microbial communities from below the surface were largely unaffected by the transplant. We also observed an accumulation of labile dissolved organic carbon in the transplanted surface communities. In addition, there were taxa-specific sensitivities: cryptophytes and Actinobacteria were highly sensitive particularly to the moat transplant, while chlorophytes and several bacterial taxa increased in relative abundance or were unaffected. Our results reveal that future climate-driven disturbances will likely undermine the stability and productivity of MDV lake phytoplankton and bacterial communities in the surface waters of this extreme environment.</t>
  </si>
  <si>
    <t>[Sherwell, Shasten; Kalra, Isha; Morgan-Kiss, Rachael M.] Miami Univ, Dept Microbiol, Oxford, OH 45056 USA; [Li, Wei] Lawrence Livermore Natl Lab, Livermore, CA 94550 USA; [McKnight, Diane M.] Univ Colorado, Inst Arctic &amp; Alpine Res, Boulder, CO 80309 USA; [Priscu, John C.] Polar Oceans Res Grp, Sheridan, MT USA; [Sherwell, Shasten] US EPA, Reg 1, Boston, MA USA; [Kalra, Isha] Univ Southern Calif, Dept Biol, Los Angeles, CA 90007 USA</t>
  </si>
  <si>
    <t>University System of Ohio; Miami University; United States Department of Energy (DOE); Lawrence Livermore National Laboratory; University of Colorado System; University of Colorado Boulder; United States Environmental Protection Agency; University of Southern California</t>
  </si>
  <si>
    <t>Morgan-Kiss, RM (corresponding author), Miami Univ, Dept Microbiol, Oxford, OH 45056 USA.</t>
  </si>
  <si>
    <t>morganr2@miamioh.edu</t>
  </si>
  <si>
    <t>MCKNIGHT, DIANE/0000-0002-4171-1533; Morgan-kiss, Rachael/0000-0003-4783-5358</t>
  </si>
  <si>
    <t>U.S. Department of Energy, National Nuclear Security Administration [DE-AC52-07NA27344]; Lawrence Livermore National Laboratory; National Science Foundation [OPP0631659, OPP-1115245, OPP-1637708]</t>
  </si>
  <si>
    <t>U.S. Department of Energy, National Nuclear Security Administration(National Nuclear Security AdministrationUnited States Department of Energy (DOE)); Lawrence Livermore National Laboratory(United States Department of Energy (DOE)); National Science Foundation(National Science Foundation (NSF))</t>
  </si>
  <si>
    <t>U.S. Department of Energy, National Nuclear Security Administration, Grant/Award Number: DE-AC52-07NA27344; Lawrence Livermore National Laboratory; National Science Foundation, Grant/Award Numbers: OPP0631659, OPP-1115245, OPP-1637708</t>
  </si>
  <si>
    <t>10.1111/1462-2920.16113</t>
  </si>
  <si>
    <t>7W7NS</t>
  </si>
  <si>
    <t>WOS:000827897200001</t>
  </si>
  <si>
    <t>Fu, FX; Tschitschko, B; Hutchins, DA; Larsson, ME; Baker, KG; McInnes, A; Kahlke, T; Verma, A; Murray, SA; Doblin, MA</t>
  </si>
  <si>
    <t>Fu, Fei-Xue; Tschitschko, Bernhard; Hutchins, David A.; Larsson, Michaela E.; Baker, Kirralee G.; McInnes, Allison; Kahlke, Tim; Verma, Arjun; Murray, Shauna A.; Doblin, Martina A.</t>
  </si>
  <si>
    <t>Temperature variability interacts with mean temperature to influence the predictability of microbial phenotypes</t>
  </si>
  <si>
    <t>climate impact; climate variability; dinoflagellate; primary productivity</t>
  </si>
  <si>
    <t>FUNCTIONAL TRAITS; PHYTOPLANKTON; EVOLUTIONARY; ENVIRONMENT; ADAPTATION; ANNOTATION; RESPONSES; ECOLOGY; IMPACT</t>
  </si>
  <si>
    <t>Despite their relatively high thermal optima (T-opt), tropical taxa may be particularly vulnerable to a rising baseline and increased temperature variation because they live in relatively stable temperatures closer to their T-opt. We examined how microbial eukaryotes with differing thermal histories responded to temperature fluctuations of different amplitudes (0 control, +/- 2, +/- 4 degrees C) around mean temperatures below or above their T-opt. Cosmopolitan dinoflagellates were selected based on their distinct thermal traits and included two species of the same genus (tropical and temperate Coolia spp.), and two strains of the same species maintained at different temperatures for &gt;500 generations (tropical Amphidinium massartii control temperature and high temperature, CT and HT, respectively). There was a universal decline in population growth rate under temperature fluctuations, but strains with narrower thermal niche breadth (temperate Coolia and HT) showed similar to 10% greater reduction in growth. At suboptimal mean temperatures, cells in the cool phase of the fluctuation stopped dividing, fixed less carbon (C) and had enlarged cell volumes that scaled positively with elemental C, N, and P and C:Chlorophyll-a. However, at a supra-optimal mean temperature, fixed C was directed away from cell division and novel trait combinations developed, leading to greater phenotypic diversity. At the molecular level, heat-shock proteins, and chaperones, in addition to transcripts involving genome rearrangements, were upregulated in CT and HT during the warm phase of the supra-optimal fluctuation (30 +/- 4 degrees C), a stress response indicating protection. In contrast, the tropical Coolia species upregulated major energy pathways in the warm phase of its supra-optimal fluctuation (25 +/- 4 degrees C), indicating a broadscale shift in metabolism. Our results demonstrate divergent effects between taxa and that temporal variability in environmental conditions interacts with changes in the thermal mean to mediate microbial responses to global change, with implications for biogeochemical cycling.</t>
  </si>
  <si>
    <t>[Fu, Fei-Xue; Hutchins, David A.] Univ Southern Calif, Dept Biol Sci, Los Angeles, CA 90007 USA; [Tschitschko, Bernhard; Larsson, Michaela E.; Baker, Kirralee G.; McInnes, Allison; Kahlke, Tim; Verma, Arjun; Murray, Shauna A.; Doblin, Martina A.] Univ Technol Sydney, Climate Change Cluster, POB 123 Broadway, Ultimo, NSW 2007, Australia; [Tschitschko, Bernhard] Max Planck Inst Marine Microbiol, Bremen, Germany; [Baker, Kirralee G.] Univ Tasmania, Inst Marine &amp; Antarctic Studies, Hobart, Tas, Australia; [McInnes, Allison] Queensland Univ Technol, Ctr Microbiome Res, Sch Biomed Sci, Translat Res Inst, Woolloongabba, Qld, Australia; [Verma, Arjun; Murray, Shauna A.] Univ Technol Sydney, Sch Life Sci, Ultimo, NSW, Australia; [Murray, Shauna A.; Doblin, Martina A.] Sydney Inst Marine Sci, Mosman, NSW, Australia</t>
  </si>
  <si>
    <t>University of Southern California; University of Technology Sydney; Max Planck Society; University of Tasmania; Queensland University of Technology (QUT); University of Technology Sydney; Sydney Institute of Marine Science</t>
  </si>
  <si>
    <t>Doblin, MA (corresponding author), Univ Technol Sydney, Climate Change Cluster, POB 123 Broadway, Ultimo, NSW 2007, Australia.</t>
  </si>
  <si>
    <t>martina.doblin@uts.edu.au</t>
  </si>
  <si>
    <t>Fu, Feixue/IAP-5787-2023; Baker, Kirralee/IUN-3388-2023; Hutchins, David A/D-3301-2013; Kahlke, Tim/P-1065-2017; Larsson, Michaela E/A-7807-2017; Doblin, Martina/E-8719-2013; McInnes, Allison/H-5694-2016; Murray, Shauna A/K-5781-2015</t>
  </si>
  <si>
    <t>Baker, Kirralee/0000-0003-3008-2513; Hutchins, David A/0000-0002-6637-756X; Doblin, Martina/0000-0001-8750-3433; McInnes, Allison/0000-0002-8340-3133; Tschitschko, Bernhard/0000-0002-0379-3187; Murray, Shauna A/0000-0001-7096-1307</t>
  </si>
  <si>
    <t>Australian Research Council [DP140101340, DP180100054]; University of Technology Sydney Distinguished Visiting Professor Scheme; U.S. National Science Foundation [OCE 1851222, OCE 1638804]; University of Technology Sydney</t>
  </si>
  <si>
    <t>Australian Research Council(Australian Research Council); University of Technology Sydney Distinguished Visiting Professor Scheme; U.S. National Science Foundation(National Science Foundation (NSF)); University of Technology Sydney</t>
  </si>
  <si>
    <t>Australian Research Council, Grant/Award Number: DP140101340 and DP180100054; University of Technology Sydney Distinguished Visiting Professor Scheme; U.S. National Science Foundation, Grant/Award Number: OCE 1851222 and OCE 1638804; University of Technology Sydney</t>
  </si>
  <si>
    <t>10.1111/gcb.16330</t>
  </si>
  <si>
    <t>4F1CB</t>
  </si>
  <si>
    <t>WOS:000827888600001</t>
  </si>
  <si>
    <t>Skatulla, S; Audh, RR; Cook, A; Hepworth, E; Johnson, S; Lupascu, DC; MacHutchon, K; Marquart, R; Mielke, T; Omatuku, E; Paul, F; Rampai, T; Schröder, J; Schwarz, C; Vichi, M</t>
  </si>
  <si>
    <t>Skatulla, Sebastian; Audh, Riesna R.; Cook, Andrea; Hepworth, Ehlke; Johnson, Siobhan; Lupascu, Doru C.; MacHutchon, Keith; Marquart, Rutger; Mielke, Tommy; Omatuku, Emmanuel; Paul, Felix; Rampai, Tokoloho; Schroder, Jorg; Schwarz, Carina; Vichi, Marcello</t>
  </si>
  <si>
    <t>Physical and mechanical properties of winter first-year ice in the Antarctic marginal ice zone along the Good Hope Line</t>
  </si>
  <si>
    <t>UNIAXIAL COMPRESSIVE STRENGTH; FLOE SIZE DISTRIBUTION; OCEAN-SEA-ICE; WEDDELL SEA; SNOW-COVER; SALINITY; BELLINGSHAUSEN; DISSIPATION; ATTENUATION; AMUNDSEN</t>
  </si>
  <si>
    <t>As part of the 2019 Southern oCean seAsonal Experiment (SCALE) Winter Cruise of the South African icebreaker SA Agulhas II, first-year ice was sampled at the advancing outer edge of the Antarctic marginal ice zone along a 150 km Good Hope Line transect. Ice cores were extracted from four solitary pancake ice floes of 1.83-2.95 m diameter and 0.37-0.45 m thickness as well as a 12 x 4 m pancake ice floe of 0.31-0.76 m thickness that was part of a larger consolidated pack ice domain. The ice cores were subsequently analysed for temperature, salinity, texture, anisotropic elastic properties and compressive strength. All ice cores from both solitary pancake ice floes and consolidated pack ice exhibited predominantly granular textures. The vertical distributions of salinity, brine volume and mechanical properties were significantly different for the two ice types. High salinity values of 12.6 +/- 4.9 PSU were found at the topmost layer of the solitary pancake ice floes but not for the consolidated pack ice. The uniaxial compressive strengths for pancake ice and consolidated pack ice were determined as 2.3 +/- 0.5 and 4.1 +/- 0.9 MPa, respectively. Young's and shear moduli in the longitudinal core direction of solitary pancake ice were obtained as 3.7 +/- 2.0 and 1.3 +/- 0.7 GPa, respectively, and of consolidated pack ice as 6.4 +/- 1.6 and 2.3 +/- 0.6 GPa, respectively. Comparing Young's and shear moduli measured in longitudinal and transverse core directions, a clear directional dependency was found, in particular for the consolidated pack ice.</t>
  </si>
  <si>
    <t>[Skatulla, Sebastian; Cook, Andrea; MacHutchon, Keith; Marquart, Rutger; Omatuku, Emmanuel] Univ Cape Town, Dept Civil Engn, Rondebosch, South Africa; [Audh, Riesna R.; Hepworth, Ehlke; Vichi, Marcello] Univ Cape Town, Dept Oceanog, Rondebosch, South Africa; [Johnson, Siobhan; Rampai, Tokoloho] Univ Cape Town, Dept Chem Engn, Rondebosch, South Africa; [Audh, Riesna R.; Hepworth, Ehlke; Johnson, Siobhan; Marquart, Rutger; Omatuku, Emmanuel; Rampai, Tokoloho; Vichi, Marcello] Univ Cape Town, Marine &amp; Antarctic Res Ctr Innovat &amp; Sustainabil, Rondebosch, South Africa; [Lupascu, Doru C.; Mielke, Tommy; Paul, Felix] Univ Duisburg Essen, Inst Mat Sci, Essen, Germany; [Lupascu, Doru C.; Mielke, Tommy; Paul, Felix] Ctr Nanointegrat Duisburg Essen CENIDE, Duisburg, Germany; [Schroder, Jorg; Schwarz, Carina] Univ Duisburg Essen, Inst Mech, Essen, Germany</t>
  </si>
  <si>
    <t>University of Cape Town; University of Cape Town; University of Cape Town; University of Cape Town; University of Duisburg Essen; University of Duisburg Essen; University of Duisburg Essen</t>
  </si>
  <si>
    <t>Skatulla, S (corresponding author), Univ Cape Town, Dept Civil Engn, Rondebosch, South Africa.</t>
  </si>
  <si>
    <t>sebastian.skatulla@uct.ac.za</t>
  </si>
  <si>
    <t>Lupascu, Doru Constantin/ABC-4328-2021; Skatulla, Sebastian/AAU-9706-2020; Schroeder, Joerg/S-2315-2016; Vichi, Marcello/GLR-9823-2022</t>
  </si>
  <si>
    <t>Lupascu, Doru Constantin/0000-0002-6895-1334; Vichi, Marcello/0000-0002-0686-9634; Mielke, Tommy/0009-0002-4835-2817; Ncube, Mbongeni/0000-0003-0625-8451; Johnson, Siobhan/0000-0003-0157-6338; Rampai, Tokoloho/0000-0002-5808-947X; Skatulla, Sebastian/0000-0003-1061-3356; Audh, Riesna Reuben/0000-0002-4163-4515</t>
  </si>
  <si>
    <t>National Research Foundation of South Africa (NRF) [104839, 105858, 118745]</t>
  </si>
  <si>
    <t>National Research Foundation of South Africa (NRF)(National Research Foundation - South Africa)</t>
  </si>
  <si>
    <t>This research has been supported by the National Research Foundation of South Africa (NRF) (grant nos. 104839, 105858 and 118745).</t>
  </si>
  <si>
    <t>10.5194/tc-16-2899-2022</t>
  </si>
  <si>
    <t>3A7WO</t>
  </si>
  <si>
    <t>WOS:000827466200001</t>
  </si>
  <si>
    <t>Mdutyana, M; Marshall, T; Sun, X; Burger, JM; Thomalla, SJ; Ward, BB; Fawcett, SE</t>
  </si>
  <si>
    <t>Mdutyana, Mhlangabezi; Marshall, Tanya; Sun, Xin; Burger, Jessica M.; Thomalla, Sandy J.; Ward, Bess B.; Fawcett, Sarah E.</t>
  </si>
  <si>
    <t>Controls on nitrite oxidation in the upper Southern Ocean: insights from winter kinetics experiments in the Indian sector</t>
  </si>
  <si>
    <t>AMMONIA-OXIDIZING ARCHAEON; OXYGEN MINIMUM; NITRIFICATION RATES; NITROGEN UPTAKE; ANTHROPOGENIC CO2; ISOTOPIC ANALYSIS; WATER COLUMN; MARINE; NITRATE; TEMPERATURE</t>
  </si>
  <si>
    <t>Across the Southern Ocean in winter, nitrification is the dominant mixed-layer nitrogen cycle process, with some of the nitrate produced therefrom persisting to fuel productivity during the subsequent growing season. Because this nitrate constitutes a regenerated rather than a new nutrient source to phytoplankton, it will not support the net removal of atmospheric CO2. To better understand the controls on Southern Ocean nitrification, we conducted nitrite oxidation kinetics experiments in surface waters across the western Indian sector in winter. While all experiments (seven in total) yielded a Michaelis-Menten relationship with substrate concentration, the nitrite oxidation rates only increased substantially once the nitrite concentration exceeded 115 +/- 2:3 to 245 +/- 18 nM, suggesting that nitrite-oxidizing bacteria (NOB) require a minimum (i.e., threshold) nitrite concentration to produce nitrate. The half-saturation constant for nitrite oxidation ranged from 134 +/- 8 to 403 +/- 24 nM, indicating a relatively high affinity of Southern Ocean NOB for nitrite, in contrast to results from culture experiments. Despite the high affinity of NOB for nitrite, its concentration rarely declines below 150nM in the Southern Ocean's mixed layer, regardless of season. In the upper mixed layer, we measured ammonium oxidation rates that were two- to seven-fold higher than the coincident rates of nitrite oxidation, indicating that nitrite oxidation is the rate-limiting step for nitrification in the winter Southern Ocean. The decoupling of ammonium and nitrite oxidation, combined with a possible nitrite concentration threshold for NOB, may explain the non-zero nitrite that persists throughout the Southern Ocean's mixed layer year-round. Additionally, nitrite oxidation may be limited by dissolved iron, the availability of which is low across the upper Southern Ocean. Our findings have implications for understanding the controls on nitrification and ammonium and nitrite distributions, both in the Southern Ocean and elsewhere.</t>
  </si>
  <si>
    <t>[Mdutyana, Mhlangabezi; Marshall, Tanya; Burger, Jessica M.; Fawcett, Sarah E.] Univ Cape Town, Dept Oceanog, Rondebosch, South Africa; [Mdutyana, Mhlangabezi; Thomalla, Sandy J.] CSIR, Southern Ocean Carbon &amp; Climate Observ SOCCO, Johannesburg, South Africa; [Sun, Xin; Ward, Bess B.] Princeton Univ, Dept Geosci, Princeton, NJ 08544 USA; [Sun, Xin] Yale Univ, Dept Ecol &amp; Evolutionary Biol, New Haven, CT 06511 USA; [Fawcett, Sarah E.] Univ Cape Town, Marine &amp; Antarctic Res Ctr Innovat &amp; Sustainabil, Cape Town, South Africa</t>
  </si>
  <si>
    <t>University of Cape Town; Council for Scientific &amp; Industrial Research (CSIR) - South Africa; Princeton University; Yale University; University of Cape Town</t>
  </si>
  <si>
    <t>Mdutyana, M (corresponding author), Univ Cape Town, Dept Oceanog, Rondebosch, South Africa.;Mdutyana, M (corresponding author), CSIR, Southern Ocean Carbon &amp; Climate Observ SOCCO, Johannesburg, South Africa.</t>
  </si>
  <si>
    <t>mdtmhl001@myuct.ac.za</t>
  </si>
  <si>
    <t>Marshall, Tanya/0000-0002-5982-5926; Fawcett, Sarah/0000-0002-0878-6496; Thomalla, Sandy/0000-0002-6802-520X; Sun, Xin/0000-0003-0280-4283; Ward, Bess/0000-0001-7870-2684</t>
  </si>
  <si>
    <t>South African National Research Foundation [110735, 129232, 116142, 112380, 114673, 130826, 110732]; University of Cape Town (UCT) through a Harry Crossley Foundation research fellowship; VC Future Leaders 2030 award; Royal Society through a FLAIR Fellowship; US National Science Foundation; African Academy of Sciences</t>
  </si>
  <si>
    <t>South African National Research Foundation(National Research Foundation - South Africa); University of Cape Town (UCT) through a Harry Crossley Foundation research fellowship; VC Future Leaders 2030 award; Royal Society through a FLAIR Fellowship; US National Science Foundation(National Science Foundation (NSF)); African Academy of Sciences</t>
  </si>
  <si>
    <t>This research has been supported by the South African National Research Foundation through Antarctic Programme grants to Sarah E. Fawcett (grant nos. 110735 and 129232) and Sandy J. Thomalla (grant no. 93076) and a National Equipment Programme grant to Sarah E. Fawcett (grant no. 116142), as well as postgraduate scholarships to Mhlangabezi Mdutyana (grant no. 112380), Tanya Marshall (grant nos. 114673 and 130826), and Jessica M. Burger (grant no. 110732); by the University of Cape Town (UCT) through a Harry Crossley Foundation research fellowship to Mhlangabezi Mdutyana, postgraduate scholarship to Tanya Marshall, Vice-Chancellor (VC) research scholarships to Jessica M. Burger, a VC Future Leaders 2030 award to Sarah E. Fawcett, and a research committee equipment grant to Sarah E. Fawcett; by the African Academy of Sciences and Royal Society through a FLAIR Fellowship to Sarah E. Fawcett; and by US National Science Foundation grants to Bess B. Ward.</t>
  </si>
  <si>
    <t>10.5194/bg-19-3425-2022</t>
  </si>
  <si>
    <t>3B0FZ</t>
  </si>
  <si>
    <t>WOS:000827627300001</t>
  </si>
  <si>
    <t>Matsumoto, K; Kobayashi, H; Hara, K; Ishino, S; Hayashi, M</t>
  </si>
  <si>
    <t>Matsumoto, Kiyoshi; Kobayashi, Hiroshi; Hara, Keiichiro; Ishino, Sakiko; Hayashi, Masahiko</t>
  </si>
  <si>
    <t>Water-soluble organic nitrogen in fine aerosols over the Southern Ocean</t>
  </si>
  <si>
    <t>ATMOSPHERIC ENVIRONMENT</t>
  </si>
  <si>
    <t>PM2.5; Marine aerosol; Remote ocean; WSON; Bioavailable nitrogen; Primary emission; Sea salt particle</t>
  </si>
  <si>
    <t>MARINE AEROSOLS; METHANESULFONATE; SULFATE; SEA; NUCLEATION; OXIDATION; SYOWA</t>
  </si>
  <si>
    <t>Shipboard measurements of the water-soluble organic nitrogen (WSON) in the aerosols over the remote ocean in the Indian sector of the Southern Ocean were conducted during three summer seasons. The aims of this study were to improve our understanding of the spatiotemporal distributions and potential sources of the WSON over this oceanic region. The average concentration of the WSON in the PM2.5 obtained in this study was 4.7 ng m(-3), which was within the reported values from a previous study over the Southern Ocean and lower than the reported over the lower latitude remote oceans. The average concentration ratio of the WSON/WSTN was 0.20. The WSON was an important piece of bioavailable nitrogen in the fine aerosols. The primary emission of sea salt particles was a principal source of the WSON. The temporal changes of the WSON concentrations were explained by the differences in the primary emission of sea salt particles.</t>
  </si>
  <si>
    <t>[Matsumoto, Kiyoshi; Kobayashi, Hiroshi] Univ Yamanashi, Div Life &amp; Environm Sci, Kofu, Japan; [Hara, Keiichiro; Hayashi, Masahiko] Fukuoka Univ, Fac Sci, Dept Earth Syst Sci, Fukuoka, Japan; [Ishino, Sakiko] Kanazawa Univ, Inst Nat &amp; Environm Technol, Kanazawa, Japan; [Matsumoto, Kiyoshi] 4-4-37 Takeda, Kofu 4008510, Japan</t>
  </si>
  <si>
    <t>University of Yamanashi; Fukuoka University; Kanazawa University</t>
  </si>
  <si>
    <t>Matsumoto, K (corresponding author), 4-4-37 Takeda, Kofu 4008510, Japan.</t>
  </si>
  <si>
    <t>kmatsumoto@yamanashi.ac.jp</t>
  </si>
  <si>
    <t>Ishino, Sakiko/HJX-9385-2023; Hara, Keiichiro/N-8264-2018</t>
  </si>
  <si>
    <t>Ishino, Sakiko/0000-0002-5897-7063;</t>
  </si>
  <si>
    <t>National Institute of Polar Research (NIPR); JARE; JSPS KAKENHI [16K05620]; JARE [AP0932]</t>
  </si>
  <si>
    <t>National Institute of Polar Research (NIPR)(National Institute of Polar Research (NIPR) - Japan); JARE; JSPS KAKENHI(Ministry of Education, Culture, Sports, Science and Technology, Japan (MEXT)Japan Society for the Promotion of ScienceGrants-in-Aid for Scientific Research (KAKENHI)); JARE</t>
  </si>
  <si>
    <t>The authors would like to greatly acknowledge Dr. K. Eryu and the members of the 58th, 59th, and 61st Japanese Antarctic Research Expedition (JARE) supported by National Institute of Polar Research (NIPR) , and the crew of the icebreaker Shirase for their support during the aerosol sample collections. We also thank the NOAA Air Resources Laboratory (ARL) for the provision of the HYSPLIT transport and dispersion model and READY website (http:// www.ready.noaa.gov) used in this publication. This study was conducted with logistics and funding by JARE as the science project of No. AP0932, and financially supported by JSPS KAKENHI (Grant Numbers 16K05620) .</t>
  </si>
  <si>
    <t>1352-2310</t>
  </si>
  <si>
    <t>1873-2844</t>
  </si>
  <si>
    <t>ATMOS ENVIRON</t>
  </si>
  <si>
    <t>Atmos. Environ.</t>
  </si>
  <si>
    <t>10.1016/j.atmosenv.2022.119287</t>
  </si>
  <si>
    <t>5Z0KN</t>
  </si>
  <si>
    <t>WOS:000879667600002</t>
  </si>
  <si>
    <t>Permann, C; Becker, B; Holzinger, A</t>
  </si>
  <si>
    <t>Permann, Charlotte; Becker, Burkhard; Holzinger, Andreas</t>
  </si>
  <si>
    <t>Temperature- and light stress adaptations in Zygnematophyceae: The challenges of a semi-terrestrial lifestyle</t>
  </si>
  <si>
    <t>abiotic stress; Antarctic; arctic; climate change; cold stress; heat stress; ultraviolet radiation</t>
  </si>
  <si>
    <t>GREEN-ALGA ZYGNEMA; ECOPHYSIOLOGICAL PERFORMANCE; DESICCATION TOLERANCE; ELECTRON-TRANSPORT; PHENOLIC-COMPOUNDS; ANTARCTIC STRAINS; OSMOTIC-STRESS; STREPTOPHYTA; UV; TERRESTRIAL</t>
  </si>
  <si>
    <t>Streptophyte green algae comprise the origin of land plants and therefore life on earth as we know it today. While terrestrialization opened new habitats, leaving the aquatic environment brought additional abiotic stresses. More-drastic temperature shifts and high light levels are major abiotic stresses in semi-terrestrial habitats, in addition to desiccation, which has been reviewed elsewhere. Zygnematophyceae, a species-rich class of streptophyte green algae, is considered a sister-group to embryophytes. They have developed a variety of avoidance and adaptation mechanisms to protect against temperature extremes and high radiation in the form of photosynthetically active and ultraviolet radiation (UV) radiation occurring on land. Recently, knowledge of transcriptomic and metabolomic changes as consequences of these stresses has become available. Land-plant stress-signaling pathways producing homologs of key enzymes have been described in Zygnematophyceae. An efficient adaptation strategy is their mat-like growth habit, which provides self-shading and protects lower layers from harmful radiation. Additionally, Zygnematophyceae possess phenolic compounds with UV-screening ability. Resting stages such as vegetative pre-akinetes tolerate freezing to a much higher extent than do young cells. Sexual reproduction occurs by conjugation without the formation of flagellated male gametes, which can be seen as an advantage in water-deficient habitats. The resulting zygospores possess a multilayer cell wall, contributing to their resistance to terrestrial conditions. Especially in the context of global change, understanding temperature and light tolerance is crucial.</t>
  </si>
  <si>
    <t>[Permann, Charlotte; Holzinger, Andreas] Univ Innsbruck, Dept Bot, Funct Plant Biol, Innsbruck, Austria; [Becker, Burkhard] Univ Cologne, Inst Plant Sci, Dept Biol, Cologne, Germany</t>
  </si>
  <si>
    <t>University of Innsbruck; University of Cologne</t>
  </si>
  <si>
    <t>Holzinger, A (corresponding author), Univ Innsbruck, Dept Bot, Funct Plant Biol, Innsbruck, Austria.</t>
  </si>
  <si>
    <t>Andreas.Holzinger@uibk.ac.at</t>
  </si>
  <si>
    <t>; Holzinger, Andreas/A-6396-2008; Becker, Burkhard/I-4022-2012</t>
  </si>
  <si>
    <t>Permann, Charlotte/0000-0003-0276-6053; Holzinger, Andreas/0000-0002-7745-3978; Becker, Burkhard/0000-0002-7965-1396</t>
  </si>
  <si>
    <t>JUL 19</t>
  </si>
  <si>
    <t>10.3389/fpls.2022.945394</t>
  </si>
  <si>
    <t>3L9IS</t>
  </si>
  <si>
    <t>WOS:000835074600001</t>
  </si>
  <si>
    <t>Cole, TL; Zhou, CR; Fang, MQ; Pan, HL; Ksepka, DT; Fiddaman, SR; Emerling, CA; Thomas, DB; Bi, XP; Fang, Q; Ellegaard, MR; Feng, SH; Smith, AL; Heath, TA; Tennyson, AJD; Borboroglu, PG; Wood, JR; Hadden, PW; Grosser, S; Bost, CA; Cherel, Y; Mattern, T; Hart, T; Sinding, MHS; Shepherd, LD; Phillips, RA; Quillfeldt, P; Masello, JF; Bouzat, JL; Ryan, PG; Thompson, DR; Ellenberg, U; Dann, P; Miller, G; Boersma, PD; Zhao, RP; Gilbert, MTP; Yang, HM; Zhang, DX; Zhang, GJ</t>
  </si>
  <si>
    <t>Cole, Theresa L.; Zhou, Chengran; Fang, Miaoquan; Pan, Hailin; Ksepka, Daniel T.; Fiddaman, Steven R.; Emerling, Christopher A.; Thomas, Daniel B.; Bi, Xupeng; Fang, Qi; Ellegaard, Martin R.; Feng, Shaohong; Smith, Adrian L.; Heath, Tracy A.; Tennyson, Alan J. D.; Borboroglu, Pablo Garcia; Wood, Jamie R.; Hadden, Peter W.; Grosser, Stefanie; Bost, Charles-Andre; Cherel, Yves; Mattern, Thomas; Hart, Tom; Sinding, Mikkel-Holger S.; Shepherd, Lara D.; Phillips, Richard A.; Quillfeldt, Petra; Masello, Juan F.; Bouzat, Juan L.; Ryan, Peter G.; Thompson, David R.; Ellenberg, Ursula; Dann, Peter; Miller, Gary; Boersma, P. Dee; Zhao, Ruoping; Gilbert, M. Thomas P.; Yang, Huanming; Zhang, De-Xing; Zhang, Guojie</t>
  </si>
  <si>
    <t>Genomic insights into the secondary aquatic transition of penguins</t>
  </si>
  <si>
    <t>CLIMATE; RECOGNITION; ADAPTATION; EVOLUTION; CHANNELS; PIGMENTS; REVEALS; RANGE; GENE; IRON</t>
  </si>
  <si>
    <t>Penguins lost the ability to fly more than 60 million years ago, subsequently evolving a hyper-specialized marine body plan. Within the framework of a genome-scale, fossil-inclusive phylogeny, we identify key geological events that shaped penguin diversification and genomic signatures consistent with widespread refugia/recolonization during major climate oscillations. We further identify a suite of genes potentially underpinning adaptations related to thermoregulation, oxygenation, diving, vision, diet, immunity and body size, which might have facilitated their remarkable secondary transition to an aquatic ecology. Our analyses indicate that penguins and their sister group (Procellariiformes) have the lowest evolutionary rates yet detected in birds. Together, these findings help improve our understanding of how penguins have transitioned to the marine environment, successfully colonizing some of the most extreme environments on Earth. This study examines the tempo and drivers of penguin diversification by combining genomes from all extant and recently extinct penguin lineages, stratigraphic data from fossil penguins and morphological and biogeographic data from all extant and extinct species. Together, these datasets provide new insights into the genetic basis and evolution of adaptations in penguins.</t>
  </si>
  <si>
    <t>[Cole, Theresa L.; Zhang, Guojie] Univ Copenhagen, Villum Ctr Biodivers Genom, Dept Biol, Sect Ecol &amp; Evolut, Ole Maaloes Vej 5, DK-2200 Copenhagen, Denmark; [Zhou, Chengran; Fang, Miaoquan; Pan, Hailin; Bi, Xupeng; Fang, Qi; Feng, Shaohong; Yang, Huanming; Zhang, Guojie] BGI Shenzhen, Shenzhen 518083, Peoples R China; [Ksepka, Daniel T.] Bruce Museum, Greenwich, CT 06830 USA; [Fiddaman, Steven R.; Smith, Adrian L.; Hart, Tom] Univ Oxford, Dept Zool, Peter Medawar Bldg Pathogen Res, Oxford OX1 3SZ, England; [Emerling, Christopher A.] Reedley Coll, Biol Dept, Reedley, CA 93654 USA; [Thomas, Daniel B.] Massey Univ, Sch Nat Sci, Auckland 0632, New Zealand; [Bi, Xupeng; Feng, Shaohong; Zhang, Guojie] Zhejiang Univ, Evolutionary &amp; Organismal Biol Res Ctr, Sch Med, Hangzhou 310058, Peoples R China; [Ellegaard, Martin R.; Sinding, Mikkel-Holger S.; Gilbert, M. Thomas P.] Univ Copenhagen, Fac Hlth &amp; Med Sci, Ctr Evolutionary Hologenomicss, GLOBE Inst, Oster Farimagsgade 5A, DK-1353 Copenhagen, Denmark; [Ellegaard, Martin R.; Gilbert, M. Thomas P.] Norwegian Univ Sci &amp; Technol, NTNU Univ Museum, Dept Nat Hist, Erling Skakkes Gate 47A, N-7012 Trondheim, Norway; [Heath, Tracy A.] Iowa State Univ, Dept Ecol Evolut &amp; Organismal Biol, 2200 Osborn Dr, Ames, IA 50011 USA; [Tennyson, Alan J. D.; Shepherd, Lara D.] Museum New Zealand Te Papa Tongarewa, POB 467, Wellington 6140, New Zealand; [Borboroglu, Pablo Garcia; Boersma, P. Dee] Univ Washington, Dept Biol, Ctr Ecosyst Sentinels, Seattle, WA 98195 USA; [Borboroglu, Pablo Garcia; Ellenberg, Ursula] Global Penguin Soc, RA-9120 Puerto Madryn, Argentina; [Borboroglu, Pablo Garcia] CESIMAR CCT Cenpat CONICET, RA-9120 Puerto Madryn, Chubut, Argentina; [Wood, Jamie R.] Univ Adelaide, Fac Sci Engn &amp; Technol, Sch Biol Sci, North Terrace Campus, Adelaide, SA 5005, Australia; [Hadden, Peter W.] Univ Auckland, Fac Med &amp; Hlth Sci, New Zealand Natl Eye Ctr, Dept Ophthalmol, Private Bag 92019, Auckland 1142, New Zealand; [Grosser, Stefanie; Mattern, Thomas] Univ Otago, Dept Zool, Dunedin 9054, New Zealand; [Bost, Charles-Andre; Cherel, Yves] La Rochelle Univ, Ctr Etud Biol Chize CEBC, UMR 7372, CNRS, F-79360 Villiers En Bois, France; [Phillips, Richard A.] British Antarctic Survey, Nat Environm Res Council, Cambridge CB3 0ET, England; [Quillfeldt, Petra; Masello, Juan F.] Justus Liebig Univ Giessen, Dept Anim Ecol &amp; Systemat, Heinrich Buff Ring 26, D-35392 Giessen, Germany; [Bouzat, Juan L.] Bowling Green State Univ, Dept Biol Sci, Bowling Green, OH 43403 USA; [Ryan, Peter G.] Univ Cape Town, FitzPatrick Inst African Ornithol, ZA-7701 Rondebosch, South Africa; [Thompson, David R.] Natl Inst Water &amp; Atmospher Res Ltd, Private Bag 14901, Wellington 6241, New Zealand; [Ellenberg, Ursula] La Trobe Univ, Dept Ecol Environm &amp; Evolut, Melbourne, Vic 3086, Australia; [Ellenberg, Ursula] Univ Otago, Dept Marine Sci, Dunedin 9016, New Zealand; [Dann, Peter] Phillip Isl Nat Pk, Res Dept, POB 97, Cowes, Vic 3922, Australia; [Miller, Gary] Univ Western Australia, Div Pathol &amp; Lab Med, Crawley, WA 6009, Australia; [Miller, Gary] Univ Tasmania, Inst Marine &amp; Antarctic Studies, Hobart, Tas 7001, Australia; [Zhao, Ruoping; Zhang, Guojie] Chinese Acad Sci, Kunming Inst Zool, State Key Lab Genet Resources &amp; Evolut, Kunming 650223, Yunnan, Peoples R China; [Yang, Huanming] James D Watson Inst Genome Sci, Hangzhou 310029, Peoples R China; [Yang, Huanming] BGI Shenzhen, Guangdong Prov Academician Workstn BGI Synthet Ge, Shenzhen 518120, Peoples R China; [Zhang, De-Xing] Chinese Acad Sci, Inst Zool, Ctr Computat &amp; Evolutionary Biol, 1 Beichen West Rd, Beijing 100101, Peoples R China; [Zhang, De-Xing] Chinese Acad Sci, Inst Zool, State Key Lab Integrated Management Pest Insects, 1 Beichen West Rd, Beijing 100101, Peoples R China; [Zhang, De-Xing] Univ Chinese Acad Sci, Coll Life Sci, 19 Yuquan Rd, Beijing 100049, Peoples R China; [Zhang, Guojie] Zhejiang Univ, Innovat Ctr Yangtze River Delta, Jiashan 314102, Peoples R China</t>
  </si>
  <si>
    <t>University of Copenhagen; Beijing Genomics Institute (BGI); University of Oxford; Massey University; Zhejiang University; University of Copenhagen; Norwegian University of Science &amp; Technology (NTNU); Iowa State University; University of Washington; University of Washington Seattle; University of Adelaide; University of Auckland; University of Otago; Centre National de la Recherche Scientifique (CNRS); CNRS - Institute of Ecology &amp; Environment (INEE); UK Research &amp; Innovation (UKRI); Natural Environment Research Council (NERC); NERC British Antarctic Survey; Justus Liebig University Giessen; University System of Ohio; Bowling Green State University; University of Cape Town; National Institute of Water &amp; Atmospheric Research (NIWA) - New Zealand; Melbourne Genomics Health Alliance; La Trobe University; University of Otago; University of Western Australia; University of Tasmania; Chinese Academy of Sciences; Kunming Institute of Zoology, CAS; Beijing Genomics Institute (BGI); Chinese Academy of Sciences; Chinese Academy of Sciences; Institute of Zoology, CAS; Chinese Academy of Sciences; University of Chinese Academy of Sciences, CAS; Zhejiang University</t>
  </si>
  <si>
    <t>Cole, TL; Zhang, GJ (corresponding author), Univ Copenhagen, Villum Ctr Biodivers Genom, Dept Biol, Sect Ecol &amp; Evolut, Ole Maaloes Vej 5, DK-2200 Copenhagen, Denmark.;Zhang, GJ (corresponding author), BGI Shenzhen, Shenzhen 518083, Peoples R China.;Zhang, GJ (corresponding author), Zhejiang Univ, Evolutionary &amp; Organismal Biol Res Ctr, Sch Med, Hangzhou 310058, Peoples R China.;Zhang, GJ (corresponding author), Chinese Acad Sci, Kunming Inst Zool, State Key Lab Genet Resources &amp; Evolut, Kunming 650223, Yunnan, Peoples R China.;Zhang, GJ (corresponding author), Zhejiang Univ, Innovat Ctr Yangtze River Delta, Jiashan 314102, Peoples R China.</t>
  </si>
  <si>
    <t>tesscole1990@gmail.com; guojiezhang@zju.edu.cn</t>
  </si>
  <si>
    <t>Wang, He/JCO-3900-2023; Zhang, Jinfan/JPK-7588-2023; zhang, yimeng/JLL-7337-2023; Sinding, Mikkel-Holger S./B-9450-2015; wang, wenjuan/JGD-0428-2023; Gilbert, Thomas/JSK-2650-2023; Fiddaman, Steven/HZL-9651-2023; zhang, xueying/JMB-7808-2023; Jiang, Yuan/JED-3759-2023; Zhou, heng/JCN-6493-2023; Yu, ZH/KBC-6889-2024; Shepherd, Lara D/E-6663-2011; Hadden, Peter/AAH-5861-2021; Zhang, Guojie/HCH-1880-2022; wu, meng/JPK-1930-2023; Yang, Huanming/C-6513-2013; Quillfeldt, Petra/A-9549-2009; Zhang, Guojie/J-7273-2019; Wood, Jamie/A-9393-2008; Masello, Juan Francisco/C-7133-2009; Gilbert, Marcus/A-8936-2013</t>
  </si>
  <si>
    <t>wang, wenjuan/0000-0002-4220-8817; Hadden, Peter/0000-0003-0352-5286; Yang, Huanming/0000-0002-0858-3410; Emerling, Christopher/0000-0002-7722-7305; Ryan, Peter/0000-0002-3356-2056; Fiddaman, Steven/0000-0001-8222-7687; Heath, Tracy/0000-0002-0087-2541; Quillfeldt, Petra/0000-0002-4450-8688; Fang, Qi/0000-0002-9181-8689; Zhang, Guojie/0000-0001-6860-1521; Wood, Jamie/0000-0001-8008-6083; Thomas, Daniel/0000-0001-7679-0991; Masello, Juan Francisco/0000-0002-6826-4016; Shepherd, Lara/0000-0002-7136-0017; Gilbert, Marcus/0000-0002-5805-7195</t>
  </si>
  <si>
    <t>National Key Research and Development Program of China (MOST) grant [2018YFC1406901]; International Partnership Program of Chinese Academy of Sciences [152453KYSB20170002]; National Natural Science Foundation of China [31901214, 32170626]; Villum Foundation [25900]; China National GeneBank</t>
  </si>
  <si>
    <t>National Key Research and Development Program of China (MOST) grant; International Partnership Program of Chinese Academy of Sciences; National Natural Science Foundation of China(National Natural Science Foundation of China (NSFC)); Villum Foundation(Villum Fonden); China National GeneBank</t>
  </si>
  <si>
    <t>We thank the British Antarctic Survey, Institut Polaire Francais (IPEV), Laura Seaman, and staff at SEALIFE Kelly Tarlton's Aquarium, Simone Giovanardi, Misha Vorobyev, David Ainley, Jason Turuwhenua, Nic Dussex, Kieren Mitchell, Damien Fordham, Stuart Brown, James Cahill, Shanlin Liu, Yun Zhao, Fang Li, Min Wu, Yun Wang, Guangji Chen, and B10K members for sample/data collection and discussions. This project was supported by the National Key Research and Development Program of China (MOST) grant (no. 2018YFC1406901) to D.-X.Z. and the International Partnership Program of Chinese Academy of Sciences (no. 152453KYSB20170002) to G.Z. This project was also supported by the National Natural Science Foundation of China grant (no. 31901214 and No. 32170626) to S.F. and a Villum Investigator grant (no. 25900) from The Villum Foundation to G.Z. This project was also funded by the China National GeneBank.</t>
  </si>
  <si>
    <t>10.1038/s41467-022-31508-9</t>
  </si>
  <si>
    <t>3B2QK</t>
  </si>
  <si>
    <t>WOS:000827790500016</t>
  </si>
  <si>
    <t>Barnes, TC; Broadhurst, MK; Johnson, DD</t>
  </si>
  <si>
    <t>Barnes, Thomas C.; Broadhurst, Matt K.; Johnson, Daniel D.</t>
  </si>
  <si>
    <t>Fleet-wide acceptance of escape gaps and their utility for reducing bycatch in south-eastern Australian Portunus armatus traps</t>
  </si>
  <si>
    <t>FISHERIES MANAGEMENT AND ECOLOGY</t>
  </si>
  <si>
    <t>bycatch reduction devices; cull rings; discarding; portunids; pots; vents</t>
  </si>
  <si>
    <t>BLUE SWIMMING CRAB; MESH SIZE; IMPROVE SIZE; PELAGICUS; MORTALITY; SELECTIVITY; VENTS; CATCH; POTS</t>
  </si>
  <si>
    <t>In response to widescale, voluntary uptake of escape gaps by commercial trappers using collapsible netted cylindrical (or round) traps targeting blue swimmer crabs, Portunus armatus, in south-eastern Australia, an observer--based study was used to assess the adoption and effectiveness of the most common escape gaps across two estuaries responsible for &gt;70% of all harvest. Five observers collected data from 5710 deployments of round traps over 116 days. Among 60% of round traps with escape gaps, 73% were rectangular shaped, and the rest were either circular or square. Catches were dominated by P. armatus (93%), but similar to 60% were undersized (&lt;65-mm carapace length; CL). Compared with round traps with no escape gaps, traps with a rectangular design consistently retained fewer undersized P. armatus (by up to 54%); similar to earlier, manipulative experiments. However, unlike previous observations, escape-gap performance did not significantly improve with increasing catches of P. armatus. Eventual 100% adoption of escape gaps should enable large numbers of undersized P. armatus to escape traps and avoid discarding each year in south-eastern Australia.</t>
  </si>
  <si>
    <t>[Barnes, Thomas C.; Johnson, Daniel D.] Port Stephens Fisheries Inst, NSW Dept Primary Ind, Locked Bag 1, Nelson Bay, NSW 2315, Australia; [Barnes, Thomas C.] Univ Tasmania, Inst Marine &amp; Antarctic Studies, Hobart, Tas, Australia; [Broadhurst, Matt K.] Southern Cross Univ, NSW Dept Primary Ind, Fisheries Conservat Technol Unit, Natl Marine Sci Ctr, Coffs Harbour, NSW, Australia; [Broadhurst, Matt K.] Univ Queensland, Sch Biol Sci, Marine &amp; Estuarine Ecol Unit, Brisbane, Qld, Australia</t>
  </si>
  <si>
    <t>NSW Department of Primary Industries; University of Tasmania; NSW Department of Primary Industries; Southern Cross University; University of Queensland</t>
  </si>
  <si>
    <t>Barnes, TC (corresponding author), Port Stephens Fisheries Inst, NSW Dept Primary Ind, Locked Bag 1, Nelson Bay, NSW 2315, Australia.</t>
  </si>
  <si>
    <t>tom.barnes@dpi.nsw.gov.au</t>
  </si>
  <si>
    <t>Johnson, Daniel D/N-9305-2016; Broadhurst, Matt/I-6783-2015</t>
  </si>
  <si>
    <t>Barnes, Thomas C./0000-0003-1493-1407; Broadhurst, Matt/0000-0003-0184-7249; Johnson, Daniel/0000-0003-3119-5560</t>
  </si>
  <si>
    <t>NSW Marine Estate Management Strategy</t>
  </si>
  <si>
    <t>0969-997X</t>
  </si>
  <si>
    <t>1365-2400</t>
  </si>
  <si>
    <t>FISHERIES MANAG ECOL</t>
  </si>
  <si>
    <t>Fisheries Manag. Ecol.</t>
  </si>
  <si>
    <t>10.1111/fme.12586</t>
  </si>
  <si>
    <t>5U8TB</t>
  </si>
  <si>
    <t>WOS:000827301600001</t>
  </si>
  <si>
    <t>Leiva, C; Riesgo, A; Combosch, D; Arias, MB; Giribet, G; Downey, R; Kenny, NJ; Taboada, S</t>
  </si>
  <si>
    <t>Leiva, Carlos; Riesgo, Ana; Combosch, David; Arias, Maria Belen; Giribet, Gonzalo; Downey, Rachel; Kenny, Nathan James; Taboada, Sergi</t>
  </si>
  <si>
    <t>Guiding marine protected area network design with comparative phylogeography and population genomics: An exemplary case from the Southern Ocean</t>
  </si>
  <si>
    <t>CCAMLR; COI; D1MPA; ddRADseq-derived SNPs; South Georgia and South Sandwich Islands; South Orkney Islands; stepping stones; Western Antarctic Peninsula</t>
  </si>
  <si>
    <t>GENETIC-STRUCTURE; SCOTIA ARC; ANTARCTIC PENINSULA; R-PACKAGE; DISPERSAL; MITOCHONDRIAL; DIVERSITY; SOFTWARE; ATLANTIC; PATTERNS</t>
  </si>
  <si>
    <t>Aim Networks of connected marine protected areas (MPAn) are recognized as the key area-based management tool to preserve biodiversity, moderate exploitation of marine resources and increase ecological resilience to climate change. Although population genetic studies could greatly benefit connectivity assessments between MPAs, genetic data are rarely used in MPAn planning. Here, we aim to illustrate the use of a multispecies and multilocus approach to provide recommendations for MPAn design, highlighting the importance of the species selected and the analyses performed. Our study is focused on the Southern Ocean, an area of keen multinational interest given its scientific significance, economic importance and its unique, shared legal status. Location South Georgia and South Sandwich Islands MPA (SGSSI MPA), the South Orkney Islands and the Western Antarctic Peninsula (WAP)-where an MPA was proposed in 2018 (Domain 1 MPA) but has not been approved by the Commission for the Conservation of the Antarctic Marine Living Resources (CCAMLR). Methods Our datasets include 819 individuals from five different species with contrasting life-history strategies: two nemerteans (Antarctonemertes valida and A. riesgoae), two annelids (Pterocirrus giribeti and Neanthes kerguelensis) and one sponge (Mycale [Oxymycale] acerata). To identify genetic connectivity patterns in our study area, spanning roughly 2500 km, we used the COI mitochondrial marker and genome-wide ddRADseq-derived SNPs. Results A consistent lack of connectivity between SGSSI MPA and the WAP was found for all studied species. Additionally, our data indicated a stepping-stone role for the South Orkney Islands between these two genetically differentiated regions. Main conclusions Our results reveal how the application of comparative phylogeography and population genomics can guide policymakers in their decision-making process during MPAn design. We detected priority areas for conservation in Antarctica, including the South Orkney Islands and the WAP, providing strong evidence for the implementation of the Domain 1 MPA.</t>
  </si>
  <si>
    <t>[Leiva, Carlos; Combosch, David] Univ Guam, Marine Lab, 303 Univ Dr, Mangilao, GU 96923 USA; [Leiva, Carlos; Riesgo, Ana; Arias, Maria Belen; Kenny, Nathan James; Taboada, Sergi] Nat Hist Museum, Life Sci Dept, Cromwell Rd, London SW7 5BD, England; [Riesgo, Ana] CSIC, Natl Museum Nat Sci, Dept Biodivers &amp; Evolutionary Biol, Madrid, Spain; [Combosch, David; Giribet, Gonzalo] Harvard Univ, Museum Comparat Zool, Cambridge, MA 02138 USA; [Arias, Maria Belen] Harvard Univ, Dept Organism &amp; Evolutionary Biol, Cambridge, MA 02138 USA; [Downey, Rachel] Univ Essex, Sch Life Sci, Colchester Campus, Colchester, Essex, England; [Kenny, Nathan James] Australian Natl Univ, Fenner Sch Environm &amp; Soc, Acton, ACT, Australia; [Taboada, Sergi] Univ Otago, Dept Biochem, Dunedin, New Zealand; [Taboada, Sergi] Univ Complutense Madrid, Dept Biodiversidad Ecol &amp; Evoluc, Madrid, Spain; [Taboada, Sergi] Univ Alcala, Dept Ciencias Vida, Apdo 20, Alcala De Henares, Spain</t>
  </si>
  <si>
    <t>University of Guam; Natural History Museum London; Consejo Superior de Investigaciones Cientificas (CSIC); Harvard University; Harvard University; University of Essex; Australian National University; University of Otago; Complutense University of Madrid; Universidad de Alcala</t>
  </si>
  <si>
    <t>Leiva, C (corresponding author), Univ Guam, Marine Lab, 303 Univ Dr, Mangilao, GU 96923 USA.;Leiva, C; Riesgo, A (corresponding author), Nat Hist Museum, Life Sci Dept, Cromwell Rd, London SW7 5BD, England.</t>
  </si>
  <si>
    <t>cleivama@gmail.com; anariesgogil@gmail.com</t>
  </si>
  <si>
    <t>Arias, Maria Belen/AAB-3144-2020; Leiva, Carlos/ACB-7534-2022; Riesgo, Ana/E-3341-2014; Downey, Rachel/Q-4156-2019; Kenny, Nathan/AAD-2391-2020; Giribet, Gonzalo/P-1086-2015</t>
  </si>
  <si>
    <t>Arias, Maria Belen/0000-0002-5538-5177; Riesgo, Ana/0000-0002-7993-1523; Kenny, Nathan/0000-0003-4816-4103; Downey, Rachel/0000-0001-9275-8879; Taboada, Sergio/0000-0003-1669-1152; Giribet, Gonzalo/0000-0002-5467-8429; Combosch, David/0000-0001-7004-7435</t>
  </si>
  <si>
    <t>Natural History Museum, London [SDF14032, SDR17012]; Genetics Society; Spanish Ministry of Economy and Competitiveness [ACTIQUIM II: CTM2010-17415/ANT, DISTANTCOM: CTM2013-42667/ANT]; Faculty of Arts and Sciences, Harvard University; Spanish Ministry of Science and Innovation, FPI program [BES-2014-070830]; Spanish Government, 'Juan de la Cierva-Incorporacion' program [IJCI-2017-33,116]; Spanish Ministry of Science, Innovation and Universities [EVOSEX: PID2019-105769GB-100]; 'BecasChile Postdoctoral en el extranjero' ANID-Chile</t>
  </si>
  <si>
    <t>Natural History Museum, London; Genetics Society; Spanish Ministry of Economy and Competitiveness(Spanish Government); Faculty of Arts and Sciences, Harvard University; Spanish Ministry of Science and Innovation, FPI program; Spanish Government, 'Juan de la Cierva-Incorporacion' program; Spanish Ministry of Science, Innovation and Universities(Spanish Government); 'BecasChile Postdoctoral en el extranjero' ANID-Chile</t>
  </si>
  <si>
    <t>Funding for this study came from two DIF grants from The Natural History Museum, London, (SDF14032 and SDR17012) to A.R., a Heredity Fieldwork Grant from the Genetics Society to C.L., two grants from the Spanish Ministry of Economy and Competitiveness in which C.L., G.G., A.R. and S.T. were involved (ACTIQUIM II: CTM2010-17415/ANT and DISTANTCOM: CTM2013-42667/ANT), and internal funds from the Faculty of Arts and Sciences, Harvard University, to G.G. Funding also came from the Spanish Ministry of Science and Innovation, FPI program (BES-2014-070830) to C. L., the Spanish Government, 'Juan de la Cierva-Incorporacion' program (IJCI-2017-33,116) to S.T. and the Spanish Ministry of Science, Innovation and Universities (EVOSEX: PID2019-105769GB-100) to A. R. MBA was funded by `BecasChile Postdoctoral en el extranjero' ANID-Chile</t>
  </si>
  <si>
    <t>10.1111/ddi.13590</t>
  </si>
  <si>
    <t>5C7YL</t>
  </si>
  <si>
    <t>WOS:000827312900001</t>
  </si>
  <si>
    <t>Jong, LM; Plummer, CT; Roberts, JL; Moy, AD; Curran, MAJ; Vance, TR; Pedro, JB; Long, CA; Nation, M; Mayewski, PA; van Ommen, TD</t>
  </si>
  <si>
    <t>Jong, Lenneke M.; Plummer, Christopher T.; Roberts, Jason L.; Moy, Andrew D.; Curran, Mark A. J.; Vance, Tessa R.; Pedro, Joel B.; Long, Chelsea A.; Nation, Meredith; Mayewski, Paul A.; van Ommen, Tas D.</t>
  </si>
  <si>
    <t>2000 years of annual ice core data from Law Dome, East Antarctica</t>
  </si>
  <si>
    <t>CLIMATE VARIABILITY; SNOW ACCUMULATION; MAJOR IONS; CHRONOLOGY; RECORD; PROXY</t>
  </si>
  <si>
    <t>Ice core records from Law Dome in East Antarctica collected over the last four decades provide highresolution data for studies of the climate of Antarctica, Australia, and the Southern and Indo-Pacific oceans. Here, we present a set of annually dated records of trace chemistry, stable water isotopes and snow accumulation from Law Dome covering the period from -1 to 2017 CE (1961 to -6 BP 1950) and the level-1 chemistry data from which the annual chemistry records are derived. Law Dome ice core records have been used extensively in studies of the past climate of the Southern Hemisphere and in large-scale data syntheses and reconstructions in a region where few records exist, especially at high temporal resolution. This dataset provides an update and extensions both forward and back in time of previously published subsets of the data, bringing them together into a coherent set with improved dating to enable continued use of this record. The data are available for download from the Australian Antarctic Data Centre at https://doi.org/10.26179/5zm0-v192 (Curran et al., 2021).</t>
  </si>
  <si>
    <t>[Jong, Lenneke M.; Roberts, Jason L.; Moy, Andrew D.; Curran, Mark A. J.; Pedro, Joel B.; Nation, Meredith; van Ommen, Tas D.] Australian Antarctic Div, Dept Climate Change Energy Environm &amp; Water, Kingston, Tas, Australia; [Jong, Lenneke M.; Plummer, Christopher T.; Roberts, Jason L.; Moy, Andrew D.; Curran, Mark A. J.; Vance, Tessa R.; Pedro, Joel B.; Long, Chelsea A.; Nation, Meredith; van Ommen, Tas D.] Univ Tasmania, Australian Antarct Program Partnership, Inst Marine &amp; Antarctic Studies, Hobart, Tas, Australia; [Mayewski, Paul A.] Univ Maine, Climate Change Inst, Orono, ME USA</t>
  </si>
  <si>
    <t>Australian Antarctic Division; University of Tasmania; University of Maine System; University of Maine Orono</t>
  </si>
  <si>
    <t>Jong, LM (corresponding author), Australian Antarctic Div, Dept Climate Change Energy Environm &amp; Water, Kingston, Tas, Australia.;Jong, LM (corresponding author), Univ Tasmania, Australian Antarct Program Partnership, Inst Marine &amp; Antarctic Studies, Hobart, Tas, Australia.</t>
  </si>
  <si>
    <t>lenneke.jong@aad.gov.au</t>
  </si>
  <si>
    <t>Jong, Lenneke M/AAT-3230-2020; van Ommen, Tas D/B-5020-2012; Mayewski, Paul Andrew/HRD-6969-2023; Pedro, Dr Joel B./M-5632-2014</t>
  </si>
  <si>
    <t>Jong, Lenneke M/0000-0001-6707-570X; Moy, Andrew/0000-0002-7664-9960; Long, Chelsea/0000-0001-7381-9082; Roberts, Jason/0000-0002-3477-4069; Plummer, Christopher/0000-0002-9765-5753; Vance, Tessa/0000-0001-6970-8646; Pedro, Dr Joel B./0000-0002-0728-2712</t>
  </si>
  <si>
    <t>Australian Antarctic Division [AAS 757, 4061, 4062, 4537]; Department of Industry, Science, Energy and Resources, Australian Government [ASCI000002]; National Science Foundation [OPP-9811857, ATM-9808963]; Australian Research Council [DP180102522, SR140300001]</t>
  </si>
  <si>
    <t>Australian Antarctic Division; Department of Industry, Science, Energy and Resources, Australian Government; National Science Foundation(National Science Foundation (NSF)); Australian Research Council(Australian Research Council)</t>
  </si>
  <si>
    <t>This research has been supported by the Australian Antarctic Division (grant nos. AAS 757, 4061, 4062, and 4537), the Department of Industry, Science, Energy and Resources, Australian Government (grant no. ASCI000002), the National Science Foundation (grant nos. OPP-9811857 and ATM-9808963) and the Australian Research Council (grant nos. DP180102522 and SR140300001).</t>
  </si>
  <si>
    <t>10.5194/essd-14-3313-2022</t>
  </si>
  <si>
    <t>2Z9RK</t>
  </si>
  <si>
    <t>WOS:000826905400001</t>
  </si>
  <si>
    <t>Chuku, EO; Effah, E; Adotey, J; Abrokwah, S; Adade, R; Okyere, I; Aheto, DW; Kent, K; Osei, IK; Omogbemi, ED; Adité, A; Ahoedo, K; Sankoh, SK; Soro, Y; Wélé, M; Saine, DF; Crawford, B</t>
  </si>
  <si>
    <t>Chuku, Ernest Obeng; Effah, Elizabeth; Adotey, Joshua; Abrokwah, Sika; Adade, Richard; Okyere, Isaac; Aheto, Denis Worlanyo; Kent, Karen; Osei, Isaac Kofi; Omogbemi, Emmanuel Dami; Adite, Alphonse; Ahoedo, Kossi; Sankoh, Salieu Kabba; Soro, Yaya; Wele, Moussa; Saine, Dawda Foday; Crawford, Brian</t>
  </si>
  <si>
    <t>Spotlighting Women-Led Fisheries Livelihoods Toward Sustainable Coastal Governance: The Estuarine and Mangrove Ecosystem Shellfisheries of West Africa</t>
  </si>
  <si>
    <t>shellfish; women; livelihood; fisheries governance; co-management; estuary; mangrove; Africa</t>
  </si>
  <si>
    <t>SMALL-SCALE FISHERIES; PINCTADA-MARGARITIFERA; PEARL OYSTER; MANAGEMENT; ABUNDANCE</t>
  </si>
  <si>
    <t>The governance of coastal and marine resources remains a complex socio-ecological endeavor in many African countries, but women are leading the way and demonstrating a pathway for food fish security through rights-based co-management of shellfisheries in estuarine and mangrove ecosystems in West Africa. We report comprehensively, for the first time, the scale of estuarine and mangrove ecosystem-based shellfisheries across the West African coast (Senegal, Gambia, Guinea Bissau, Guinea, Sierra Leone, Liberia, Cote d'Ivoire, Ghana, Togo, Benin, and Nigeria), the gender dynamics, and implications for the sustainable management of this small-scale fishery. We find an extensive geographical coverage of active shellfisheries within these ecosystems with close to 571,000 household beneficiaries and over 50,000 harvesters, mainly women, being the primary resource users. An annual shellfish harvest of over 300,000 MT valued at USD 336 million is potentially undocumented across the region. Harvested shellfish species of economic importance comprised 18 species of mollusks, 11 species of crustaceans, and a few unidentified groups of gastropods, crustaceans, and cephalopods. The West African mangrove oyster, periwinkle, bloody cockle, whelk, and razor clam were, in that order, the most harvested estuarine shellfish. The bivalve and gastropod value chains are dominated by women harvesters at all nodes whereas women play significant roles in the processing and marketing of crustacean and cephalopod fisheries. Formal laws specific to the regulation of estuarine shellfisheries are generally nonexistent, however, the organized women shellfish harvester groups of the Tanbi wetlands (The Gambia) and Densu Delta (Ghana) have championed sustainable governance actions resulting in successful women resource user-led fisheries co-management. The elements of success and opportunities for scaling up these examples are discussed. The presence of such groups in several locations offers an entry point for replicating a similar co-management approach across the West African coast.</t>
  </si>
  <si>
    <t>[Chuku, Ernest Obeng; Effah, Elizabeth; Adotey, Joshua; Abrokwah, Sika; Adade, Richard; Okyere, Isaac; Aheto, Denis Worlanyo; Osei, Isaac Kofi] Univ Cape Coast, Ctr Coastal Management, Afr Ctr Excellence Coastal Resilience, Cape Coast, Ghana; [Chuku, Ernest Obeng] Univ Tasmania, Inst Marine &amp; Antarctic Studies IMAS, Hobart, Tas, Australia; [Okyere, Isaac; Aheto, Denis Worlanyo; Osei, Isaac Kofi] Univ Cape Coast, Dept Fisheries &amp; Aquat Sci, Cape Coast, Ghana; [Kent, Karen; Crawford, Brian] Univ Rhode Isl, Coastal Resources Ctr, Grad Sch Oceanog, Narragansett, RI USA; [Omogbemi, Emmanuel Dami] Univ Ibadan, Dept Zool, Ibadan, Nigeria; [Adite, Alphonse] Univ Abomey Calavi, Fac Sci &amp; Tech, Dept Zool, Abomey Calavi, Benin; [Ahoedo, Kossi] Minist Maritime Econ Fisheries &amp; Coastal Protect, Directorate Fisheries &amp; Aquaculture, Lome, Togo; [Sankoh, Salieu Kabba] Univ Sierra Leone, Inst Marine Biol &amp; Oceanog, Fourah Bay Coll, Freetown, Sierra Leone; [Sankoh, Salieu Kabba] Univ Sierra Leone, Fourah Bay Coll, Dept Biol Sci, Freetown, Sierra Leone; [Soro, Yaya] Univ Nangui Abrogoua, Unite Format &amp; Rech UFR Sci Nat, Pole Peche &amp; Aquaculture, Abidjan, Cote Ivoire; [Soro, Yaya] Swiss Ctr Sci Res CSRS, Conservat &amp; Dev Nat Resources CVRN, Abidjan, Cote Ivoire; [Wele, Moussa] Univ Cheikh Anta Diop Dakar, Ecole Doctorale Etud Homme &amp; Soc ETHOS, Dakar, Senegal; [Saine, Dawda Foday] African Fish &amp; Wildlife Conservancy, Fish &amp; Wildlife Unit, Kanifing Municipal, Gambia</t>
  </si>
  <si>
    <t>University of Cape Coast; University of Tasmania; University of Cape Coast; University of Rhode Island; University of Ibadan; University of Abomey Calavi; Universite Nangui Abrogoua; Centre Suisse de Recherches Scientifiques en Cote d'Ivoire (CSRS); University Cheikh Anta Diop Dakar</t>
  </si>
  <si>
    <t>Chuku, EO (corresponding author), Univ Cape Coast, Ctr Coastal Management, Afr Ctr Excellence Coastal Resilience, Cape Coast, Ghana.;Chuku, EO (corresponding author), Univ Tasmania, Inst Marine &amp; Antarctic Studies IMAS, Hobart, Tas, Australia.</t>
  </si>
  <si>
    <t>eobengchuku@ucc.edu.gh</t>
  </si>
  <si>
    <t>Chuku, Ernest/C-1718-2019; Okyere, Isaac/A-9053-2017</t>
  </si>
  <si>
    <t>Chuku, Ernest/0000-0003-2716-5510;</t>
  </si>
  <si>
    <t>United States Agency for International Development (USAID) Washington [7200AA20FA00031]; [BAA-AFR-SD-2020]</t>
  </si>
  <si>
    <t>United States Agency for International Development (USAID) Washington(United States Agency for International Development (USAID));</t>
  </si>
  <si>
    <t>Funding for all aspects of this study was provided by the United States Agency for International Development (USAID) Washington through the Women Shellfishers and Food Security Project [BAA-AFR-SD-2020 Addendum 01 (Fixed Amount Award No. 7200AA20FA00031)].</t>
  </si>
  <si>
    <t>JUL 18</t>
  </si>
  <si>
    <t>10.3389/fmars.2022.884715</t>
  </si>
  <si>
    <t>6R1IV</t>
  </si>
  <si>
    <t>WOS:000892063700001</t>
  </si>
  <si>
    <t>Gain, D; Chatterjee, S; Mondal, S</t>
  </si>
  <si>
    <t>Gain, Debesh; Chatterjee, Saurodeep; Mondal, Supriya</t>
  </si>
  <si>
    <t>Rock magnetism and AMS studies in Kondapalle-Pangidi layered complex, Eastern Ghats Belt, India: Remanence carriers and tectonic implications</t>
  </si>
  <si>
    <t>PHYSICS OF THE EARTH AND PLANETARY INTERIORS</t>
  </si>
  <si>
    <t>Rock magnetism; AMS; Kondapalle; Deformation; Magnetic fabrics</t>
  </si>
  <si>
    <t>GRADE METAMORPHIC ROCKS; CHILKA LAKE AREA; REGIONAL DEFORMATION; FABRIC ANALYSIS; GRANULITE BELT; ANDHRA-PRADESH; SHAPE FABRICS; SHEAR ZONES; SM-ND; U-PB</t>
  </si>
  <si>
    <t>The present study is an integrated approach towards the rock magnetism and Anisotropy of Magnetic Suscep-tibility (AMS) of the high-grade metamorphic rocks in the Kondapalle Pangidi Layered Complex (KPLC), Eastern Ghats Belt (EGB), India. Our study aims at determining the petrography, rock magnetic properties and the magnetic fabrics. The rock magnetic properties and the magnetic fabrics from AMS studies are used to determine their tectonic implications. Petrography reveals that the chief remanence carrier mineral is Ti-magnetite. Rock magnetic studies including Isothermal Remanent Magnetization (IRM), back-field IRM, hysteresis loop studies, and thermo-magnetic studies reveals the same. The magnetic hysteresis parameters (remanence and coercivity) are used to determine the magnetic domains from a modified Day plot. The magnetic domains lie within Stable Single Domain and Pseudo Single Domain ranges, thereby explaining their potential to record an ancient magnetic field. Besides the ferrimagnetic remanence carriers, paramagnetic silicates are also dominant which controlled the development of magnetic fabric. The magnetic fabric bears analogy with the regional structures and bear tectonic implications related to the post-rifting closure of the ocean followed by subduction of the ocean basin, accretionary orogeny and felsic magmatism in the Indo-Antarctic continental blocks.</t>
  </si>
  <si>
    <t>[Gain, Debesh; Mondal, Supriya] Jadavpur Univ, Dept Geol Sci, Kolkata 700032, India; [Chatterjee, Saurodeep] Indian Inst Technol ISM, Dept Appl Geol, Dhanbad 826004, India; [Chatterjee, Saurodeep] Inst Technol ISM, Dhanbad 826004, India</t>
  </si>
  <si>
    <t>Jadavpur University; Indian Institute of Technology System (IIT System); Indian Institute of Technology (Indian School of Mines) Dhanbad</t>
  </si>
  <si>
    <t>Chatterjee, S (corresponding author), Inst Technol ISM, Dhanbad 826004, India.</t>
  </si>
  <si>
    <t>chatterjeesaurodeep@gmail.com</t>
  </si>
  <si>
    <t>Council for Scientific and Industrial Research (CSIR, Government of India) [09/096 (0895) /2017-EMR-I]; Dean (Research and Development) , IIT (ISM) Dhanbad [DAR/PDF/AGL/2020]</t>
  </si>
  <si>
    <t>Council for Scientific and Industrial Research (CSIR, Government of India)(Council of Scientific &amp; Industrial Research (CSIR) - India); Dean (Research and Development) , IIT (ISM) Dhanbad</t>
  </si>
  <si>
    <t>DG acknowledges the Council for Scientific and Industrial Research (CSIR, Government of India) for JRF and SRF vide award no. 09/096 (0895) /2017-EMR-I. SC acknowledges the Dean (Research and Devel- opment) , IIT (ISM) Dhanbad for Post-Doctoral Fellowship vide letter no. DAR/PDF/AGL/2020. All the authors acknowledge the Department of Geological Sciences, Jadavpur University, Kolkata (India) for providing the infrastructure to research and Prof. N. Basavaiah (IIG, Navi Mumbai) for fruitful suggestions during the preparation and revision of the manuscript along with analytical support. The authors also acknowledge Prof. Dominique Jault for editorial support and anonymous reviewers whose extensive review shaped the paper to its present form.</t>
  </si>
  <si>
    <t>0031-9201</t>
  </si>
  <si>
    <t>1872-7395</t>
  </si>
  <si>
    <t>PHYS EARTH PLANET IN</t>
  </si>
  <si>
    <t>Phys. Earth Planet. Inter.</t>
  </si>
  <si>
    <t>AUG-SEP</t>
  </si>
  <si>
    <t>10.1016/j.pepi.2022.106910</t>
  </si>
  <si>
    <t>3Y6WF</t>
  </si>
  <si>
    <t>WOS:000843862800001</t>
  </si>
  <si>
    <t>Beltrán-Sanz, N; Raggio, J; Green, A; Pintado, A; Sancho, LG; Gonzalez, S; Dal Grande, F; Prost, S</t>
  </si>
  <si>
    <t>Beltran-Sanz, Nuria; Raggio, Jose; Green, Allan; Pintado, Ana; Sancho, Leopoldo Garcia; Gonzalez, Sergi; Dal Grande, Francesco; Prost, Stefan</t>
  </si>
  <si>
    <t>Climate change leads to higher NPP at the end of the century in the Antarctic Tundra: Response patterns through the lens of lichens (vol 835, 155495, 2022)</t>
  </si>
  <si>
    <t>[Beltran-Sanz, Nuria; Raggio, Jose; Green, Allan; Pintado, Ana; Sancho, Leopoldo Garcia] Univ Complutense Madrid, Dept Biol Vegetal 2, Fac Farm, Madrid 28040, Spain; [Gonzalez, Sergi] AEMET, Antarctic Grp, Spanish Meteorol Serv, Madrid, Spain; [Dal Grande, Francesco] Senckenberg Gesell Naturforsch, Senckenberg Biodivers &amp; Climate Res Ctr SBiK F, Senckenberganlage 25, D-60325 Frankfurt, Germany; [Prost, Stefan] Univ Vienna, Dept Behav &amp; Cognit Biol, Althan str 14, A-1090 Vienna, Austria; [Prost, Stefan] Univ Vet Med, Konrad Lorenz Inst Ethol, Savoyen str 1a, A-1160 Vienna, Austria; [Prost, Stefan] Nat Hist Museum Vienna, Cent Res Labs, Burgring 7, A-1010 Vienna, Austria; [Prost, Stefan] South African Natl Biodivers Inst, POB 754, ZA-0001 Pretoria, South Africa</t>
  </si>
  <si>
    <t>Complutense University of Madrid; Agencia Estatal de Meteorologia (AEMET); Senckenberg Biodiversitat &amp; Klima- Forschungszentrum (BiK-F); Senckenberg Gesellschaft fur Naturforschung (SGN); University of Vienna; University of Veterinary Medicine Vienna; South African National Biodiversity Institute</t>
  </si>
  <si>
    <t>Beltrán-Sanz, N (corresponding author), Univ Complutense Madrid, Dept Biol Vegetal 2, Fac Farm, Madrid 28040, Spain.</t>
  </si>
  <si>
    <t>nbeltran@ucm.es</t>
  </si>
  <si>
    <t>Gonzalez-Herrero, Sergi/Y-7279-2018; SANCHO, LEOPOLDO G/G-9120-2015; Raggio, Jose/H-4167-2015</t>
  </si>
  <si>
    <t>Gonzalez-Herrero, Sergi/0000-0002-2505-2435;</t>
  </si>
  <si>
    <t>10.1016/j.scitotenv.2022.157380</t>
  </si>
  <si>
    <t>3G7XR</t>
  </si>
  <si>
    <t>WOS:000831563300008</t>
  </si>
  <si>
    <t>Day, RD; Fitzgibbon, QP; McCauley, RD; Baker, KB; Semmens, JM</t>
  </si>
  <si>
    <t>Day, Ryan D.; Fitzgibbon, Quinn P.; McCauley, Robert D.; Baker, Katherine B.; Semmens, Jayson M.</t>
  </si>
  <si>
    <t>The impact of seismic survey exposure on the righting reflex and moult cycle of Southern Rock Lobster (Jasus edwardsii) puerulus larvae and juveniles</t>
  </si>
  <si>
    <t>Aquatic noise; Invertebrate; Air gun</t>
  </si>
  <si>
    <t>SPINY LOBSTER; NUTRITIONAL CONDITION; HUTTON CRUSTACEA; GENE-EXPRESSION; ESCAPE BEHAVIOR; TAIL-FLIP; NOISE; GROWTH; PALINURIDAE; ACTIVATION</t>
  </si>
  <si>
    <t>Anthropogenic aquatic noise is recognised as an environmental pollutant with the potential to negatively affect marine organisms. Seismic surveys, used to explore subseafloor oil reserves, are a common source of aquatic noise that have garnered attention due to their intense low frequency inputs and their frequent spatial overlap with coastal fisheries. Commercially important Southern Rock Lobster (Jasus edwardsii) adults have previously shown sensitivity to signals from a single seismic air gun. Here, the sensitivity of J. edwardsii juveniles and puerulus to the signals of a full-scale seismic survey were evaluated to determine if early developmental stages were affected similarly to adults, and the range of impact. To quantify impact, lobster mortality rates, dorso-ventral righting reflex and progression through moult cycle were evaluated following exposure. Exposure did not result in mortality in either developmental stage, however, air gun signals caused righting impairment to at least 500 m in lobsters sampled immediately following exposure, as had previously been reported in adults with corresponding sensory system damage following exposure. Impairment resulting from close range (0 m) exposure appeared to be persistent, as previously reported in adults, whereas juveniles exposed at a more distant range (500 m) showed recovery, indicating that exposure at a range of 500 m may not cause lasting impairment to righting. Intermoult duration was (time between moults) significantly increased in juveniles exposed at 0 m from the source, indicating the potential for slowed development, growth, and physiological stress. These results demonstrate that exposure to seismic air gun signals have the potential to negatively impact early life history stages of Southern Rock Lobsters. The similarity of both the impacts and the sound exposure levels observed here compared to previous exposure using a single air gun offer validation for the approach, which opens the potential for accessible field-based experimental work into the impact of seismic surveys on marine invertebrates.</t>
  </si>
  <si>
    <t>[Day, Ryan D.; Fitzgibbon, Quinn P.; Semmens, Jayson M.] Univ Tasmania, Inst Marine &amp; Antarctic Studies, Fisheries &amp; Aquaculture Ctr, Hobart, Tas 7001, Australia; [McCauley, Robert D.] Curtin Univ, Ctr Marine Sci &amp; Technol, Perth, WA 6845, Australia; [Baker, Katherine B.] Univ Tasmania, Inst Marine &amp; Antarctic Studies, Ecol &amp; Biodivers Ctr, Hobart, Tas 7001, Australia</t>
  </si>
  <si>
    <t>University of Tasmania; Curtin University; University of Tasmania</t>
  </si>
  <si>
    <t>Day, RD (corresponding author), Univ Tasmania, Inst Marine &amp; Antarctic Studies, Fisheries &amp; Aquaculture Ctr, Hobart, Tas 7001, Australia.</t>
  </si>
  <si>
    <t>Day, Ryan D/J-7715-2014</t>
  </si>
  <si>
    <t>McCauley, Robert/0000-0002-7401-8751; Semmens, Jayson/0000-0003-1742-6692; Day, Ryan/0000-0002-1834-6945; Baker, Katherine/0000-0002-3500-0567; Fitzgibbon, Quinn/0000-0002-1104-3052</t>
  </si>
  <si>
    <t>Fisheries Research and Development Corporation [FRDC 2019-051]; CGG; Gabrielle Walley and Bailee Woolley</t>
  </si>
  <si>
    <t>Fisheries Research and Development Corporation; CGG; Gabrielle Walley and Bailee Woolley</t>
  </si>
  <si>
    <t>FRDC 2019-051: Examining the potential impacts of seismic sur-veys on octopus and larval stages of Southern Rock Lobster is supported by funding from the Fisheries Research and Development Corporation on behalf of the Australian Government and funding from CGG. John Richey and crew of the MV Dell Richey II were essential for the safe and efficient conduct of field work. CGG, particularly Mark Stanley, Andrew Levings, Shearwater Geoseismic and the MV Geo Coral crew and navi-gators provided excellent support and assistance throughout all facets of the field work program. The CGG Gippsland Scientific Advisory Com-mittee assisted with the development of the project. IMAS? Gabrielle Walley and Bailee Woolley worked tirelessly at sea during field work. Gabrielle Walley, Bailee Woolley and IMAS? Katherine Ollerhead pro-vided essential onshore support, assisting with animal care and sam-pling. Mal Perry (CMST) was instrumental in preparation of field hardware. Stephen Ley of Tasmanian Aquatic Technologies designed and built an aquaculture system suited to the unique demands of the project.</t>
  </si>
  <si>
    <t>10.1016/j.envpol.2022.119699</t>
  </si>
  <si>
    <t>3F7ZN</t>
  </si>
  <si>
    <t>WOS:000830882600002</t>
  </si>
  <si>
    <t>Cabezas, A; Azziz, G; Bovio-Winkler, P; Fuentes, L; Braga, L; Wenzel, J; Sabaris, S; Tarlera, S; Etchebehere, C</t>
  </si>
  <si>
    <t>Cabezas, Angela; Azziz, Gaston; Bovio-Winkler, Patricia; Fuentes, Laura; Braga, Lucia; Wenzel, Jorge; Sabaris, Silvia; Tarlera, Silvana; Etchebehere, Claudia</t>
  </si>
  <si>
    <t>Ubiquity and Diversity of Cold Adapted Denitrifying Bacteria Isolated From Diverse Antarctic Ecosystems</t>
  </si>
  <si>
    <t>denitrification; isolation; Antarctica; denitrifying bacteria; nitrogen cycle; cold environments</t>
  </si>
  <si>
    <t>SP-NOV.; GENOME SEQUENCE; MICROBIAL MATS; SP. NOV.; TEMPERATURE; COMMUNITY; NITROGEN; GENES; SOIL; ABUNDANCE</t>
  </si>
  <si>
    <t>Nitrogen cycle has been poorly investigated in Antarctic ecosystems. In particular, how extreme conditions of low temperature, dryness, and high radiation select the microorganisms involved in the cycle is not yet understood. Denitrification is an important step in the nitrogen cycle in which nitrate is reduced stepwise to the gases NO, N2O, and N-2. Denitrification is carried out by a wide group of microorganisms spread in the phylogenetic tree. The aim of this work was to isolate and characterize denitrifying bacteria present in different cold environments from Antarctica. Bacterial isolates were obtained from lake, meltwater, sea, glacier ice, ornithogenic soil, and penguin feces samples from King George Island, Fildes peninsula in the Antarctic. Samples were taken during the deicing season in five sampling campaigns. From all the samples we were able to isolate denitrifying strains. A total of 199 bacterial isolates with the capacity to grow in anaerobic mineral media reducing nitrate at 4 degrees C were obtained. The characterization of the isolates by 16S rRNA gene sequence analysis showed a high predominance of the genus Pseudomonas, followed by Janthinobacterium, Flavobacterium, Psychrobacter, and Yersinia. Other minor genera detected were Cryobacterium, Iodobacter, Kaistella, and Carnobacterium. The capacity to denitrify was not previously described for most of the bacteria related to our isolates and in many of them denitrifying genes were not present suggesting the presence of new genes in this extreme environment. Our work demonstrates the ubiquity of denitrification in the Maritime Antarctica and gives important information linking denitrification at cold temperature with taxa in an unequivocal way.</t>
  </si>
  <si>
    <t>[Cabezas, Angela] Univ Tecnol, Inst Tecnol Reg Ctr Sur, Durazno, Uruguay; [Azziz, Gaston] UdelaR, Fac Agron, Dept Biol, Lab Microbiol, Montevideo, Uruguay; [Bovio-Winkler, Patricia; Fuentes, Laura; Braga, Lucia; Wenzel, Jorge; Sabaris, Silvia; Etchebehere, Claudia] Inst Invest Biol Clemente Estable, Lab Ecol Microbiana, Dept Bioquim &amp; Genomica Microbiana, Montevideo, Uruguay; [Tarlera, Silvana] Fac Quim Montevideo, Dept Biociencias, Lab Ecol Microbiana Medioambiental, Montevideo, Uruguay</t>
  </si>
  <si>
    <t>Universidad de la Republica, Uruguay; Instituto de Investigaciones Biologicas Clemente Estable Uruguay; Universidad de la Republica, Uruguay</t>
  </si>
  <si>
    <t>Etchebehere, C (corresponding author), Inst Invest Biol Clemente Estable, Lab Ecol Microbiana, Dept Bioquim &amp; Genomica Microbiana, Montevideo, Uruguay.</t>
  </si>
  <si>
    <t>cetchebehere@iibce.edu.uy</t>
  </si>
  <si>
    <t>Bovio-Winkler, Patricia/ABD-2624-2020; Cabezas, Angela/IST-7180-2023</t>
  </si>
  <si>
    <t>Bovio-Winkler, Patricia/0000-0002-4004-0416; Cabezas, Angela/0000-0001-5460-019X; Etchebehere, Claudia/0000-0003-2495-205X; Braga Nan, Lucia/0000-0002-9881-6213</t>
  </si>
  <si>
    <t>10.3389/fmicb.2022.827228</t>
  </si>
  <si>
    <t>3P9NL</t>
  </si>
  <si>
    <t>WOS:000837860300001</t>
  </si>
  <si>
    <t>Becagli, S; Barbaro, E; Bonamano, S; Caiazzo, L; di Sarra, A; Feltracco, M; Grigioni, P; Heintzenberg, J; Lazzara, L; Legrand, M; Madonia, A; Marcelli, M; Melillo, C; Meloni, D; Nuccio, C; Pace, G; Park, KT; Preunkert, S; Severi, M; Vecchiato, M; Zangrando, R; Traversi, R</t>
  </si>
  <si>
    <t>Becagli, Silvia; Barbaro, Elena; Bonamano, Simone; Caiazzo, Laura; di Sarra, Alcide; Feltracco, Matteo; Grigioni, Paolo; Heintzenberg, Jost; Lazzara, Luigi; Legrand, Michel; Madonia, Alice; Marcelli, Marco; Melillo, Chiara; Meloni, Daniela; Nuccio, Caterina; Pace, Giandomenico; Park, Ki-Tae; Preunkert, Suzanne; Severi, Mirko; Vecchiato, Marco; Zangrando, Roberta; Traversi, Rita</t>
  </si>
  <si>
    <t>Factors controlling atmospheric DMS and its oxidation products (MSA and nssSO42-) in the aerosol at Terra Nova Bay, Antarctica</t>
  </si>
  <si>
    <t>DURVILLE COASTAL ANTARCTICA; SALT SULFATE AEROSOLS; DIMETHYL SULFIDE; SEA-ICE; AMUNDSEN SEA; ROSS SEA; OCEANIC PHYTOPLANKTON; SPATIAL-DISTRIBUTION; BOUNDARY-LAYER; GAS TRANSFER</t>
  </si>
  <si>
    <t>This paper presents the results of simultaneous high time-resolution measurements of biogenic aerosol (methane sulfonic acid (MSA), non-sea salt sulfate nssSO(4)(2-)) with its gaseous precursor dimethylsulfide (DMS), performed at the Italian coastal base Mario Zucchelli Station (MZS) in Terra Nova Bay (MZS) during two summer campaigns (2018-2019 and 2019-2020). Data on atmospheric DMS concentration are scarce, especially in Antarctica. The DMS maximum at MZS occurs in December, one month earlier than at other Antarctic stations. The maximum of DMS concentration is connected with the phytoplanktonic senescent phase following the bloom of Phaeocystis antarctica that occurs in the polynya when sea ice opens up. The second plankton bloom occurs in January and, despite the high dimethylsufoniopropionate (DMSP) concentration in seawater, atmospheric DMS remains low, probably due to its fast biological turnover in seawater in this period. The intensity and timing of the DMS evolution during the two years suggest that only the portion of the polynya close to the sampling site produces a discernible effect on the measured DMS. The closeness to the DMS source area and the occurrence of air masses containing DMS and freshly formed oxidation products allow us to study the kinetic of biogenic aerosol formation and the reliable derivation of the branch ratio between MSA and nssSO(4)(2-) from DMS oxidation that is estimated to be 0.84 +/- 0.06. Conversely, for aged air masses with low DMS content, an enrichment of nssSO(4)(2-) with respect to MSA, is observed. We estimate that the mean contribution of freshly formed biogenic aerosol to PM10 is 17 % with a maximum of 56 %. The high contribution of biogenic aerosol to the total PM10 mass in summer in this area highlights the dominant role of the polynya on biogenic aerosol formation. Finally, due to the regional and year-to-year variability of DMS and related biogenic aerosol formation, we stress the need for long-term measurements of seawater and atmospheric DMS and biogenic aerosol along the Antarctic coast and in the Southern Ocean.</t>
  </si>
  <si>
    <t>[Becagli, Silvia; Caiazzo, Laura; Traversi, Rita] Univ Florence, Dept Chem Ugo Schiff, I-50019 Sesto, Italy; [Becagli, Silvia; Barbaro, Elena; Feltracco, Matteo; Severi, Mirko; Vecchiato, Marco; Zangrando, Roberta; Traversi, Rita] Natl Res Council CNR ISP, Inst Polar Sci, I-30172 Venice, Italy; [Bonamano, Simone; Madonia, Alice; Marcelli, Marco] Univ Tuscia, Dept Ecol &amp; Biol Sci, I-00053 Civitavecchia, Italy; [Caiazzo, Laura; di Sarra, Alcide; Grigioni, Paolo; Pace, Giandomenico] ENEA Lab Observat &amp; Measurements Environm &amp; Clima, Rome, Italy; [Heintzenberg, Jost] Leibniz Inst Tropospher Res, D-04318 Leipzig, Germany; [Lazzara, Luigi] Univ Florence, Dept Biol, I-50121 Florence, Italy; [Legrand, Michel; Preunkert, Suzanne] Univ Grenoble Alpes, CNRS, Inst Geosci Environm, F-38400 S Martin Heres, France; [Legrand, Michel] Univ Paris, Lab Interuniv Syst Atmospher, F-75013 Paris, France; [Park, Ki-Tae] Univ Paris Est Creteil, CNRS, LISA, F-75013 Paris, France; [Park, Ki-Tae] Korea Polar Res Inst KOPRI, Incheon 406840, South Korea</t>
  </si>
  <si>
    <t>University of Florence; Consiglio Nazionale delle Ricerche (CNR); Istituto di Scienze Polari (ISP-CNR); Tuscia University; Leibniz Institut fur Tropospharenforschung (TROPOS); University of Florence; Centre National de la Recherche Scientifique (CNRS); Communaute Universite Grenoble Alpes; Universite Grenoble Alpes (UGA); Universite Paris Cite; Universite Paris-Est-Creteil-Val-de-Marne (UPEC); Universite Paris Cite; Universite Paris-Est-Creteil-Val-de-Marne (UPEC); Centre National de la Recherche Scientifique (CNRS); Korea Polar Research Institute (KOPRI)</t>
  </si>
  <si>
    <t>Becagli, S (corresponding author), Univ Florence, Dept Chem Ugo Schiff, I-50019 Sesto, Italy.;Becagli, S (corresponding author), Natl Res Council CNR ISP, Inst Polar Sci, I-30172 Venice, Italy.</t>
  </si>
  <si>
    <t>silvia.becagli@unifi.it</t>
  </si>
  <si>
    <t>Barbaro, Elena/AAX-8809-2020; Severi, Mirko/J-2508-2012; Lazzara, Luigi Carlo/C-6838-2012; Becagli, Silvia/GNW-2665-2022; di Sarra, Alcide/J-1491-2016</t>
  </si>
  <si>
    <t>Barbaro, Elena/0000-0003-2639-7475; Lazzara, Luigi Carlo/0000-0002-1351-9683; di Sarra, Alcide/0000-0002-2405-2898; Bonamano, Simone/0000-0003-3175-1387; Vecchiato, Marco/0000-0002-5112-8472; Caiazzo, Laura/0000-0001-7932-2499</t>
  </si>
  <si>
    <t>MIUR (Italian Ministry of University and Research); PNRA (Programma Nazionale di Ricerca in Antartide) [PNRA16_00065-A1]; PNRA [PNRA14_00019]</t>
  </si>
  <si>
    <t>MIUR (Italian Ministry of University and Research)(Ministry of Education, Universities and Research (MIUR)); PNRA (Programma Nazionale di Ricerca in Antartide); PNRA</t>
  </si>
  <si>
    <t>This research has been supported by the MIUR (Italian Ministry of University and Research) and PNRA (Programma Nazionale di Ricerca in Antartide) through the Project Correlation between biogenic aerosol and primary production in the Ross Sea-BioAPRoS (grant no. PNRA16_00065-A1). Meteorological data are furnished by the Meteo-Climatological Observatory at MZS and Victoria Land project funded by the PNRA (grant no. PNRA14_00019) and managed by staff of the Italian National Agency for New Technologies, Energy and Sustainable Economic Development (ENEA, http://www.climantartide.it/, last access: 15 September 2021).</t>
  </si>
  <si>
    <t>10.5194/acp-22-9245-2022</t>
  </si>
  <si>
    <t>2Z3WW</t>
  </si>
  <si>
    <t>WOS:000826513700001</t>
  </si>
  <si>
    <t>Dupont, V; Bonnet-Lebrun, AS; Boileve, A; Charpentier, J; Mira, JP; Geri, G; Cariou, A; Jozwiak, M</t>
  </si>
  <si>
    <t>Dupont, Vincent; Bonnet-Lebrun, Anne-Sophie; Boileve, Alice; Charpentier, Julien; Mira, Jean-Paul; Geri, Guillaume; Cariou, Alain; Jozwiak, Mathieu</t>
  </si>
  <si>
    <t>Impact of early mean arterial pressure level on severe acute kidney injury occurrence after out-of-hospital cardiac arrest</t>
  </si>
  <si>
    <t>ANNALS OF INTENSIVE CARE</t>
  </si>
  <si>
    <t>Out-of-hospital cardiac arrest; Post-resuscitation shock; Ischemia-reperfusion syndrome; Acute kidney injury</t>
  </si>
  <si>
    <t>TEMPERATURE MANAGEMENT; BLOOD-PRESSURE; TARGET; HYPOTHERMIA; MORTALITY; SHOCK; CARE</t>
  </si>
  <si>
    <t>Background The optimal early mean arterial pressure (MAP) level in terms of renal function remains to be established in patients with out-of-hospital cardiac arrest (OHCA). We aimed to evaluate the association between early MAP level and severe acute kidney injury (AKI) occurrence in patients with OHCA. Results In 568 consecutive patients, the percentage time spent below a predefined MAP threshold and the corresponding area below threshold (ABT) were calculated from continuous MAP measurement. Both MAP-derived variables were calculated for different MAP thresholds (65, 75 and 85 mmHg) and time periods (the first 6 and 12 after ICU admission). 274 (48%) patients developed severe AKI defined as stage 3 of KDIGO. Both ABT and percentage time were independently associated with severe AKI, regardless of the MAP threshold and time period considered. Highest adjusted odds ratios for developing severe AKI were observed while considering the first 6 h period. Within the first 6 h, every 100 mmHg-h increase in ABT under MAP thresholds of 65, 75 and 85 mmHg increased severe AKI risk by 69% (OR = 1.69; 95% CI 1.26-2.26; p &lt; 0.01), 13% (OR = 1.13; 95% CI 1.07-1.20; p &lt; 0.01) and 4% (OR = 1.04; 95% CI 1.02-1.06; p &lt; 0.01), respectively. Every 10% increase in percentage time spent under MAP thresholds of 65, 75 and 85 mmHg increased severe AKI risk by 19% (OR = 1.19; 95% CI 1.06-1.33; p &lt; 0.01), 12% (OR = 1.12; 95% CI 1.04-1.19; p &lt; 0.01) and 8% (OR = 1.08; 95% CI 1.02-1.14; p &lt; 0.01), respectively. Conclusions Both severity and duration of early arterial hypotension after ICU admission remained associated with severe AKI occurrence while considering a MAP threshold as high as 85 mmHg after OHCA.</t>
  </si>
  <si>
    <t>[Dupont, Vincent] Univ Hosp Reims, Ctr Hosp Univ Reims, Reims, France; [Dupont, Vincent] French Clin Res Infrastruct Network, FCRIN INI CRCT, Invest Network Initiat Cardiovasc &amp; Renal Clin, Reims, France; [Bonnet-Lebrun, Anne-Sophie] British Antarctic Survey, High Cross,Madingley Rd, Cambridge CB4 0ET, England; [Boileve, Alice] Gustave Roussy, Dept Med Oncol, F-94805 Villejuif, France; [Charpentier, Julien; Mira, Jean-Paul] Hop Univ Paris, AP HP, Paris Ctr Hop Cochin, Serv Med Intens Reanimat, 27 Rue Faubourg St Jacques, Paris, France; [Mira, Jean-Paul; Cariou, Alain] Univ Paris, Paris, France; [Geri, Guillaume] Hop Univ Ambroise Pare, AP HP, Serv Med Intens &amp; Reanimat, Boulogne, France; [Geri, Guillaume] Univ Paris Saclay, Gif Sur Yvette, France; [Geri, Guillaume] INSERM, Ctr Rech Epidemiol &amp; Sante Populat, UMR1018, Villejuif, France; [Cariou, Alain] INSERM U970, Paris Cardiovasc Res Ctr, Paris, France; [Cariou, Alain] Paris Sudden Death Expertise Ctr, Paris, France; [Cariou, Alain] AfterROSC Network Grp, Paris, France; [Jozwiak, Mathieu] Ctr Hosp Univ Archet 1, Serv Med Intens Reanimat, Nice, France; [Jozwiak, Mathieu] Univ Cote Azur, Unite Rech Clin Univ Cote Azur UR2CA, Equipe CARRES 2, Nice, France</t>
  </si>
  <si>
    <t>Universite de Reims Champagne-Ardenne; CHU de Reims; UK Research &amp; Innovation (UKRI); Natural Environment Research Council (NERC); NERC British Antarctic Survey; UNICANCER; Gustave Roussy; Assistance Publique Hopitaux Paris (APHP); Universite Paris Cite; Universite Paris Cite; Assistance Publique Hopitaux Paris (APHP); Hopital Universitaire Ambroise-Pare - APHP; Universite Paris Saclay; Universite Paris Cite; Institut National de la Sante et de la Recherche Medicale (Inserm); Universite Paris Cite; Institut National de la Sante et de la Recherche Medicale (Inserm); CHU Nice; Universite Cote d'Azur</t>
  </si>
  <si>
    <t>Dupont, V (corresponding author), Univ Hosp Reims, Ctr Hosp Univ Reims, Reims, France.</t>
  </si>
  <si>
    <t>vdupont@chu-reims.fr</t>
  </si>
  <si>
    <t>Bonnet-Lebrun, Anne-Sophie/GYU-2977-2022</t>
  </si>
  <si>
    <t>Bonnet-Lebrun, Anne-Sophie/0000-0002-7587-615X; Dupont, Vincent/0000-0003-4264-494X</t>
  </si>
  <si>
    <t>2110-5820</t>
  </si>
  <si>
    <t>ANN INTENSIVE CARE</t>
  </si>
  <si>
    <t>Ann. Intensive Care</t>
  </si>
  <si>
    <t>10.1186/s13613-022-01045-1</t>
  </si>
  <si>
    <t>Critical Care Medicine</t>
  </si>
  <si>
    <t>General &amp; Internal Medicine</t>
  </si>
  <si>
    <t>2Z3NO</t>
  </si>
  <si>
    <t>WOS:000826489400001</t>
  </si>
  <si>
    <t>Feng, TT; Li, YJ; Wang, KL; Qiao, G; Cheng, Y; Yuan, XH; Luo, SL; Li, RX</t>
  </si>
  <si>
    <t>Feng, Tiantian; Li, Yanjun; Wang, Kangle; Qiao, Gang; Cheng, Yuan; Yuan, Xiaohan; Luo, Shulei; Li, Rongxing</t>
  </si>
  <si>
    <t>A hierarchical network densification approach for reconstruction of historical ice velocity fields in East Antarctica</t>
  </si>
  <si>
    <t>Antarctic glaciology; glacier discharge; glacier mass balance; ice velocity; remote sensing</t>
  </si>
  <si>
    <t>SURFACE MASS-BALANCE; SHELF; FLOW; IMAGES; AREA; RIFT; PROPAGATION; THICKNESS; CLIMATE; MODEL</t>
  </si>
  <si>
    <t>Accurate ice flow velocity data are essential for studying the mass balance of the Antarctic ice sheet. However, there is a lack of ice velocity maps of 1960s-80s in basin-wide regions or the entire ice sheet. In this study, an enhanced hierarchical network densification approach is developed for basin-wide Antarctic velocity mapping using historical ARGON and Landsat images. The produced multiple historical velocity maps from 1963 to 1989 in the region of the Fimbul and Jelbart ice shelves, East Antarctica, achieved an accuracy better than 29 m a(-1). They revealed that the ice flow velocity had no significant changes over the period. Combining the surface mass balance estimate with the ice discharge estimated from our historical velocity maps and recently published velocity maps, we estimated a positive mass balance of 8.6 +/- 3.9 Gt a(-1) in the study area from 1963 and 2015. Our results indicate that the region's positive mass balance, as estimated in recently published studies, has been maintained since the 1960s. It is also in concordance with the low level of mass balance from 1992 to 2017 in East Antarctica. This suggests that the study area has been stable since the 1960s.</t>
  </si>
  <si>
    <t>[Feng, Tiantian; Li, Yanjun; Wang, Kangle; Qiao, Gang; Cheng, Yuan; Yuan, Xiaohan; Luo, Shulei; Li, Rongxing] Tongji Univ, Coll Surveying &amp; Geoinformat, Ctr Spatial Informat Sci &amp; Sustainable Dev Applic, 1239 Siping Rd, Shanghai 200092, Peoples R China</t>
  </si>
  <si>
    <t>Tongji University</t>
  </si>
  <si>
    <t>Li, RX (corresponding author), Tongji Univ, Coll Surveying &amp; Geoinformat, Ctr Spatial Informat Sci &amp; Sustainable Dev Applic, 1239 Siping Rd, Shanghai 200092, Peoples R China.</t>
  </si>
  <si>
    <t>ronli_282@hotmail.com</t>
  </si>
  <si>
    <t>Qiao, Gang/AAU-5717-2020</t>
  </si>
  <si>
    <t>Cheng, Yuan/0000-0003-1336-0331; Li, Rongxing/0000-0001-9837-5115; Li, Yanjun/0000-0002-4206-4833</t>
  </si>
  <si>
    <t>National Key Research and Development Program of China [2017YFA0603100]; National Science Foundation of China [41730102, 41801335, 41771471, 41941006]; Fundamental Research Funds for the Central Universities</t>
  </si>
  <si>
    <t>National Key Research and Development Program of China; National Science Foundation of China(National Natural Science Foundation of China (NSFC)); Fundamental Research Funds for the Central Universities(Fundamental Research Funds for the Central Universities)</t>
  </si>
  <si>
    <t>Constructive comments from the editors and two reviewers are greatly appreciated. This work was supported by the National Key Research and Development Program of China (No. 2017YFA0603100), the National Science Foundation of China (Nos. 41730102, 41801335, 41771471, 41941006) and the Fundamental Research Funds for the Central Universities. The authors thank Kee-Tae Kim for the provision of the ARGON mosaic and coastline products of Antarctica (https://etd.ohiolink.edu/apexprod/rws_etd/send_file/send?accession=osu1072898409&amp;disposition=inline), and also acknowledge the United States Geological Survey (USGS) for Landsat images (https://earthexplore.usgs.gov/) and LIMA (https://lima.usgs.gov/), and the National Snow and Ice Data Center for RAMP DEM version 2 (https://doi.org/10.5067/8JKNEW6BFRVD). The authors also thank Mr Tengfei Gao and Mr Yong Huang for their contribution to the data processing and Professor Tong Hao for scientific discussion.</t>
  </si>
  <si>
    <t>PII S0022143022000582</t>
  </si>
  <si>
    <t>10.1017/jog.2022.58</t>
  </si>
  <si>
    <t>WOS:000826254600001</t>
  </si>
  <si>
    <t>Sherman, CS; Sant, G; Simpfendorfer, CA; Digel, ED; Zubick, P; Johnson, G; Usher, M; Dulvy, NK</t>
  </si>
  <si>
    <t>Sherman, C. Samantha; Sant, Glenn; Simpfendorfer, Colin A.; Digel, Eric D.; Zubick, Patrick; Johnson, Grant; Usher, Michael; Dulvy, Nicholas K.</t>
  </si>
  <si>
    <t>M-Risk: A framework for assessing global fisheries management efficacy of sharks, rays and chimaeras</t>
  </si>
  <si>
    <t>FISH AND FISHERIES</t>
  </si>
  <si>
    <t>data-poor fisheries; ecological risk assessment; elasmobranch; marine conservation; resource management; socioecological resilience</t>
  </si>
  <si>
    <t>EXTINCTION RISK; STOCK-ASSESSMENT; MARINE FISHES; SILKY SHARKS; CONSERVATION; VULNERABILITY; SUSTAINABILITY; IMPACTS; INFORMATION; ATLANTIC</t>
  </si>
  <si>
    <t>Fisheries management is essential to guarantee sustainable capture of target species and avoid undesirable declines of incidentally captured species. A key challenge is halting and reversing declines of shark and ray species, and specifically assessing the degree to which management is sufficient to avoid declines in relatively data-poor fisheries. While ecological risk analyses focus on intrinsic 'productivity' and extrinsic 'susceptibility', one would ideally consider the influence of 'fisheries management'. Currently, there is no single management evaluation that can be applied to a combination of fishery types at the scale of individual country or Regional Fisheries Management Organizations (RFMOs). Here, we outline a management-risk (M-Risk) framework for sharks, rays and chimaeras used to evaluate species' risk of overfishing resulting from ineffective management. We illustrate our approach with application to one country (Ecuador) and RFMO (Inter-American Tropical Tuna Commission) and illustrate the variation in scores among species. We found that while both management units assessed had similar overall scores, the scores for individual attributes varied. Ecuador scored higher in reporting-related attributes, while the IATTC scored higher in attributes related to data collection and use. We evaluated whether the management of individual species was sufficient for their relative sensitivity by combining the management-risk score for each species with their intrinsic sensitivity to determine a final M-Risk score. This framework can be applied to determine which species face the greatest risk of overfishing and be used by fisheries managers to identify effective management policies by replicating regulations from countries with lower risk scores.</t>
  </si>
  <si>
    <t>[Sherman, C. Samantha; Digel, Eric D.; Zubick, Patrick; Dulvy, Nicholas K.] Simon Fraser Univ, Dept Biol Sci, Earth Oceans Res Grp, Burnaby, BC, Canada; [Sherman, C. Samantha; Sant, Glenn] TRAFFIC Int, Cambridge, England; [Sant, Glenn] Univ Wollongong, Australian Natl Ctr Ocean Resources &amp; Secur, Wollongong, NSW, Australia; [Simpfendorfer, Colin A.] Univ Tasmania, Inst Marine &amp; Antarctic Studies, Hobart, Tas, Australia; [Johnson, Grant; Usher, Michael] Northern Terr Govt, Fisheries Branch, Dept Ind Tourism &amp; Trade, Darwin, NT, Australia</t>
  </si>
  <si>
    <t>Simon Fraser University; University of Wollongong; University of Tasmania; Northern Territory Government</t>
  </si>
  <si>
    <t>Sherman, CS (corresponding author), Simon Fraser Univ, Dept Biol Sci, Earth Oceans Res Grp, Burnaby, BC, Canada.</t>
  </si>
  <si>
    <t>sammsherman27@gmail.com</t>
  </si>
  <si>
    <t>Dulvy, Nicholas/I-2895-2012; Sherman, Samantha/AAB-3349-2020; Simpfendorfer, Colin/G-9681-2011</t>
  </si>
  <si>
    <t>Dulvy, Nicholas/0000-0002-4295-9725; Sherman, Samantha/0000-0002-7150-1035; Simpfendorfer, Colin/0000-0002-0295-2238</t>
  </si>
  <si>
    <t>Canada Research Chair Program; Natural Science and Engineering Research Council; Shark Conservation Fund</t>
  </si>
  <si>
    <t>Canada Research Chair Program(Canada Research Chairs); Natural Science and Engineering Research Council(Natural Sciences and Engineering Research Council of Canada (NSERC)); Shark Conservation Fund</t>
  </si>
  <si>
    <t>1467-2960</t>
  </si>
  <si>
    <t>1467-2979</t>
  </si>
  <si>
    <t>FISH FISH</t>
  </si>
  <si>
    <t>Fish. Fish.</t>
  </si>
  <si>
    <t>10.1111/faf.12695</t>
  </si>
  <si>
    <t>5E5LA</t>
  </si>
  <si>
    <t>WOS:000826316200001</t>
  </si>
  <si>
    <t>Bolam, FC; Ahumada, J; Akçakaya, HR; Brooks, TM; Elliott, W; Hoban, S; Mair, L; Mallon, D; McGowan, PJK; Raimondo, D; Rodríguez, JP; Roe, D; Seddon, MB; Shen, XL; Stuart, SN; Watson, JEM; Butchart, SHM</t>
  </si>
  <si>
    <t>Bolam, Friederike C.; Ahumada, Jorge; Akcakaya, H. Resit; Brooks, Thomas M.; Elliott, Wendy; Hoban, Sean; Mair, Louise; Mallon, David; McGowan, Philip J. K.; Raimondo, Domitilla; Rodriguez, Jon Paul; Roe, Dilys; Seddon, Mary B.; Shen, Xiaoli; Stuart, Simon N.; Watson, James E. M.; Butchart, Stuart H. M.</t>
  </si>
  <si>
    <t>Over half of threatened species require targeted recovery actions to avert human-induced extinction</t>
  </si>
  <si>
    <t>BIODIVERSITY; CONSERVATION</t>
  </si>
  <si>
    <t>Averting human-induced extinctions will require strong policy commitments that comprehensively address threats to species. A new Global Biodiversity Framework is currently being negotiated by the world's governments through the Convention on Biological Diversity. Here we explored how the suggested targets in this framework could contribute to reducing threats to threatened vertebrates, invertebrates, and plants, and assessed the importance of a proposed target to implement recovery actions for threatened species. Although many of the targets benefit species, we found that extinction risk for over half (57%) of threatened species would not be reduced sufficiently without a target promoting recovery actions, including ex situ conservation, reintroductions, and other species-specific interventions. A median of 54 threatened species per country require such actions, and most countries of the world hold such species. Preventing future human-induced extinctions requires policy commitments to implement targeted recovery actions for threatened species in addition to broader efforts to mitigate threats, underpinned by transformative change.</t>
  </si>
  <si>
    <t>[McGowan, Philip J. K.] Newcastle Univ, Sch Nat &amp; Environm Sci, Newcastle Upon Tyne, Tyne &amp; Wear, England; [Ahumada, Jorge] Moore Ctr Sci, Conservat Int, Arlington, VA USA; [Akcakaya, H. Resit] SUNY Stony Brook, Dept Ecol &amp; Evolut, Stony Brook, NY USA; [Akcakaya, H. Resit; Mallon, David; Raimondo, Domitilla; Stuart, Simon N.] Int Union Conservat Nat IUCN Species Survival C, Gland, Switzerland; [Brooks, Thomas M.] IUCN, Gland, Switzerland; [Brooks, Thomas M.] Univ Philippines, World Agroforestry Ctr, Los Banos, Philippines; [Brooks, Thomas M.] Univ Tasmania, Inst Marine &amp; Antarctic Studies, Hobart, Tas, Australia; [Elliott, Wendy] WWF Int, Int Gorilla Conservat Programme, Kigali, Rwanda; [Hoban, Sean] Ctr Tree Sci, Morton Arboretum, Lisle, IL USA; [Mallon, David] Manchester Metropolitan Univ, Dept Nat Sci, Manchester, Lancs, England; [Raimondo, Domitilla] South African Natl Biodivers Inst, Plant Conservat Comm, Pretoria, South Africa; [Rodriguez, Jon Paul] Inst Venezolano Invest Cient, Caracas, Venezuela; [Rodriguez, Jon Paul] Provita, Caracas, Venezuela; [Roe, Dilys] UCN Sustainable Use &amp; Livelihoods Specialist Grp, Gland, Switzerland; [Roe, Dilys] Int Inst Environm &amp; Dev, London, England; [Seddon, Mary B.] IUCN Species Survival Commiss Mollusc Specialist, Okehampton, England; [Shen, Xiaoli] Chinese Acad Sci, Inst Bot, State Key Lab Vegetat &amp; Environm Change, Beijing, Peoples R China; [Stuart, Simon N.] Synchron Earth, London, England; [Stuart, Simon N.] Rocha Int, London, England; [Watson, James E. M.] Univ Queensland, Sch Earth &amp; Environm Sci, St Lucia, Qld, Australia; [Butchart, Stuart H. M.] BirdLife Int, Cambridge, England; [Butchart, Stuart H. M.] Dept Zool, Cambridge, England</t>
  </si>
  <si>
    <t>Newcastle University - UK; Conservation International; State University of New York (SUNY) System; State University of New York (SUNY) Stony Brook; University of the Philippines System; University of the Philippines Los Banos; University of the Philippines Open University; CGIAR; World Agroforestry (ICRAF); University of Tasmania; Manchester Metropolitan University; South African National Biodiversity Institute; Venezuelan Institute Science Research; Chinese Academy of Sciences; Institute of Botany, CAS; University of Queensland; BirdLife International</t>
  </si>
  <si>
    <t>McGowan, PJK (corresponding author), Newcastle Univ, Sch Nat &amp; Environm Sci, Newcastle Upon Tyne, Tyne &amp; Wear, England.</t>
  </si>
  <si>
    <t>philip.mcgowan@newcastle.ac.uk</t>
  </si>
  <si>
    <t>Hoban, Sean M/E-1530-2011; Mair, Louise/AAL-4986-2020; Butchart, Stuart HM/Y-2711-2018; Ahumada, Jorge/JPX-5713-2023; Watson, James Edward Maxwell/D-8779-2013</t>
  </si>
  <si>
    <t>Mair, Louise/0000-0002-7419-7200; Watson, James Edward Maxwell/0000-0003-4942-1984</t>
  </si>
  <si>
    <t>Newcastle University, UK</t>
  </si>
  <si>
    <t>We thank C Hilton-Taylor for provision of data and B Lacy for comments on an early draft. The views expressed in this publication do not necessarily reflect those of the International Union for Conservation of Nature. FCB and LM were funded by Newcastle University, UK. Author contributions - conceptualization: FCB, TMB, LM, PJKM, SNS, JEMW, SHMB; methodology: FCB, HRA, TMB, LM, SHMB; formal analysis: FCB; data curation: FCB; writing - original draft: FCB, TMB, SHMB; writing - reviews and editing: FCB, JA, HRA, TMB, WE, SH, LM, DM, PJKM, DRa, JPR, DRo, MBS, XS, SNS, JEMW, SHMB; visualization: FCB; supervision: PJKM, SHMB; project administration: FCB, PJKM.</t>
  </si>
  <si>
    <t>10.1002/fee.2537</t>
  </si>
  <si>
    <t>9M2TQ</t>
  </si>
  <si>
    <t>WOS:000826435800001</t>
  </si>
  <si>
    <t>Kuepper, ND; Böhm, L; Braun, C; Bustamante, P; Düring, RA; Libertelli, MM; Quillfeldt, P</t>
  </si>
  <si>
    <t>Kuepper, Nadja D.; Boehm, Leonard; Braun, Christina; Bustamante, Paco; Duering, Rolf-Alexander; Libertelli, Marcela M.; Quillfeldt, Petra</t>
  </si>
  <si>
    <t>Persistent organic pollutants and mercury in a colony of Antarctic seabirds: higher concentrations in 1998, 2001, and 2003 compared to 2014 to 2016</t>
  </si>
  <si>
    <t>Wilson's storm-petrel; Polychlorinated biphenyls (PCBs); DDX; Hg; Ontogeny</t>
  </si>
  <si>
    <t>WILSONS STORM-PETRELS; KING-GEORGE-ISLAND; POLYCHLORINATED-BIPHENYLS; ORGANOCHLORINE PESTICIDES; TROPHIC TRANSFER; STABLE-ISOTOPES; MELTING GLACIERS; BREEDING SUCCESS; ARCTIC SEABIRDS; PROBABLE SOURCE</t>
  </si>
  <si>
    <t>Over decades, persistent organic pollutants (POPs) and trace metals like mercury (Hg) have reached the remotest areas of the world such as Antarctica by atmospheric transport. Once deposited in polar areas, low temperatures, and limited solar radiation lead to long environmental residence times, allowing the toxic substances to accumulate in biota. We investigated the load of polychlorinated biphenyls (PCBs) and dichlorodiphenyltrichloroethane (DDTs) and metabolites (DDEs, DDDs) in embryos from failed eggs of the smallest seabird breeding in Antarctica, the Wilson's storm-petrel (Oceanites oceanicus) at King George Island (Isla 25 de Mayo). We compared samples of different developmental stages collected in 2001, 2003, and 2014 to 2016 to investigate changes in pollutant concentrations over time. We detected eight PCBs including the dioxin-like (dl) congeners PCB 105 and 118 (sigma PCBs: 59-3403 ng g(-1) ww) as well as 4,4'-DDE, and 4,4'-DDD (sigma DDX: 19-1035 ng g(-1) ww) in the embryos. Samples from the years 2001 and 2003 showed higher concentrations of PCBs than those from 2014 to 2016. Concentrations of DDX was similar in both time intervals. Furthermore, we determined Hg concentrations in egg membranes from 1998 to 2003, and 2014 to 2016. Similar to PCBs, Hg in egg membranes were higher in 1998 than in 2003, and higher in 2003 than in the years 2014 to 2016, suggesting a slow recovery of the pelagic Antarctic environment from the detected legacy pollutants. Embryos showed an increase in pollutant concentrations within the last third of their development. This finding indicates that contaminant concentrations may differ among developmental stages, and it should be taken into account in analyses on toxic impact during embryogenesis.</t>
  </si>
  <si>
    <t>[Kuepper, Nadja D.; Quillfeldt, Petra] Justus Liebig Univ Giessen, Dept Anim Ecol &amp; Systemat, Heinrich Buff Ring 26-32, D-35392 Giessen, Germany; [Boehm, Leonard; Duering, Rolf-Alexander] Justus Liebig Univ Giessen, Res Ctr BioSyst, Inst Soil Sci &amp; Soil Conservat Land Use &amp; Nutr iF, Heinrich Buff Ring 26-32, D-35392 Giessen, Germany; [Braun, Christina] Friedrich Schiller Univ Jena, Inst Ecol &amp; Evolut, Polar &amp; Bird Ecol Grp, Dornburger Str 159, D-07743 Jena, Germany; [Bustamante, Paco] La Rochelle Univ, CNRS, UMR 7266, Littoral Environm &amp; Soc LIENSs), 2 Rue Olympe Gouges, F-17000 La Rochelle, France; [Bustamante, Paco] Inst Univ France IUF, 1 Rue Descartes, F-75005 Paris, France; [Libertelli, Marcela M.] Inst Antartico Argentino, Dept Biol Predadores Tope, Area Ciencias Vida, Cerrito 1248,C1010AAZ, Buenos Aires, DF, Argentina</t>
  </si>
  <si>
    <t>Justus Liebig University Giessen; Justus Liebig University Giessen; Friedrich Schiller University of Jena; Centre National de la Recherche Scientifique (CNRS); CNRS - Institute of Ecology &amp; Environment (INEE); Institut Universitaire de France; Instituto Antartico Argentino</t>
  </si>
  <si>
    <t>Kuepper, ND (corresponding author), Justus Liebig Univ Giessen, Dept Anim Ecol &amp; Systemat, Heinrich Buff Ring 26-32, D-35392 Giessen, Germany.</t>
  </si>
  <si>
    <t>nadja.kuepper@bio.uni-giessen.de</t>
  </si>
  <si>
    <t>Bustamante, Paco/G-5833-2011; Böhm, Leonard/B-5364-2013; Quillfeldt, Petra/A-9549-2009</t>
  </si>
  <si>
    <t>Bustamante, Paco/0000-0003-3877-9390; Böhm, Leonard/0000-0002-3435-5956; Quillfeldt, Petra/0000-0002-4450-8688; Libertelli, Marcela Monica/0000-0002-9642-4849; During, Rolf-Alexander/0000-0002-4329-1042</t>
  </si>
  <si>
    <t>CPER (Contrat de Projet Etat-Region); FEDER (Fonds Europeen de Developpement Regional); IUF (Institut Universitaire de France); Agencia Nacional de Promocion Cientifica y Tecnologica [PICTA-2010-0111]; Deutsche Forschungsgemeinschaft (DFG) [Qu148/12, Qu148/18]</t>
  </si>
  <si>
    <t>CPER (Contrat de Projet Etat-Region); FEDER (Fonds Europeen de Developpement Regional)(European Union (EU)); IUF (Institut Universitaire de France); Agencia Nacional de Promocion Cientifica y Tecnologica(ANPCyTSpanish Government); Deutsche Forschungsgemeinschaft (DFG)(German Research Foundation (DFG))</t>
  </si>
  <si>
    <t>We would like to thank Dr. Nestor Coria who, with his permanent predisposition and enthusiasm, supported the realization of the collaboration between Argentina and Germany from the very beginning. Your Antarctic colleagues wish you a speedy recovery. We would like to thank all people involved in collecting samples, especially Marcela J. Nabte, and Benjamin Richter. For advice and assistance in the lab, we would like to thank Marcel P. Simon, Leoni Konig, and Justine Thebault. The authors are grateful to Carine Churlaud and Maud Brault-Favrou from the Plateforme Analyses Elementaires of LIENSs for their support during Hg analysis and to G. Guillou from the Plateforme Analyses Isotopiques of LIENSs for running the stable isotope analysis. Thanks to the CPER (Contrat de Projet Etat-Region) and the FEDER (Fonds Europeen de Developpement Regional) for funding the AMA and the IRMS of LIENSs laboratory. The IUF (Institut Universitaire de France) is acknowledged for its support to PB as a Senior Member. We are grateful for logistic support by the Alfred Wegener Institute, and the Instituto Antartico Argentino (Buenos Aires) that additionally supported the project via a grant to Dr. Nestor Coria (PICTA-2010-0111) by the Agencia Nacional de Promocion Cientifica y Tecnologica. Many thanks to Marco Plebani, Ingrid Pollent, the associate Editor Barbara Wienecke and two anonymous reviewers, whose helpful comments improved the manuscript. This study was funded by the Deutsche Forschungsgemeinschaft (DFG) in the framework of the priority program SPP1154 Antarctic Research with comparative investigations in Arctic ice areas by grants to PQ (Qu148/12 and Qu148/18). All applicable international, national, and/or institutional guidelines for the care and use of animals were followed.</t>
  </si>
  <si>
    <t>10.1007/s00300-022-03065-w</t>
  </si>
  <si>
    <t>WOS:000826262900001</t>
  </si>
  <si>
    <t>Bester, MN; Connan, M</t>
  </si>
  <si>
    <t>Bester, M. N.; Connan, M.</t>
  </si>
  <si>
    <t>Cephalopod diet of juvenile male southern elephant seals Mirounga leonina at Marion Island, South Indian Ocean</t>
  </si>
  <si>
    <t>Cephalopod beaks; Diet; Prince Edward Islands; Southern elephant seal; Stomach contents</t>
  </si>
  <si>
    <t>KING-GEORGE ISLAND; FUR SEALS; MOLECULAR SCATOLOGY; MAYO/KING GEORGE; CLIMATE-CHANGE; PREY; DNA; MACQUARIE; HABITATS; NITROGEN</t>
  </si>
  <si>
    <t>Southern elephant seals Mirounga leonina have a circumpolar distribution and migrate across broad geographic regions. Therefore, they can provide important insights into the responses of top predators to changes in the environment, especially those effected by climate change. For this, determining trophic interactions is key, and thus it is important to investigate the diet of all populations of M. leonina in the Southern Ocean. Limited literature exists on the diet of southern elephant seals at the Prince Edward Islands in the sub-Antarctic. During August and September 1976, the stomach contents of two juvenile male southern elephant seals were opportunistically collected at Marion Island (46(o)54'S, 37(o)51'E), and later analysed. Accumulated cephalopod beaks (n = 137) representing 18 taxa in nine decapod families were found. Onychoteuthidae was numerically the most abundant (28.7%), followed by Brachioteuthidae (21.8%), Neoteuthidae (12.6%), and Histioteuthidae (9.2%). Slosarczykovia circumantarctica (Brachioteuthidae) was the most abundant species (19.5%) followed by Batoteuthis skolops (Batoteuthidae) at 12.6%. Allometric equations using lower rostral lengths showed that the southern elephant seals ingested cephalopods with mantle length between 5.2 and 39.9 cm and weighing between 0.003 and 2.62 kg. There was only one very digested crustacean, and no recognizable fish remains in the stomach contents. The continuation of the investigation relies on examination of natural mortalities and dietary items obtained by stomach lavage of individuals, complemented by, for example, stable isotope compositions captured along the length of vibrissae and within dentinal growth layer groups of teeth as proxies for the elephant seals' trophic ecology.</t>
  </si>
  <si>
    <t>[Bester, M. N.] Univ Pretoria, Mammal Res Inst, Dept Zool &amp; Entomol, Private Bag X20, ZA-0028 Pretoria, South Africa; [Connan, M.] Nelson Mandela Univ, Inst Coastal &amp; Marine Res, Dept Zool, Marine Apex Predator Res Unit, Gqeberha, South Africa</t>
  </si>
  <si>
    <t>University of Pretoria; Nelson Mandela University</t>
  </si>
  <si>
    <t>Bester, MN (corresponding author), Univ Pretoria, Mammal Res Inst, Dept Zool &amp; Entomol, Private Bag X20, ZA-0028 Pretoria, South Africa.</t>
  </si>
  <si>
    <t>mnbester@zoology.up.ac.za; maelle.connan@gmail.com</t>
  </si>
  <si>
    <t>Connan, Maelle/A-8468-2008</t>
  </si>
  <si>
    <t>Connan, Maelle/0000-0002-1308-9118</t>
  </si>
  <si>
    <t>10.1007/s00300-022-03070-z</t>
  </si>
  <si>
    <t>WOS:000826262900002</t>
  </si>
  <si>
    <t>Hoogakker, BAA; Anderson, C; Paoloni, T; Stott, A; Grant, H; Keenan, P; Mahaffey, C; Blackbird, S; McClymont, EL; Rickaby, R; Poulton, A; Peck, VL</t>
  </si>
  <si>
    <t>Hoogakker, Babette A. A.; Anderson, Caroline; Paoloni, Tommaso; Stott, Andrew; Grant, Helen; Keenan, Patrick; Mahaffey, Claire; Blackbird, Sabena; McClymont, Erin L.; Rickaby, Ros; Poulton, Alex; Peck, Victoria L.</t>
  </si>
  <si>
    <t>Planktonic foraminifera organic carbon isotopes as archives of upper ocean carbon cycling</t>
  </si>
  <si>
    <t>SURFACE-WATER PCO(2); STABLE CARBON; MARINE PLANKTON; ANTHROPOGENIC CO2; MATTER; DELTA-C-13; NITROGEN; ATLANTIC; FRACTIONATION; TEMPERATURE</t>
  </si>
  <si>
    <t>The carbon cycle is a key regulator of Earth's climate. On geological timescales, our understanding of particulate organic matter (POM), an important upper ocean carbon pool that fuels ecosystems and an integrated part of the carbon cycle, is limited. Here we investigate the relationship of planktonic foraminifera-bound organic carbon isotopes (delta C-13(org-pforam)) with delta C-13(org) of POM (delta C-13(org-POM)). We compare delta C-13(org- pforam) of several planktonic foraminifera species from plankton nets and recent sediment cores with delta C-13(orgPOM) on a N-S Atlantic Ocean transect. Our results indicate that delta(13)Corg- pforam of planktonic foraminifera are remarkably similar to delta C-13(org-POM). Application of our method on a glacial sample furthermore provided a delta C-13(org- pforam) value similar to glacial delta C-13(org- POM) predictions. We thus show that delta C-13(org- pforam) is a promising proxy to reconstruct environmental conditions in the upper ocean, providing a route to isolate past variations in delta C-13(org- POM) and better understanding of the evolution of the carbon cycle over geological time-scales.</t>
  </si>
  <si>
    <t>[Hoogakker, Babette A. A.; Paoloni, Tommaso; Poulton, Alex] Heriot Watt Univ, Lyell Ctr, Edinburgh, Midlothian, Scotland; [Anderson, Caroline] Univ Oxford, Sch Geog &amp; Environm, South Parks Rd, Oxford OX1 3QY, England; [Stott, Andrew; Grant, Helen; Keenan, Patrick] UK Ctr Ecol &amp; Hydrol, Lancaster LA1 4AP, England; [Mahaffey, Claire; Blackbird, Sabena] Univ Liverpool, Sch Environm Sci, 4 Brownlow St, Liverpool L69 3GP, Merseyside, England; [McClymont, Erin L.] Univ Durham, Dept Geog, Lower Mountjoy, Durham DL1 3LE, England; [Rickaby, Ros] Univ Oxford, Dept Earth Sci, South Parks Rd, Oxford OX1 3AN, England; [Peck, Victoria L.] British Antarctic Survey, High Cross,Madingley Rd, Cambridge CB3 0ET, England</t>
  </si>
  <si>
    <t>Heriot Watt University; University of Oxford; UK Centre for Ecology &amp; Hydrology (UKCEH); University of Liverpool; Durham University; University of Oxford; UK Research &amp; Innovation (UKRI); Natural Environment Research Council (NERC); NERC British Antarctic Survey</t>
  </si>
  <si>
    <t>Hoogakker, BAA (corresponding author), Heriot Watt Univ, Lyell Ctr, Edinburgh, Midlothian, Scotland.</t>
  </si>
  <si>
    <t>b.hoogakker@hw.ac.uk</t>
  </si>
  <si>
    <t>McClymont, Erin/AAX-3657-2020; Poulton, Alex/A-9859-2012</t>
  </si>
  <si>
    <t>McClymont, Erin/0000-0003-1562-8768; Hoogakker, Babette/0000-0002-8171-9679; Blackbird, Sabena/0000-0003-0942-6836; Paoloni, Tommaso/0000-0001-6228-3366; Rickaby, Rosalind/0000-0002-6095-8419; Poulton, Alex/0000-0002-5149-6961</t>
  </si>
  <si>
    <t>UK Natural Environment Research Council (NERC) [NE/K00087X/1]; Philip Leverhulme Prize; UKRI Future LeadersGrant [MR/S034293/1]; U.S. National Science Foundation; Natural Environment Research Council in UK; Department for Environment, Food and Rural Affairs; NERC; Department of Energy and Climate Change [NE/H017267/1, NE/H017097/1]</t>
  </si>
  <si>
    <t>UK Natural Environment Research Council (NERC)(UK Research &amp; Innovation (UKRI)Natural Environment Research Council (NERC)); Philip Leverhulme Prize(Leverhulme Trust); UKRI Future LeadersGrant; U.S. National Science Foundation(National Science Foundation (NSF)); Natural Environment Research Council in UK; Department for Environment, Food and Rural Affairs(Department for Environment, Food &amp; Rural Affairs (DEFRA)); NERC(UK Research &amp; Innovation (UKRI)Natural Environment Research Council (NERC)); Department of Energy and Climate Change</t>
  </si>
  <si>
    <t>The work was supported by a UK Natural Environment Research Council (NERC) grant NE/K00087X/1, a UKRI Future LeadersGrantMR/S034293/1, and a Philip Leverhulme Prize (to BAAH). Thanks to Simon Chenery and Elliot Hamilton for analysing the Mg/Ca of the glacial ODP 1088 sample. We are grateful to Nick McCave for making sample material from RAPiD and BOFS14K available. This research used samples and/or data provided by theOceanDrilling Program(ODP). ODP is sponsored by theU.S. National Science Foundation and participating countries (Natural Environment Research Council in UK) under management of Joint Oceanographic Institutions (JOI), Inc. The UK Ocean Acidification research programme was funded by the Department for Environment, Food and Rural Affairs, the NERC and the Department of Energy and Climate Change (NE/H017267/1, NE/H017097/1).</t>
  </si>
  <si>
    <t>JUL 17</t>
  </si>
  <si>
    <t>10.1038/s41467-022-32480-0</t>
  </si>
  <si>
    <t>Q4NW7</t>
  </si>
  <si>
    <t>WOS:001057314100004</t>
  </si>
  <si>
    <t>Abas, E; Marina-Montes, C; Laguna, M; Lasheras, R; Rivas, P; Peribanez, P; del Valle, J; Escudero, M; Velasquez, A; Caceres, JO; Perez-Arribas, LV; Anzano, J</t>
  </si>
  <si>
    <t>Abas, Elisa; Marina-Montes, Cesar; Laguna, Mariano; Lasheras, Roberto; Rivas, Patricia; Peribanez, Pablo; del Valle, Javier; Escudero, Miguel; Velasquez, Abrahan; Caceres, Jorge O.; Perez-Arribas, Luis Vicente; Anzano, Jesus</t>
  </si>
  <si>
    <t>Evidence of human impact in Antarctic region by studying atmospheric aerosols</t>
  </si>
  <si>
    <t>Antarctic region; Atmospheric aerosols; Particulate matter; LIBS; FESEM; ICP-MS</t>
  </si>
  <si>
    <t>AIR-POLLUTION; PARTICLES; SILICON</t>
  </si>
  <si>
    <t>Air quality is a global concerning topic because of its great impact on the environment and health. Because of that, the study of atmospheric aerosols looking for harmful pollutants is rising, as well as the interest in the origin of the contaminants. Depending on the nature and size of the aerosols, some elements can be detected at a great distance from the emission source, even in Antarctica, where this study is conducted. Several samples of PM filters from 2018 to 2019 (Deception Island) and 2019-2020 (Livingston Island) campaigns have been analyzed by three powerful spectroscopic techniques: FESEM (Field Emission Scanning Electron Microscopy), LIBS (Laser Induced Breakdown Spectroscopy), and ICP-MS (Inductively Coupled Plasma Mass Spectrometry). These techniques have allowed us to find some heavy metals in the air of the Antarctic region (Al, Fe, Ti, Ni, Cr, and Mn). Deeper studies on ICP-MS results have confirmed those results and have also provided information on their</t>
  </si>
  <si>
    <t>[Abas, Elisa; Marina-Montes, Cesar; Lasheras, Roberto; Rivas, Patricia; Peribanez, Pablo; Velasquez, Abrahan; Anzano, Jesus] Univ Zaragoza, Fac Sci, Dept Analyt Chem, Laser Lab,Chem &amp; Environm Grp, Plaza S Francisco S-n, Zaragoza 50009, Spain; [Laguna, Mariano] Univ Zaragoza, Inst Sintesis Quim &amp; Catalisis Homogenea, CSIC, Plaza S Francisco S-n, Zaragoza 50009, Spain; [del Valle, Javier] Ctr Univ Def Zaragoza, AGM, Carretera Huesca S-n, Zaragoza, Spain; [Escudero, Miguel] Univ Zaragoza, Dept Appl Phys, Zaragoza, Spain; [Velasquez, Abrahan] Univ Laica Eloy Alfaro Manabi, Fac Agr Sci, Manta, Ecuador; [Caceres, Jorge O.; Perez-Arribas, Luis Vicente] Univ Complutense Madrid, Fac Chem, Dept Analyt Chem, Laser Chem Res Grp, Plaza Ciencias a, Madrid 28040, Spain</t>
  </si>
  <si>
    <t>University of Zaragoza; University of Zaragoza; Consejo Superior de Investigaciones Cientificas (CSIC); CSIC - Centro de Quimica y Materiales de Aragon (CEQMA); CSIC-UZA - Instituto de Sintesis Quimica y Catalisis Homogenea (ISQCH); University of Zaragoza; Universidad Laica Eloy Alfaro De Manabi; Complutense University of Madrid</t>
  </si>
  <si>
    <t>Anzano, J (corresponding author), Univ Zaragoza, Fac Sci, Dept Analyt Chem, Laser Lab,Chem &amp; Environm Grp, Plaza S Francisco S-n, Zaragoza 50009, Spain.</t>
  </si>
  <si>
    <t>eabas@unizar.es; cesarmarinamontes@unizar.es; mlaguna@unizar.es; rjlasheras@gmail.com; patri_8_1996@hotmail.com; 696389@unizar.es; delvalle@unizar.es; mescu@unizar.es; aivf_skate@hotmail.com; jcaceres@ucm.es; lvperez@ucm.es; janzano@unizar.es</t>
  </si>
  <si>
    <t>Ferrín, Abrahan Isaac Velásquez/CAA-9738-2022; Marina-Montes, Cesar/AEU-5508-2022</t>
  </si>
  <si>
    <t>Marina-Montes, Cesar/0000-0001-5652-3677; Abas-Benedi, Elisa/0000-0002-6674-7364; Laguna Castrillo, Mariano/0000-0002-5801-3352; Caceres, Jorge/0000-0003-4801-4172</t>
  </si>
  <si>
    <t>GOVERNMENT OF ARAGON (Spain), UNIVERSITY OF ZARAGOZA [UZ-2021-CIE-01]; EUROPEAN SOCIAL FUND [E23_17D, E49_20R]; MINISTRY OF SCIENCE AND INNOVATION OF SPAIN [CTM 201782929-R]; SPANISH GOVERNMENT</t>
  </si>
  <si>
    <t>GOVERNMENT OF ARAGON (Spain), UNIVERSITY OF ZARAGOZA; EUROPEAN SOCIAL FUND(European Social Fund (ESF)); MINISTRY OF SCIENCE AND INNOVATION OF SPAIN(Spanish Government); SPANISH GOVERNMENT(Spanish Government)</t>
  </si>
  <si>
    <t>The authors gratefully acknowledge the GOVERNMENT OF ARAGON (Spain), UNIVERSITY OF ZARAGOZA (Proposal UZ-2021-CIE-01), the EUROPEAN SOCIAL FUND (Proposal E23_17D, E49_20R) and the MINISTRY OF SCIENCE AND INNOVATION OF SPAIN (CTM 201782929-R). C.M-M's work was funded by a predoctoral contract (FPI) granted by the SPANISH GOVERNMENT.</t>
  </si>
  <si>
    <t>10.1016/j.chemosphere.2022.135706</t>
  </si>
  <si>
    <t>3F8FL</t>
  </si>
  <si>
    <t>WOS:000830898000001</t>
  </si>
  <si>
    <t>Choi, Y; Nam, S</t>
  </si>
  <si>
    <t>Choi, Yeon; Nam, SungHyun</t>
  </si>
  <si>
    <t>East-west contrasting changes in Southern Indian Ocean Antarctic Bottom Water salinity over three decades</t>
  </si>
  <si>
    <t>SEA-LEVEL RISE; WEDDELL GYRE; GLOBAL HEAT; ROSS SEA; VARIABILITY; CIRCULATION; ABYSSAL; SHELF; CO2</t>
  </si>
  <si>
    <t>Antarctic Bottom Water (AABW) characteristics, derived from multiple water sources with various properties, are significantly affected by and contribute to climate change. However, the underlying causes of changes in AABW characteristics are not well-understood. In this study, we aimed to analyse the east-west contrasting pattern of AABW characteristics in the Southern Indian Ocean (SIO) over the last three decades. We show that AABW has become warmer and more saline in the western SIO (WSIO) but warmer and fresher in the eastern SIO (ESIO) in 2010s than in 1990s. The warming and salinification of WSIO AABW are primarily explained by changes in source water mixing ratios, although the source water properties also significantly contribute to the observed changes. In contrast, the warming and freshening of ESIO AABW cannot be explained without considering changes in the source water properties as the direction of AABW salinity change due to source water mixing ratios is opposite (salinification) to that of observations (freshening). The east-west contrasting pattern of AABW salinity changes and more rapid warming in the ESIO have important consequences for poleward AABW transport and sea-level rise within and beyond the SIO.</t>
  </si>
  <si>
    <t>[Choi, Yeon; Nam, SungHyun] Seoul Natl Univ, Coll Nat Sci, Sch Earth &amp; Environm Sci, Seoul 08826, South Korea; [Nam, SungHyun] Seoul Natl Univ, Coll Nat Sci, Res Inst Oceanog, Seoul 08826, South Korea</t>
  </si>
  <si>
    <t>Seoul National University (SNU); Seoul National University (SNU)</t>
  </si>
  <si>
    <t>Nam, S (corresponding author), Seoul Natl Univ, Coll Nat Sci, Sch Earth &amp; Environm Sci, Seoul 08826, South Korea.;Nam, S (corresponding author), Seoul Natl Univ, Coll Nat Sci, Res Inst Oceanog, Seoul 08826, South Korea.</t>
  </si>
  <si>
    <t>namsh@snu.ac.kr</t>
  </si>
  <si>
    <t>Korean Ministry of Oceans and Fisheries [KIMST20190361, PE19020]; KIOST - Ministry of Oceans and Fisheries, Republic of Korea [PE99794]</t>
  </si>
  <si>
    <t>Korean Ministry of Oceans and Fisheries; KIOST - Ministry of Oceans and Fisheries, Republic of Korea</t>
  </si>
  <si>
    <t>We thank the two anonymous reviewers who provided valuable comments that contributed to the improvement of the present paper. A special thanks for Reviewer #1 due to his/her terrific work in the comprehensive revision. This study was supported by a research Grant from the Korean Ministry of Oceans and Fisheries (Grant no. KIMST20190361; PE19020). This work was also partly supported by KIOST, funded by the Ministry of Oceans and Fisheries, Republic of Korea, through the joint application programme of research vessel in 2019 (PE99794).</t>
  </si>
  <si>
    <t>JUL 16</t>
  </si>
  <si>
    <t>10.1038/s41598-022-16331-y</t>
  </si>
  <si>
    <t>2Y8XA</t>
  </si>
  <si>
    <t>WOS:000826171200023</t>
  </si>
  <si>
    <t>Lu, LJ; Zheng, XF; Chen, Z; Yan, W; Wu, SZ; Zheng, LW; Wang, XS; Chen, Y; Kao, SJ</t>
  </si>
  <si>
    <t>Lu, Lijuan; Zheng, Xufeng; Chen, Zhong; Yan, Wen; Wu, Shuzhuang; Zheng, Li-Wei; Wang, Xuesong; Chen, Yu; Kao, Shuhji</t>
  </si>
  <si>
    <t>One-To-One Coupling Between Southern Ocean Productivity and Antarctica Climate</t>
  </si>
  <si>
    <t>Southern Ocean upwelling; export production; bipolar seesaw mechanism; millennial-scale climate event; Heinrich stadial; color reflectance component b</t>
  </si>
  <si>
    <t>MERIDIONAL OVERTURNING CIRCULATION; LAST GLACIAL CYCLE; ATMOSPHERIC CO2; ICE-CORE; IRON FERTILIZATION; ATLANTIC; VARIABILITY; CARBON; TRANSPORT; SECTOR</t>
  </si>
  <si>
    <t>The Southern Ocean is supposed to play a crucial role in influencing atmospheric CO2 concentrations. However, the dynamic relationships among the rate of Southern Ocean upwelling, atmospheric CO2 concentration, and Antarctic climate at millennial timescales remain unclear. Here, we present high-resolution color reflectance component b* and natural gamma radiation from the southern Scotia Sea sector of the Southern Ocean to reconstruct productivity over the past 160 ka. We find that these two independent productivity proxies, reflecting the signal of nutrient supply in this region, captured millennial-scale upwelling that covaried in timing with Heinrich Stadials and Antarctic warming events, supporting the bipolar seesaw mechanism. The one-to-one coupling of variability between productivity and atmospheric CO2 concentrations reveals that the upwelling is closely linked to atmospheric CO2 and climate change.</t>
  </si>
  <si>
    <t>[Lu, Lijuan; Yan, Wen] Chinese Acad Sci, Innovat Acad South China Sea Ecol &amp; Environm Engn, South China Sea Inst Oceanol, Key Lab Ocean &amp; Marginal Sea Geol, Guangzhou, Peoples R China; [Lu, Lijuan; Yan, Wen] Univ Chinese Acad Sci, Beijing, Peoples R China; [Lu, Lijuan; Chen, Zhong; Yan, Wen] Southern Marine Sci &amp; Engn Guangdong Lab Guangzho, Guangzhou, Peoples R China; [Zheng, Xufeng; Zheng, Li-Wei; Chen, Yu; Kao, Shuhji] Hainan Univ, State Key Lab Marine Resource Utilizat South Chin, Haikou, Hainan, Peoples R China; [Chen, Zhong] South China Sea Inst Oceanol, Sanya Inst Oceanol, Sanya, Peoples R China; [Wu, Shuzhuang] Univ Lausanne, Inst Earth Sci, Lausanne, Switzerland; [Wang, Xuesong] China Univ Geosci, Hubei Key Lab Marine Geol Resources, Wuhan, Peoples R China; [Kao, Shuhji] Xiamen Univ, State Key Lab Marine Environm Sci, Xiamen, Peoples R China</t>
  </si>
  <si>
    <t>Chinese Academy of Sciences; South China Sea Institute of Oceanology, CAS; Chinese Academy of Sciences; University of Chinese Academy of Sciences, CAS; Hong Kong Branch of the Southern Marine Science &amp; Engineering Guangdong Laboratory (Guangzhou); Hainan University; Chinese Academy of Sciences; South China Sea Institute of Oceanology, CAS; University of Lausanne; China University of Geosciences; Xiamen University</t>
  </si>
  <si>
    <t>Zheng, XF (corresponding author), Hainan Univ, State Key Lab Marine Resource Utilizat South Chin, Haikou, Hainan, Peoples R China.</t>
  </si>
  <si>
    <t>xufengzheng@hainanu.edu.cn</t>
  </si>
  <si>
    <t>Xi, Yang/KEH-5204-2024; 郑, 旭/JAO-2624-2023; Zheng, Xufeng/HPC-4252-2023; Kao, Shuh-Ji/F-8418-2015</t>
  </si>
  <si>
    <t>Wu, Shuzhuang/0000-0002-5134-8395; Lu, Lijuan/0000-0003-2479-4266; Wang, Xuesong/0000-0001-9522-4098; Kao, Shuh-Ji/0000-0002-5054-9099</t>
  </si>
  <si>
    <t>National Natural Science Foundation of China [91958106, 41776061, 41876068]; Hainan Key Research and Development Project [ZDYF2022SHFZ091]; Pearl River S&amp;T Nova Program of Guangzhou [201906010050]; Special Support Program for Training High-Level Talents in Guangdong [2019TQ05H572]; 2020 Research Program of Sanya Yazhou Bay Science and Technology City [SKJC-2020-01-012]; Deutsche Forschungsgemeinschaft [WU 1062/1-1]</t>
  </si>
  <si>
    <t>National Natural Science Foundation of China(National Natural Science Foundation of China (NSFC)); Hainan Key Research and Development Project; Pearl River S&amp;T Nova Program of Guangzhou; Special Support Program for Training High-Level Talents in Guangdong; 2020 Research Program of Sanya Yazhou Bay Science and Technology City; Deutsche Forschungsgemeinschaft(German Research Foundation (DFG))</t>
  </si>
  <si>
    <t>We are very grateful to the captain, crew, and International Ocean Discovery Program (IODP) staff for the success of IODP Expedition 382 (Iceberg Alley) and subsequent research. Samples and data in this research are provided by the IODP. This work is funded by the National Natural Science Foundation of China (91958106, 41776061, and 41876068), Hainan Key Research and Development Project number (ZDYF2022SHFZ091), the Pearl River S&amp;T Nova Program of Guangzhou (201906010050), Special Support Program for Training High-Level Talents in Guangdong (2019TQ05H572), and the 2020 Research Program of Sanya Yazhou Bay Science and Technology City (SKJC-2020-01-012). S. W acknowledges support from the Deutsche Forschungsgemeinschaft (WU 1062/1-1).</t>
  </si>
  <si>
    <t>e2022GL098761</t>
  </si>
  <si>
    <t>10.1029/2022GL098761</t>
  </si>
  <si>
    <t>2X6UL</t>
  </si>
  <si>
    <t>WOS:000825336200003</t>
  </si>
  <si>
    <t>Dove, LA; Balwada, D; Thompson, AF; Gray, AR</t>
  </si>
  <si>
    <t>Dove, Lilian A.; Balwada, Dhruv; Thompson, Andrew F.; Gray, Alison R.</t>
  </si>
  <si>
    <t>Enhanced Ventilation in Energetic Regions of the Antarctic Circumpolar Current</t>
  </si>
  <si>
    <t>SOUTHERN-OCEAN; GLOBAL OCEAN; ARGO FLOAT; VARIABILITY; EQUILIBRATION; SUBDUCTION; MESOSCALE; PATHWAYS; JETS; PUMP</t>
  </si>
  <si>
    <t>Flow-topography interactions along the path of the Antarctic Circumpolar Current generate standing meanders, create regions of enhanced eddy kinetic energy (EKE), and modify frontal structure. We consider the impact of standing meanders on ventilation based on oxygen measurements from Argo floats and the patterns of apparent oxygen utilization (AOU). Regions of high-EKE have relatively reduced AOU values at depths 200-700 m below the base of the mixed layer and larger AOU variance, suggesting enhanced ventilation due to both along-isopycnal stirring and enhanced exchange across the base of the mixed layer. Vertical exchange is inferred from finite-size Lyapunov exponents, a proxy for the magnitude of surface lateral density gradients, which suggest that submesoscale vertical velocities may contribute to ventilation. The shaping of ventilation by standing meanders has implications for the temporal and spatial variability of air-sea exchange.</t>
  </si>
  <si>
    <t>[Dove, Lilian A.; Thompson, Andrew F.] CALTECH, Div Geol &amp; Planetary Sci Environm Sci &amp; Engn, Pasadena, CA 91125 USA; [Balwada, Dhruv] Columbia Univ, Lamont Doherty Earth Observ, Palisades, NY USA; [Gray, Alison R.] Univ Washington, Sch Oceanog, Seattle, WA 98195 USA</t>
  </si>
  <si>
    <t>California Institute of Technology; Columbia University; University of Washington; University of Washington Seattle</t>
  </si>
  <si>
    <t>Dove, LA (corresponding author), CALTECH, Div Geol &amp; Planetary Sci Environm Sci &amp; Engn, Pasadena, CA 91125 USA.</t>
  </si>
  <si>
    <t>dove@caltech.edu</t>
  </si>
  <si>
    <t>Gray, Alison/0000-0002-1644-7654; Dove, Lilian/0000-0001-8346-0034; Balwada, Dhruv/0000-0001-6632-0187</t>
  </si>
  <si>
    <t>National Science Foundation (NSF) [OCE-1756956]; David and Lucille Packard Foundation; Resnick Sustainability Institute; NSF Graduate Research Fellowship; NSF [OCE-1756882]; National Oceanic and Atmospheric Administration [NA20OAR4320271]; NSF's Southern Ocean Carbon and Climate Observations and Modeling Project [PLR-1425989, OPP-1936222]</t>
  </si>
  <si>
    <t>National Science Foundation (NSF)(National Science Foundation (NSF)National Research Foundation of Korea); David and Lucille Packard Foundation(The David &amp; Lucile Packard Foundation); Resnick Sustainability Institute; NSF Graduate Research Fellowship(National Science Foundation (NSF)); NSF(National Science Foundation (NSF)); National Oceanic and Atmospheric Administration(National Oceanic Atmospheric Admin (NOAA) - USA); NSF's Southern Ocean Carbon and Climate Observations and Modeling Project(National Science Foundation (NSF))</t>
  </si>
  <si>
    <t>L. A. Dove and A. F. Thompson acknowledge funding from National Science Foundation (NSF) award OCE-1756956, the David and Lucille Packard Foundation, and the Resnick Sustainability Institute. L. A. Dove was additionally supported by an NSF Graduate Research Fellowship. D. Balwada and A. R. Gray were supported by NSF Award OCE-1756882. A. R. Gray acknowledges additional funding through National Oceanic and Atmospheric Administration Award NA20OAR4320271 and through NSF's Southern Ocean Carbon and Climate Observations and Modeling Project under Awards PLR-1425989 and OPP-1936222. The authors are grateful for the comments of three anonymous reviewers, which led to the improvement of this manuscript.</t>
  </si>
  <si>
    <t>e2021GL097574</t>
  </si>
  <si>
    <t>10.1029/2021GL097574</t>
  </si>
  <si>
    <t>2U6ZX</t>
  </si>
  <si>
    <t>WOS:000823307400001</t>
  </si>
  <si>
    <t>Ren, P; Luo, CL; Zhang, HM; Cui, C; Sun, SW; Song, HY; Xu, LP; Rebesco, M; De Santis, L; Liu, YG; Wang, XC</t>
  </si>
  <si>
    <t>Ren, Peng; Luo, Chunle; Zhang, Hongmei; Cui, Chao; Sun, Shuwen; Song, Hongying; Xu, Liping; Rebesco, Michele; De Santis, Laura; Liu, Yanguang; Wang, Xuchen</t>
  </si>
  <si>
    <t>Isotopic Records of Ancient Wildfires in C4 Grasses Preserved in the Sediment of the Ross Sea, Antarctica</t>
  </si>
  <si>
    <t>Ross Sea sediment; Antarctica; Pyrogenic carbon; wildfires; carbon isotope</t>
  </si>
  <si>
    <t>LONG-TERM TRENDS; BLACK CARBON; ORGANIC-MATTER; ELEMENTAL CARBON; FIRE; HISTORY; QUANTIFICATION; ATMOSPHERE; GRASSLAND; AEROSOL</t>
  </si>
  <si>
    <t>We report carbon isotopic values in total organic carbon (TOC) and pyrogenic carbon (PyC) preserved in two sediment cores from the Ross Sea, Antarctica. The delta C-13 values of PyC ranged from -10.9 parts per thousand to -17.2 parts per thousand, with distinct differences from the delta C-13 values of TOC (-24.1 parts per thousand to -26.1 parts per thousand) in the sediments. The radiocarbon ages of PyC were 9,128 and 8,410 years old on average in the two cores but were thousands of years younger than the ages of TOC at the same core depth. These isotopic records provide strong evidence indicating that the PyC was produced from ancient wildfires predominantly in C-4 vegetation and transported to Antarctica in the atmosphere. We suggest that ancient wildfires in predominantly C-4 grasslands likely frequently occurred on a large scale and at a high intensity in the Southern Hemisphere during the last deglaciation to mid-Holocene period of 14,800-4,200 years ago.</t>
  </si>
  <si>
    <t>[Ren, Peng; Luo, Chunle; Zhang, Hongmei; Cui, Chao; Wang, Xuchen] Ocean Univ China, Frontiers Sci Ctr Deep Ocean Multispheres &amp; Eart, Qingdao, Peoples R China; [Ren, Peng; Luo, Chunle; Zhang, Hongmei; Cui, Chao; Wang, Xuchen] Ocean Univ China, Key Lab Marine Chem Theory &amp; Technol, Qingdao, Peoples R China; [Ren, Peng; Sun, Shuwen; Song, Hongying; Xu, Liping; Wang, Xuchen] Natl Lab Marine Sci &amp; Technol, Ctr Isotope Geochem &amp; Geochronol, Qingdao, Peoples R China; [Rebesco, Michele; De Santis, Laura] Ist Nazl Oceanog &amp; Geofis Sperimentale, Sgonico, Italy; [Liu, Yanguang] First Inst Oceanog, Key Lab Marine Geol &amp; Metallogeny, Minist Nat Resources, Qingdao, Peoples R China</t>
  </si>
  <si>
    <t>Ocean University of China; Ocean University of China; Laoshan Laboratory; Istituto Nazionale di Oceanografia e di Geofisica Sperimentale; First Institute of Oceanography, Ministry of Natural Resources; Ministry of Natural Resources of the People's Republic of China</t>
  </si>
  <si>
    <t>Wang, XC (corresponding author), Ocean Univ China, Frontiers Sci Ctr Deep Ocean Multispheres &amp; Eart, Qingdao, Peoples R China.;Wang, XC (corresponding author), Ocean Univ China, Key Lab Marine Chem Theory &amp; Technol, Qingdao, Peoples R China.;Wang, XC (corresponding author), Natl Lab Marine Sci &amp; Technol, Ctr Isotope Geochem &amp; Geochronol, Qingdao, Peoples R China.;Liu, YG (corresponding author), First Inst Oceanog, Key Lab Marine Geol &amp; Metallogeny, Minist Nat Resources, Qingdao, Peoples R China.</t>
  </si>
  <si>
    <t>yanguangliu@fio.org.cn; xuchenwang@ouc.edu.cn</t>
  </si>
  <si>
    <t>Rebesco, Michele/B-7462-2014; Liu, Yanguang/C-9035-2019</t>
  </si>
  <si>
    <t>Rebesco, Michele/0000-0002-9492-4081; Ren, Peng/0000-0001-6390-2413; Liu, Yanguang/0000-0002-4524-2930; De Santis, Laura/0000-0002-7752-7754; Wang, Xuchen/0000-0002-2526-0699</t>
  </si>
  <si>
    <t>National Natural Science Foundation of China Ocean Program [91858210, 41776082]; EUROFLEETS Funding Program; Italian National Antarctic Research Program (ODYSSEA) projects; Pilot National Laboratory for Marine Science and Technology (Qingdao) [JCZX202021]</t>
  </si>
  <si>
    <t>National Natural Science Foundation of China Ocean Program; EUROFLEETS Funding Program; Italian National Antarctic Research Program (ODYSSEA) projects; Pilot National Laboratory for Marine Science and Technology (Qingdao)</t>
  </si>
  <si>
    <t>We thank the Captain and crew members of the R/V OGS-Explora for their help during the cruise. We greatly appreciate the two anonymous reviewers for their valuable and constructive comments that significantly improved our manuscript. This work was supported by the National Natural Science Foundation of China Ocean Program (grants 91858210 and 41776082), EUROFLEETS Funding Program (ANTSSS project), Italian National Antarctic Research Program (ODYSSEA) projects, and Pilot National Laboratory for Marine Science and Technology (Qingdao) (JCZX202021). The authors declare that they have no conflicts of interest regarding this work.</t>
  </si>
  <si>
    <t>e2022GL098979</t>
  </si>
  <si>
    <t>10.1029/2022GL098979</t>
  </si>
  <si>
    <t>2T9RH</t>
  </si>
  <si>
    <t>WOS:000822802900001</t>
  </si>
  <si>
    <t>Pang, HX; Zhang, P; Wu, SY; Jouzel, J; Steen-Larsen, HC; Liu, K; Zhang, WB; Yu, JH; An, CL; Chen, DL; Hou, SG</t>
  </si>
  <si>
    <t>Pang, Hongxi; Zhang, Peng; Wu, Shuangye; Jouzel, Jean; Steen-Larsen, Hans Christian; Liu, Ke; Zhang, Wangbin; Yu, Jinhai; An, Chunlei; Chen, Deliang; Hou, Shugui</t>
  </si>
  <si>
    <t>The Dominant Role of Brewer-Dobson Circulation on 17O-Excess Variations in Snow Pits at Dome A, Antarctica</t>
  </si>
  <si>
    <t>water isotopologues; Brewer-Dobson circulation; Dome A; Antarctica</t>
  </si>
  <si>
    <t>ISOTOPIC COMPOSITION; WATER-VAPOR; RESIDUAL CIRCULATION; VOSTOK STATION; SURFACE SNOW; AIR TRENDS; D-EXCESS; PRECIPITATION; OXYGEN; OZONE</t>
  </si>
  <si>
    <t>Recent studies have suggested that water isotopologues in snow pits from remote East Antarctica can be influenced by the input of stratospheric water, which has anomalously high O-17-excess values. However, it remains unclear whether the O-17-excess records preserved in snow and ice from this region can be used to reconstruct stratosphere-troposphere exchange (STE). In this study, we present high-resolution O-17-excess records from two snow pits at Dome A, the highest point of the Antarctic ice sheet. The O-17-excess records show a significant positive correlation with the strength of the Brewer-Dobson circulation (BDC), the hemispheric-scale troposphere-stratosphere overturn circulation. Stronger BDC leads to more stratospheric water input over Antarctica and higher O-17-excess, and vice versa. In addition, the O-17-excess records also have a significant positive correlation with the Southern Annular Mode (SAM) index, because SAM modulates Antarctic precipitation, which has a dilution effect on the stratospheric water input. The O-17-excess records do not show significant correlations with local temperature and relative humidity in the moisture source region. These results suggest the dominant effect of BDC on O-17-excess and indicate the potential for using O-17-excess records in ice cores from remote sites in East Antarctica for reconstructing long-term variations of STE, and understanding their mechanisms and climate effects.</t>
  </si>
  <si>
    <t>[Pang, Hongxi; Liu, Ke; Zhang, Wangbin; Yu, Jinhai; Hou, Shugui] Nanjing Univ, Sch Geog &amp; Ocean Sci, Key Lab Coast &amp; Isl Dev, Minist Educ, Nanjing, Peoples R China; [Zhang, Peng; Chen, Deliang] Univ Gothenburg, Dept Earth Sci, Gothenburg, Sweden; [Wu, Shuangye] Univ Dayton, Dept Geol &amp; Environm Geosci, Dayton, OH 45469 USA; [Jouzel, Jean] UVSQ, IPSL, CNRS, Lab Sci Climat &amp; Environm,CEA,UMR8212, Gif Sur Yvette, France; [Steen-Larsen, Hans Christian] Univ Bergen, Geophys Inst, Bergen, Norway; [Steen-Larsen, Hans Christian] Bjerknes Ctr Climate Res, Bergen, Norway; [An, Chunlei] Polar Res Inst China, Shanghai, Peoples R China; [Hou, Shugui] Shanghai Jiao Tong Univ, Sch Oceanog, Shanghai, Peoples R China</t>
  </si>
  <si>
    <t>Nanjing University; University of Gothenburg; University System of Ohio; University of Dayton; Centre National de la Recherche Scientifique (CNRS); CNRS - National Institute for Earth Sciences &amp; Astronomy (INSU); CEA; Universite Paris Saclay; Universite Paris Cite; University of Bergen; Bjerknes Centre for Climate Research; Polar Research Institute of China; Shanghai Jiao Tong University</t>
  </si>
  <si>
    <t>Pang, HX; Hou, SG (corresponding author), Nanjing Univ, Sch Geog &amp; Ocean Sci, Key Lab Coast &amp; Isl Dev, Minist Educ, Nanjing, Peoples R China.;Hou, SG (corresponding author), Shanghai Jiao Tong Univ, Sch Oceanog, Shanghai, Peoples R China.</t>
  </si>
  <si>
    <t>hxpang@nju.edu.cn; shuguihou@sjtu.edu.cn</t>
  </si>
  <si>
    <t>Chen, Deliang/A-5107-2013; Steen-Larsen, Hans Christian/F-9927-2013</t>
  </si>
  <si>
    <t>Chen, Deliang/0000-0003-0288-5618; An, Chunlei/0000-0002-8579-2400; Wu, Shuang-Ye/0000-0002-4215-6607; Zhang, Peng/0000-0001-6626-5616; Steen-Larsen, Hans Christian/0000-0002-7202-5907; Yu, Jinhai/0000-0003-4945-9405</t>
  </si>
  <si>
    <t>National Natural Science Foundation of China [41622605, 41830644, 91837102, 42021001]; Chinese Arctic and Antarctic Administration [CXPT2020012]; Priority Academic Program Development of Jiangsu Higher Education Institutions (PAPD); Swedish STINT [CH2019-8377]</t>
  </si>
  <si>
    <t>National Natural Science Foundation of China(National Natural Science Foundation of China (NSFC)); Chinese Arctic and Antarctic Administration; Priority Academic Program Development of Jiangsu Higher Education Institutions (PAPD); Swedish STINT</t>
  </si>
  <si>
    <t>We thank all of the CHINARE-26 and CHINARE-32 scientists, technicians, and porters for their hard work in the field. We thank Amaelle Landais (LSCE) for the 17O-excess measurements and her constructive comments on this paper. We also thank Tongmei Wang for her advice on calculating the residual circulation. This work was jointly supported by the National Natural Science Foundation of China (41622605, 41830644, 91837102, 42021001), the Chinese Arctic and Antarctic Administration (CXPT2020012), the Priority Academic Program Development of Jiangsu Higher Education Institutions (PAPD), and the Swedish STINT (CH2019-8377).</t>
  </si>
  <si>
    <t>e2022JD036559</t>
  </si>
  <si>
    <t>10.1029/2022JD036559</t>
  </si>
  <si>
    <t>2U4UM</t>
  </si>
  <si>
    <t>WOS:000823157800001</t>
  </si>
  <si>
    <t>Winton, VHL; Bowie, AR; Curran, MA; Moy, AD</t>
  </si>
  <si>
    <t>Winton, V. H. L.; Bowie, A. R.; Curran, M. A.; Moy, A. D.</t>
  </si>
  <si>
    <t>Enhanced Deposition of Atmospheric Soluble Iron by Intrusions of Marine Air Masses to East Antarctica</t>
  </si>
  <si>
    <t>ICE CORE RECORDS; MINERAL DUST; BLACK CARBON; ENRICHMENT FACTORS; MULTIPLE SOURCES; DISSOLVED IRON; TRACE-ELEMENTS; VICTORIA LAND; RECENT SNOW; TALOS DOME</t>
  </si>
  <si>
    <t>Bio-essential iron can relieve nutrient limitation and stimulate marine productivity in the Southern Ocean. The fractional iron solubility of aerosol iron is an important variable determining iron availability for biological uptake. However, estimates of dissolved iron (dFe; iron &lt; 0.2 mu m) and the factors driving the variability of fractional iron solubility in pristine air masses are largely unquantified. To constrain inputs of fractional iron solubility to remote East Antarctic waters, dFe, total dissolvable iron (TDFe), trace elements and refractory black carbon were analyzed in a 9-year-old snow pit (2005-2014) from a new ice core site at Aurora Basin North (ABN) in Wilkes Land, East Antarctica. Extremely low annual dFe deposition fluxes were estimated (0.2 x 10(-6) g m(-2) y(-1)), while annual TDFe deposition fluxes (70 x 10(-6) g m(-2) y(-1)) were comparable to other Antarctic sites. TDFe is dominantly sourced from mineral dust. Unlike coastal Antarctic sites where the variability of fractional iron solubility in modern snow is explained by a mixture of dust and biomass burning sources, dFe deposition and fractional iron solubility at ABN (ranging between 0.1% and 6%) is enhanced in episodic high precipitation events from synoptic warm air masses. Enhanced fractional iron solubility reaching the high elevation site at ABN is suggested through the mechanism of cloud processing of background mineral dust that modifies the dust chemistry and increases iron dissolution during long-range transport. This study highlights a complex interplay of sources and processes that drive fractional iron solubility in pristine air masses.</t>
  </si>
  <si>
    <t>[Winton, V. H. L.] Curtin Univ, Phys &amp; Astron, Perth, WA, Australia; [Winton, V. H. L.] Victoria Univ Wellington, Antarctic Res Ctr, Wellington, New Zealand; [Bowie, A. R.; Curran, M. A.; Moy, A. D.] Univ Tasmania, Antarctic Climate &amp; Ecosyst Cooperat Res Ctr, Hobart, Tas, Australia; [Bowie, A. R.] Univ Tasmania, Inst Antarctic &amp; Southern Ocean Studies, Hobart, Tas, Australia; [Curran, M. A.; Moy, A. D.] Australian Antarctic Div, Hobart, Tas, Australia</t>
  </si>
  <si>
    <t>Curtin University; Victoria University Wellington; University of Tasmania; Antarctic Climate &amp; Ecosystems Cooperative Research Centre (ACE CRC); University of Tasmania; Australian Antarctic Division</t>
  </si>
  <si>
    <t>Winton, VHL (corresponding author), Curtin Univ, Phys &amp; Astron, Perth, WA, Australia.;Winton, VHL (corresponding author), Victoria Univ Wellington, Antarctic Res Ctr, Wellington, New Zealand.</t>
  </si>
  <si>
    <t>holly.winton@vuw.ac.nz</t>
  </si>
  <si>
    <t>Winton, Holly/J-5486-2019; Bowie, Andrew/C-8677-2013</t>
  </si>
  <si>
    <t>Winton, Holly/0000-0001-7112-6768; Bowie, Andrew/0000-0002-5144-7799; Moy, Andrew/0000-0002-7664-9960</t>
  </si>
  <si>
    <t>Australian Antarctic Division [AAS 4075]; Australian Government's Cooperative Research Centres Programme through the Antarctic Climate and Ecosystems Cooperative Research Centre (ACE CRC); ARC LIEF funding [LE130100029]; Department of Geosciences, Swedish Museum of Natural History; Australian Postgraduate Award; Curtin Research Scholarship; Rutherford Foundation Postdoctoral Fellowship by the Royal Society Te Aparangi; Australian Research Council [LE130100029] Funding Source: Australian Research Council</t>
  </si>
  <si>
    <t>Australian Antarctic Division; Australian Government's Cooperative Research Centres Programme through the Antarctic Climate and Ecosystems Cooperative Research Centre (ACE CRC)(Australian GovernmentDepartment of Industry, Innovation and ScienceCooperative Research Centres (CRC) Programme); ARC LIEF funding(Australian Research Council); Department of Geosciences, Swedish Museum of Natural History; Australian Postgraduate Award(Australian Government); Curtin Research Scholarship; Rutherford Foundation Postdoctoral Fellowship by the Royal Society Te Aparangi(Royal Society of New Zealand); Australian Research Council(Australian Research Council)</t>
  </si>
  <si>
    <t>This work was supported by the Australian Antarctic Division (AAS 4075), and the Australian Government's Cooperative Research Centres Programme through the Antarctic Climate and Ecosystems Cooperative Research Centre (ACE CRC). The authors would like to thank the Australian Antarctic Division and Casey Station personnel for logistical support. Thank you to the ABN field team for assisting in the collection of samples from Aurora Basin North, in particular thanks to Olivia Maselli, Chris Plummer, and Mana Inoue for snow pit digging and sampling in less than favorable weather conditions. Thanks to Jason Roberts for measuring the geographic coordinates of the snow pit site. Thank you to Ross Edwards for insightful discussions. Technical support was provided by Ross Edwards, Jarrad Radon and Gwyn Huges at the TRACE Facility, Curtin University. The authors acknowledge the Australian Antarctic Division for providing the Aurora Basin North Automatic Weather Station data last accessed 15 December 2021. Access to HR-ICP-MS instrumentation at Curtin University was facilitated through ARC LIEF funding (LE130100029). Isotopic analyses for dust provenance characterization were carried out at the Swedish Museum of Natural History and were supported by the Department of Geosciences, Swedish Museum of Natural History. V.H.L.W. was supported by an Australian Postgraduate Award and Curtin Research Scholarship, and by a Rutherford Foundation Postdoctoral Fellowship administrated by the Royal Society Te Aparangi. Open access publishing facilitated by Curtin University, as part of the Wiley - Curtin University agreement via the Council of Australian University Librarians.</t>
  </si>
  <si>
    <t>e2022JD036586</t>
  </si>
  <si>
    <t>10.1029/2022JD036586</t>
  </si>
  <si>
    <t>2U6JR</t>
  </si>
  <si>
    <t>WOS:000823265100001</t>
  </si>
  <si>
    <t>Wenegrat, JO; Bonanno, E; Rack, U; Gebbie, G</t>
  </si>
  <si>
    <t>Wenegrat, J. O.; Bonanno, E.; Rack, U.; Gebbie, G.</t>
  </si>
  <si>
    <t>A Century of Observed Temperature Change in the Indian Ocean</t>
  </si>
  <si>
    <t>historical temperature observations; Indian Ocean; ocean warming; ocean heat content; Antarctic circumpolar current</t>
  </si>
  <si>
    <t>DIPOLE MODE; PACIFIC; VARIABILITY; EVENTS; HEAT</t>
  </si>
  <si>
    <t>The Indian Ocean is warming rapidly, with widespread effects on regional weather and global climate. Sea-surface temperature records indicate this warming trend extends back to the beginning of the 20th century, however the lack of a similarly long instrumental record of interior ocean temperatures leaves uncertainty around the subsurface trends. Here we utilize unique temperature observations from three historical German oceanographic expeditions of the late 19th and early 20th centuries: SMS Gazelle (1874-1876), Valdivia (1898-1899), and SMS Planet (1906-1907). These observations reveal a mean 20th century ocean warming that extends over the upper 750 m, and a spatial pattern of subsurface warming and cooling consistent with a 1 degrees-2 degrees southward shift of the southern subtropical gyre. These interior changes occurred largely over the last half of the 20th century, providing observational evidence for the acceleration of a multidecadal trend in subsurface Indian Ocean temperature.</t>
  </si>
  <si>
    <t>[Wenegrat, J. O.; Bonanno, E.] Univ Maryland, Dept Atmospher &amp; Ocean Sci, College Pk, MD 20742 USA; [Rack, U.] Univ Canterbury, Sch Earth &amp; Environm, Christchurch, New Zealand; [Gebbie, G.] Woods Hole Oceanog Inst, Woods Hole, MA 02543 USA</t>
  </si>
  <si>
    <t>University System of Maryland; University of Maryland College Park; University of Canterbury; Woods Hole Oceanographic Institution</t>
  </si>
  <si>
    <t>Wenegrat, JO (corresponding author), Univ Maryland, Dept Atmospher &amp; Ocean Sci, College Pk, MD 20742 USA.</t>
  </si>
  <si>
    <t>wenegrat@umd.edu</t>
  </si>
  <si>
    <t>Rack, Ursula/0000-0001-7491-4866; Wenegrat, Jacob/0000-0003-1613-9931</t>
  </si>
  <si>
    <t>U.S. NSF-OCE [82280500]</t>
  </si>
  <si>
    <t>U.S. NSF-OCE</t>
  </si>
  <si>
    <t>The authors acknowledge the effort of many that went into collecting the invaluable data of the Gazelle, Valdivia, and Planet-including many who perished on these voyages. The accessibility of this data, well over a century since it was collected, sets a benchmark for our collective modern efforts. However, we believe it important to acknowledge that these historical expeditions also involved other goals, scientific and political, that were likely harmful to many they encountered, and hence any consideration of their legacy must include a holistic consideration of their impact and historical context. The authors thank Julia Wenegrat for help with digitizing the historical records, the Biodiversity Heritage Library (https://www.biodiversitylibrary.org/) for making available online scanned versions of the original cruise reports, and the Deutsches Schiffahrtsmuseum for assistance locating photographs of the Gazelle. GG is supported by U.S. NSF-OCE 82280500. Insightful suggestions from Mike McPhaden and Raghu Murtugudde during preparation of this manuscript are gratefully acknowledged.</t>
  </si>
  <si>
    <t>e2022GL098217</t>
  </si>
  <si>
    <t>10.1029/2022GL098217</t>
  </si>
  <si>
    <t>2U3NY</t>
  </si>
  <si>
    <t>WOS:000823068900001</t>
  </si>
  <si>
    <t>Cai, YQ; Chen, DK; Mazloff, MR; Lian, T; Liu, XH</t>
  </si>
  <si>
    <t>Cai, Yongqing; Chen, Dake; Mazloff, Matthew R.; Lian, Tao; Liu, Xiaohui</t>
  </si>
  <si>
    <t>Topographic Modulation of the Wind Stress Impact on Eddy Activity in the Southern Ocean</t>
  </si>
  <si>
    <t>eddy field; southern ocean; wind stress; topography; mean flow</t>
  </si>
  <si>
    <t>VARIABILITY; CIRCULATION; TRANSPORT; TRENDS</t>
  </si>
  <si>
    <t>Previous studies proposed that the increase in the eddy kinetic energy (EKE) in the Southern Ocean in recent decades is primarily caused by the strengthening of circumpolar surface westerlies. However, the spatial pattern of EKE change does not match the pattern of wind change. Here, we revisit the relationship between EKE and wind stress through an observational analysis and model experiments and show that the change in EKE is primarily determined by the mean flow. The increasing wind stress intensifies the circumpolar mean flow contributing to increasing EKE; yet strong EKE variations are generally confined downstream of major topographic features. This arises from the releasing of available potential energy as the mean flow passes through the topography. Our results indicate that the change in Southern Ocean eddy activity has a distinct localization characteristic due to the strong dynamical influence of topography.</t>
  </si>
  <si>
    <t>[Cai, Yongqing; Chen, Dake] Zhejiang Univ, Ocean Coll, Zhoushan, Peoples R China; [Chen, Dake; Lian, Tao; Liu, Xiaohui] Minist Nat Resources, Inst Oceanog 2, State Key Lab Satellite Ocean Environm Dynam, Hangzhou, Peoples R China; [Chen, Dake; Lian, Tao; Liu, Xiaohui] Southern Marine Sci &amp; Engn Guangdong Lab Zhuhai, Zhuhai, Peoples R China; [Chen, Dake; Lian, Tao] Shanghai Jiao Tong Univ, Sch Oceanog, Shanghai, Peoples R China; [Mazloff, Matthew R.] Univ Calif San Diego, Scripps Inst Oceanog, La Jolla, CA 92093 USA</t>
  </si>
  <si>
    <t>Zhejiang University; Ministry of Natural Resources of the People's Republic of China; Southern Marine Science &amp; Engineering Guangdong Laboratory; Southern Marine Science &amp; Engineering Guangdong Laboratory (Zhuhai); Shanghai Jiao Tong University; University of California System; University of California San Diego; Scripps Institution of Oceanography</t>
  </si>
  <si>
    <t>Chen, DK (corresponding author), Zhejiang Univ, Ocean Coll, Zhoushan, Peoples R China.;Chen, DK (corresponding author), Minist Nat Resources, Inst Oceanog 2, State Key Lab Satellite Ocean Environm Dynam, Hangzhou, Peoples R China.;Chen, DK (corresponding author), Southern Marine Sci &amp; Engn Guangdong Lab Zhuhai, Zhuhai, Peoples R China.;Chen, DK (corresponding author), Shanghai Jiao Tong Univ, Sch Oceanog, Shanghai, Peoples R China.</t>
  </si>
  <si>
    <t>Chen, Dake/0000-0002-8193-7158; Cai, Yongqing/0000-0002-0326-0874</t>
  </si>
  <si>
    <t>National Natural Science Foundation of China [41730535, 42022043, 42176009]; Zhejiang Provincial Natural Science Foundation of China [LR19D060001]; Impact and Response of Antarctic Seas to Climate Change Program [01-01-01B, 02-01-02]; NSF [OCE-1924388, OPP-1936222, OPP-2149501]; China Scholarship Council [202006320353]; NASA [80NSSC20K1076]</t>
  </si>
  <si>
    <t>National Natural Science Foundation of China(National Natural Science Foundation of China (NSFC)); Zhejiang Provincial Natural Science Foundation of China(Natural Science Foundation of Zhejiang Province); Impact and Response of Antarctic Seas to Climate Change Program; NSF(National Science Foundation (NSF)); China Scholarship Council(China Scholarship Council); NASA(National Aeronautics &amp; Space Administration (NASA))</t>
  </si>
  <si>
    <t>This work was supported by grants from the National Natural Science Foundation of China (41730535, 42022043, and 42176009), the Zhejiang Provincial Natural Science Foundation of China (LR19D060001), and the Impact and Response of Antarctic Seas to Climate Change Program (01-01-01B and 02-01-02). M. R. Mazloff acknowledges funding from NSF awards OCE-1924388, OPP-1936222, and OPP-2149501, and NASA award 80NSSC20K1076. Y. Cai was also supported by the scholarship from the China Scholarship Council (202006320353). We also thank the reviewers for their valuable time and suggestions, which significantly improved the manuscript.</t>
  </si>
  <si>
    <t>e2022GL097859</t>
  </si>
  <si>
    <t>10.1029/2022GL097859</t>
  </si>
  <si>
    <t>2T8OU</t>
  </si>
  <si>
    <t>WOS:000822728300001</t>
  </si>
  <si>
    <t>Wei, YT; Wang, XX; Xie, FL; Shen, HH; Gao, WH; Zhang, WB; Mai, KS</t>
  </si>
  <si>
    <t>Wei, Yuting; Wang, Xiaoxia; Xie, Fangli; Shen, Haohao; Gao, Weihua; Zhang, Wenbing; Mai, Kangsen</t>
  </si>
  <si>
    <t>Influences of replacing dietary fish meal by Antarctic krill meal on growth performance, immunity and muscle quality of white shrimp Litopenaeus vannamei</t>
  </si>
  <si>
    <t>AQUACULTURE REPORTS</t>
  </si>
  <si>
    <t>Diet; Nutrition; Replacement; Immunity; Quality</t>
  </si>
  <si>
    <t>COD GADUS-MORHUA; TASTE-ACTIVE COMPONENTS; SALMON SALMO-SALAR; EUPHAUSIA-SUPERBA; ATLANTIC SALMON; ANTIOXIDANT CAPACITY; PENAEUS-MONODON; ASTAXANTHIN; PROTEIN; SUPPLEMENTATION</t>
  </si>
  <si>
    <t>The present study was conducted to investigate the effects of Antarctic krill Euphausia superba meal replacing dietary fish meal on the growth performance, immunity and muscle quality of white shrimp Litopenaeus vannamei (initial body weight: 4.080 +/- 0.143 g, mean +/- SD). The replacement levels were designed as 0%, 5%, 15%, 30%, 45%, 60%, 75% and 100%, respectively. After a 52-day feeding trial, results showed that the specific growth rate (P = 0.129) and feed intake (P = 0.217) of shrimp were not significantly affected. Feed conversion ratio (FCR, P = 0.000), protein efficiency ratio (PER, P = 0.000) and protein retention (PR, P = 0.000) were significantly affected with a quadratic positive trend for FCR, a linear and quadratic negative trend for PER and a quadratic negative trend for PR. The total haemocyte count (P = 0.307), respiratory burst (P = 0.168), activities of superoxide dismutase (P = 0.221) and glutathione reductase (P = 0.170) in serum were not significantly affected. While, malondialdehyde content (P = 0.000), acid phosphatase (P = 0.000) and alkaline phosphatase activity (P = 0.000) in serum were significantly decreased both in linear and quadratic trend. The carotenoid content in exoskeleton (P = 0.019) and pH in muscle (P = 0.000) were linearly increased. With the increasing replacement levels, n-3 PUFA content (P = 0.001) in muscle significantly decreased and n-6 PUFA (P = 0.000) increased. The ratio of essential amino acid to total amino acid (P = 0.000) and the inosinic acid content in muscle (P = 0.002) were significantly increased with the dietary replacement levels in a linear trend. In conclusion, Antarctic krill meal can totally replace dietary fish meal without negative impact on the growth of L. vannamei. From the perspective of feed utilization, after the quadratic regression analysis of FCR, PER and PR, the appropriate replacement level of dietary fish meal by krill meal for L. vannamei was 52.78%, 68.50% and 47.41%, respectively (i.e., dietary krill meal level was 13.27%, 17.22%, and 11.92%, respectively).</t>
  </si>
  <si>
    <t>[Wei, Yuting] Municipal Fishery Technol Extens Stn, Weifang 261031, Peoples R China; [Wei, Yuting; Wang, Xiaoxia; Xie, Fangli; Shen, Haohao; Zhang, Wenbing; Mai, Kangsen] Minist Agr &amp; Rural Affairs, Key Lab Aquaculture Nutr &amp; Feeds, Qingdao, Peoples R China; [Wei, Yuting; Wang, Xiaoxia; Xie, Fangli; Shen, Haohao; Zhang, Wenbing; Mai, Kangsen] Minist Educ, Key Lab Mariculture, Qingdao, Peoples R China; [Wei, Yuting; Wang, Xiaoxia; Xie, Fangli; Shen, Haohao; Zhang, Wenbing; Mai, Kangsen] Ocean Univ China, Qingdao 266003, Peoples R China; [Gao, Weihua; Zhang, Wenbing; Mai, Kangsen] Yangtze Univ, Hubei Key Lab Waterlogging Disaster &amp; Agr Use Wet, Jingzhou 434024, Peoples R China</t>
  </si>
  <si>
    <t>Ministry of Agriculture &amp; Rural Affairs; Ocean University of China; Yangtze University</t>
  </si>
  <si>
    <t>Zhang, WB (corresponding author), Minist Agr &amp; Rural Affairs, Key Lab Aquaculture Nutr &amp; Feeds, Qingdao, Peoples R China.</t>
  </si>
  <si>
    <t>wzhang@ouc.edu.cn</t>
  </si>
  <si>
    <t>National Key R&amp;D Program of China [2019YFD0900200]</t>
  </si>
  <si>
    <t>National Key R&amp;D Program of China</t>
  </si>
  <si>
    <t>This work was financially supported by the National Key R&amp;D Program of China [2019YFD0900200].</t>
  </si>
  <si>
    <t>2352-5134</t>
  </si>
  <si>
    <t>AQUACULT REP</t>
  </si>
  <si>
    <t>Aquacult. Rep.</t>
  </si>
  <si>
    <t>10.1016/j.aqrep.2022.101256</t>
  </si>
  <si>
    <t>6B5KH</t>
  </si>
  <si>
    <t>WOS:000881370900004</t>
  </si>
  <si>
    <t>da Silva, TH; Gomes, ECQ; Goncalves, VN; da Costa, MC; Valerio, AD; Santos, DD; Johann, S; Convey, P; Rosa, CA; Rosa, LH</t>
  </si>
  <si>
    <t>da Silva, Thamar Holanda; Gomes, Eldon Carlos Queres; Goncalves, Vivian Nicolau; da Costa, Marliete Carvalho; Valerio, Aline Dias; Santos, Daniel de Assis; Johann, Susana; Convey, Peter; Rosa, Carlos Augusto; Rosa, Luiz Henrique</t>
  </si>
  <si>
    <t>Does maritime Antarctic permafrost harbor environmental fungi with pathogenic potential?</t>
  </si>
  <si>
    <t>Antarctica; Climate changes; Pathogenicity</t>
  </si>
  <si>
    <t>NEOSARTORYA-PSEUDOFISCHERI; PENICILLIUM; ASPERGILLUS; DIVERSITY; VIRULENCE; PERITONITIS; ADAPTATION; HIRATSUKAE; INFECTION; TAXONOMY</t>
  </si>
  <si>
    <t>We assessed the potentially pathogenic fungi present in Antarctic permafrost and the overlying active layer on King George, Robert, Livingston and Deception Islands in the South Shetland Islands archipelago, maritime Antarctica. Permafrost and active layer sub-samples were incubated at 37 &amp; DEG;C to select fungi able to grow inside the human body. A total of 67 fungal isolates were obtained, 27 from the permafrost and 40 from the active layer. These represented 18 taxa of the genera Alternaria, Aspergillus, Curvularia, Penicillium, Rhodotorula and Talaromyces. The majority of fungi detected occurred exclusively either in the permafrost or the active layer at each site. Only Aspergillus thermomutatus, Penicillium cf. chrysogenum and Rhodotorula cf. mucilaginosa were present in both permafrost and active layer samples from the same site. The yeast R. cf. mucilaginosa was recovered from both in at least two sites. The genus Penicillium was the most abundant and widely distributed genus in both permafrost and active layer samples across the sites sampled. All fungal isolates were screened using enzymatic, pH and antifungal assays to identify their virulence potential. Aspergillus hiratsukae, A. thermomutatus and R. cf. mucilaginosa, known human opportunistic fungi, were identified, displayed phospholipase, esterase, proteinase and hemolytic activities. All three also displayed the ability to grow at 40 &amp; DEG;, 45 &amp; DEG; and/or 50 &amp; DEG;C and resistance to fluconazole and itraconazole; additionally, R. cf. mucilaginosa showed resistance to amphotericin B and viability after 100 d at -80 &amp; DEG;C. A. thermomutatus UFMGCB 17415 killed the entire larvae of Tenebrio molitor in six days and R. cf. mucilaginosa UFMGCB 17448 and 17473 in three and four days, respectively. The melting of maritime Antarctic permafrost as a result of climate change may threaten the release of wild strains of pathogenic fungi geographically isolated for long time, which may in turn be transported within and beyond Antarctica by different biological and non-biological vectors. (c) 2022 British Mycological Society. Published by Elsevier Ltd. All rights reserved.</t>
  </si>
  <si>
    <t>[da Silva, Thamar Holanda; Gomes, Eldon Carlos Queres; Goncalves, Vivian Nicolau; da Costa, Marliete Carvalho; Valerio, Aline Dias; Santos, Daniel de Assis; Johann, Susana; Rosa, Carlos Augusto; Rosa, Luiz Henrique] Univ Fed Minas Gerais, Dept Microbiol, Belo Horizonte, MG, Brazil; [Convey, Peter] British Antarctic Survey, NERC, High Cross, Madingley Rd, Cambridge CB3 0ET, England; [Convey, Peter] Univ Johannesburg, Dept Zool, POB 524,Auckland Pk, ZA-2006 Johannesburg, South Africa; [Rosa, Luiz Henrique] Univ Fed Minas Gerais, Dept Microbiol, BR-31270901 Belo Horizonte, MG, Brazil</t>
  </si>
  <si>
    <t>Universidade Federal de Minas Gerais; UK Research &amp; Innovation (UKRI); Natural Environment Research Council (NERC); NERC British Antarctic Survey; University of Johannesburg; Universidade Federal de Minas Gerais</t>
  </si>
  <si>
    <t>Rosa, LH (corresponding author), Univ Fed Minas Gerais, Dept Microbiol, BR-31270901 Belo Horizonte, MG, Brazil.</t>
  </si>
  <si>
    <t>Santos, Daniel de Assis/JXW-6936-2024; Convey, Peter/AAV-5728-2020</t>
  </si>
  <si>
    <t>Convey, Peter/0000-0001-8497-9903; Santos, Daniel Assis/0000-0002-1108-5666; DIas Valerio, Aline/0000-0002-1530-6059; Holanda da Silva, Thamar/0000-0002-2858-3354; Carvalho Costa, Marliete/0000-0003-0381-9225</t>
  </si>
  <si>
    <t>CNPq; CAPES; FNDCT; FAPEMIG; INCT Criosfera; PROANTAR; NERC</t>
  </si>
  <si>
    <t>CNPq(Conselho Nacional de Desenvolvimento Cientifico e Tecnologico (CNPQ)); CAPES(Coordenacao de Aperfeicoamento de Pessoal de Nivel Superior (CAPES)); FNDCT; FAPEMIG(Fundacao de Amparo a Pesquisa do Estado de Minas Gerais (FAPEMIG)); INCT Criosfera; PROANTAR; NERC(UK Research &amp; Innovation (UKRI)Natural Environment Research Council (NERC))</t>
  </si>
  <si>
    <t>This study received financial support from CNPq, CAPES, FNDCT, FAPEMIG, INCT Criosfera, PROANTAR. P. Convey is supported by NERC core funding to the British Antarctic Survey's Biodiversity, Evolution and Adaptation' Team.</t>
  </si>
  <si>
    <t>10.1016/j.funbio.2022.04.003</t>
  </si>
  <si>
    <t>3I4JC</t>
  </si>
  <si>
    <t>WOS:000832684300003</t>
  </si>
  <si>
    <t>Hingley, R</t>
  </si>
  <si>
    <t>Hingley, Rebecca</t>
  </si>
  <si>
    <t>Territorializing polar heritage: cultural heritage as a means to exercise symbolic sovereignty in Antarctica</t>
  </si>
  <si>
    <t>TERRITORY POLITICS GOVERNANCE</t>
  </si>
  <si>
    <t>Antarctic geopolitics; cultural heritage management; symbolic sovereignty; soft power; Antarctic Treaty System</t>
  </si>
  <si>
    <t>AUSTRALIA; POWER</t>
  </si>
  <si>
    <t>Cultural heritage in Antarctica is deployed by states for means other than conservation and preservation. Historic remains in this part of the world have come to represent powerful political resources, as well as vulnerable cultural assets. One of the primary geopolitical applications by states is the exercise of symbolic or de facto sovereignty in which states use heritage as a method to demonstrate their durable occupation of territory on and around the continent, and to affect decision-making processes within Antarctic affairs. Ultimately, dilapidated huts and piles of rocks provide states with tangible evidence to assert their past, present and intended future presence in the polar region. This paper investigates the notion of sovereignty within the Antarctic context, before selecting a case example to perform a geopolitical reading of one historic site. It reveals that just as the practice of international relations is often considered a zero-sum game, so can the governance of Antarctic cultural heritage.</t>
  </si>
  <si>
    <t>[Hingley, Rebecca] Univ Tasmania, Inst Marine &amp; Antarct Studies, Hobart, Tas, Australia; [Hingley, Rebecca] Kobe Univ, Kobe, Hyogo, Japan</t>
  </si>
  <si>
    <t>University of Tasmania; Kobe University</t>
  </si>
  <si>
    <t>Hingley, R (corresponding author), Univ Tasmania, Inst Marine &amp; Antarct Studies, Hobart, Tas, Australia.;Hingley, R (corresponding author), Kobe Univ, Kobe, Hyogo, Japan.</t>
  </si>
  <si>
    <t>rebecca.hingley@utas.edu.au</t>
  </si>
  <si>
    <t>Research Training Program of the Australian government</t>
  </si>
  <si>
    <t>This work was supported by the Research Training Program of the Australian government.</t>
  </si>
  <si>
    <t>2162-2671</t>
  </si>
  <si>
    <t>2162-268X</t>
  </si>
  <si>
    <t>TERRIT POLIT GOV</t>
  </si>
  <si>
    <t>Territ. Polit. Gov.</t>
  </si>
  <si>
    <t>2022 JUL 15</t>
  </si>
  <si>
    <t>10.1080/21622671.2022.2094454</t>
  </si>
  <si>
    <t>Geography; Political Science</t>
  </si>
  <si>
    <t>Geography; Government &amp; Law</t>
  </si>
  <si>
    <t>3L7CJ</t>
  </si>
  <si>
    <t>WOS:000834917900001</t>
  </si>
  <si>
    <t>van Beek, P; Francois, R; Honda, M; Charette, MA; Reyss, JL; Ganeshram, R; Monnin, C; Honjo, S</t>
  </si>
  <si>
    <t>van Beek, Pieter; Francois, Roger; Honda, Makio; Charette, Matthew A.; Reyss, Jean-Louis; Ganeshram, Raja; Monnin, Christophe; Honjo, Susumu</t>
  </si>
  <si>
    <t>Fractionation of 226Ra and Ba in the Upper North Pacific Ocean</t>
  </si>
  <si>
    <t>radium; barium; seawater; ratio; fractionation; dating; ocean circulation; suspended particles</t>
  </si>
  <si>
    <t>ORGANIC-CARBON REMINERALIZATION; MARINE BARITE; PARTICULATE MATTER; SUSPENDED BARITE; SOUTHERN-OCEAN; ELECTROLYTE-SOLUTIONS; SATURATION STATE; BIOLOGICAL PUMP; NATURAL-WATERS; VERTICAL FLUX</t>
  </si>
  <si>
    <t>Investigations conducted during the GEOSECS program concluded that radium-226 (T-1/2 = 1602 y) and barium are tightly correlated in waters above 2500 m in the Atlantic, Pacific and Antarctic Oceans, with a fairly uniform Ra-226/Ba ratio of 2.3 +/- 0.2 dpm mu mol(-1) (4.6 nmol Ra-226/mol Ba). Here, we report new Ra-226 and Ba data obtained at three different stations in the Pacific Ocean: stations K1 and K3 in the North-West Pacific and station old Hale Aloha, off Hawaii Island. The relationship between Ra-226 and Ba found at these stations is broadly consistent with that reported during the GEOSECS program. At the three investigated stations, however, we find that the Ra-226/Ba ratios are significantly lower in the upper 500 m of the water column than at greater depths, a pattern that was overlooked during the GEOSECS program, either because of the precision of the measurements or because of the relatively low sampling resolution in the upper 500 m. Although not always apparent in individual GEOSECS profiles, this trend was noted before from the non-zero intercept of the linear regression when plotting the global data set of Ba versus Ra-226 seawater concentration and was attributed, at least in part, to the predominance of surface input from rivers for Ba versus bottom input from sediments for Ra-226. Similarly, low Ra-226/Ba ratios in the upper 500 m have been reported in other oceanic basins (e.g. Atlantic Ocean). Parallel to the low Ra-226/Ba ratios in seawater, higher Ra-226/Ba ratios were found in suspended particles collected in the upper 500 m. This suggests that fractionation between the two elements may contribute to the lower Ra-226/Ba ratios found in the upper 500 m, with Ra-226 being preferentially removed from surface water, possibly as a result of mass fractionation during celestite formation by acantharians and/or barite precipitation, since both chemical elements have similar ionic radius and the same configuration of valence electrons. This finding has implications for dating of marine carbonates by Ra-226, which requires a constant initial Ra-226/Ba ratio incorporated in the shells and for using Ra-226 as an abyssal circulation and mixing tracer.</t>
  </si>
  <si>
    <t>[van Beek, Pieter] Univ Toulouse III Paul Sabatier, Univ Toulouse, Lab Etud Geophys &amp; Oceanog Spatiales LEGOS, CNES,CNRS.IRD, Toulouse, France; [Francois, Roger] Univ British Columbia, Dept Earth Ocean &amp; Atmospher Sci, Vancouver, BC, Canada; [Honda, Makio] Japan Agcy Marine Earth Sci &amp; Technol JAMSTEC, Dept Environm Geochem Cycle Res DEGCR, Yokosuka, Japan; [Charette, Matthew A.; Honjo, Susumu] Woods Hole Oceanog Inst, Dept Marine Chem &amp; Geochem, WoodsHole, MA USA; [Reyss, Jean-Louis] Lab Sci Climat &amp; Environm, Gif Sur Yvette, France; [Ganeshram, Raja] Univ Edinburgh, Grant Inst, Sch Geosci, Edinburgh, Scotland; [Monnin, Christophe] CNES, Observ Midi Pyrenees, Geosci Environm Toulouse,CNRS,UPS, IRD, Toulouse, France</t>
  </si>
  <si>
    <t>Universite de Toulouse; Universite Toulouse III - Paul Sabatier; Institut de Recherche pour le Developpement (IRD); University of British Columbia; Japan Agency for Marine-Earth Science &amp; Technology (JAMSTEC); CEA; Centre National de la Recherche Scientifique (CNRS); Universite Paris Saclay; University of Edinburgh; Institut de Recherche pour le Developpement (IRD); Universite de Toulouse; Universite Toulouse III - Paul Sabatier; Centre National de la Recherche Scientifique (CNRS)</t>
  </si>
  <si>
    <t>van Beek, P (corresponding author), Univ Toulouse III Paul Sabatier, Univ Toulouse, Lab Etud Geophys &amp; Oceanog Spatiales LEGOS, CNES,CNRS.IRD, Toulouse, France.</t>
  </si>
  <si>
    <t>vanbeek@legos.obs-mip.fr</t>
  </si>
  <si>
    <t>Ganeshram, Raja S/JPX-5314-2023</t>
  </si>
  <si>
    <t>van Beek, Pieter/0000-0002-3872-8916</t>
  </si>
  <si>
    <t>Lavoisier fellowship; Woods Hole Oceanographic Institution (WHOI); European Union; National Science Foundation, Chemical Oceanography program</t>
  </si>
  <si>
    <t>Lavoisier fellowship; Woods Hole Oceanographic Institution (WHOI); European Union(European Union (EU)); National Science Foundation, Chemical Oceanography program(National Science Foundation (NSF)NSF - Directorate for Geosciences (GEO))</t>
  </si>
  <si>
    <t>We are grateful to the crews and captains of RV WECOMA (USA), RV Kaimikai-o-Kanaloa (USA) and RV Mirai (Japan). We thank Mike Bacon, chief scientists on board RV WECOMA and RV KoK. We thank Kazuhiro Hayashi and Markus Kienast for their help during sampling on board RV Mirai. We thank Larry Ball and David Schneider at the ICP/MS of WHOI, USA, and Valerie Olive at the ICP/MS of East Kilbride, Scotland, UK. We also thank Alan Fleer and Susan Brown-Leger at WHOI for their help in the lab and at sea (Hale Aloha). We thank Charlotte Riccio, Thierry Sampieri and Jean-Louis Saury at the underground laboratory of Modane (LSM). We thank Remi Freydier and Marc Souhaut for their help at the ICP/MS at Observatoire Midi Pyrenees. We thank Steven Manganini and Jerzy Blusztajn for constructive discussions on the project. This work was supported by a Lavoisier fellowship attributed by the French Ministry of Foreign Affairs to PB in year 2002 and by the Woods Hole Oceanographic Institution (WHOI). This work was completed at the University of Edinburgh in 2003, while PB was a postdoctoral fellow there, with a Marie Curie fellowship from the European Union. The European Union is thus also thanked. MC acknowledges support from the National Science Foundation, Chemical Oceanography program. We thank the two reviewers for their constructive comments that allowed us to improve the quality of the manuscript, as well as Nuria Casacuberta and Paul MacGinnity, associate editors. This paper is dedicated to the memory of SH. PB and Markus Kienast are sampling Niskin bottles on board RV Mirai in the NW Pacific under the supervision of Susumu Honjo (December 2002).</t>
  </si>
  <si>
    <t>JUL 15</t>
  </si>
  <si>
    <t>10.3389/fmars.2022.859117</t>
  </si>
  <si>
    <t>3K7NJ</t>
  </si>
  <si>
    <t>WOS:000834261600001</t>
  </si>
  <si>
    <t>Lewis, PJ; Lashko, A; Chiaradia, A; Allinson, G; Shimeta, J; Emmerson, L</t>
  </si>
  <si>
    <t>Lewis, Phoebe J.; Lashko, Anna; Chiaradia, Andre; Allinson, Graeme; Shimeta, Jeff; Emmerson, Louise</t>
  </si>
  <si>
    <t>New and legacy persistent organic pollutants (POPs) in breeding seabirds from the East Antarctic</t>
  </si>
  <si>
    <t>Persistent organic pollutants (POPs); Antarctic seabirds; Polybrominated diphenyl ethers (PBDEs); Polychlorinated biphenyls (PCBs); Novel brominated flame retardants (NBFRs); Body condition</t>
  </si>
  <si>
    <t>POLYBROMINATED DIPHENYL ETHERS; POLYCHLORINATED BIPHENYL CONGENERS; PENGUINS PYGOSCELIS-ADELIAE; AVIAN TOP PREDATORS; KING GEORGE ISLAND; DRONNING MAUD LAND; SOUTH POLAR SKUA; ORGANOCHLORINE POLLUTANTS; FLAME RETARDANTS; STABLE-ISOTOPES</t>
  </si>
  <si>
    <t>Persistent organic pollutants (POPs) are pervasive and a significant threat to the environment worldwide. Yet, reports of POP levels in Antarctic seabirds based on blood are scarce, resulting in significant geographical gaps. Blood concentrations offer a snapshot of contamination within live populations, and have been used widely for Arctic and Northern Hemisphere seabird species but less so in Antarctica. This paper presents levels of legacy POPs (polychlorinated biphenyls (PCBs), organochlorine pesticides (OCPs) and polybrominated diphenyl ethers (PBDEs)) and novel brominated flame retardants (NBFRs) in the blood of five Antarctic seabird species breeding within Prydz Bay, East Antarctica. Legacy PCBs and OCPs were detected in all species sampled, with Adelie penguins showing comparatively high sigma PCB levels (61.1 &amp; PLUSMN; 87.6 ng/g wet weight (ww)) compared to the four species of flying seabirds except the snow petrel (22.5 &amp; PLUSMN; 15.5 ng/g ww), highlighting that legacy POPs are still present within Antarctic wildlife despite decades-long bans. Both PBDEs and NBFRs were detected in trace levels for all species and hexabromobenzene (HBB) was quantified in cape petrels (0.3 &amp; PLUSMN; 0.2 ng/g ww) and snow petrels (0.2 &amp; PLUSMN; 0.1 ng/g ww), comparable to concentrations found in Arctic seabirds. These results fill a significant data gap within the Antarctic region for POPs studies, representing a crucial step forward assessing the fate and impact of legacy POPs contamination in the Antarctic environment.</t>
  </si>
  <si>
    <t>[Lewis, Phoebe J.; Allinson, Graeme; Shimeta, Jeff] RMIT Univ, Sch Sci, GPO Box 2476, Melbourne, Vic 3001, Australia; [Lashko, Anna; Emmerson, Louise] Australian Antarctic Div, 203 Channel Highway, Kingston, Tas 7050, Australia; [Chiaradia, Andre] Conservat Dept, Phillip Isl Nat Pk, Rhyll, Vic 3925, Australia</t>
  </si>
  <si>
    <t>Royal Melbourne Institute of Technology (RMIT); Melbourne Genomics Health Alliance; Australian Antarctic Division</t>
  </si>
  <si>
    <t>Lewis, PJ (corresponding author), RMIT Univ, Sch Sci, GPO Box 2476, Melbourne, Vic 3001, Australia.</t>
  </si>
  <si>
    <t>phoebe.lewis@rmit.edu.au</t>
  </si>
  <si>
    <t>Lewis, Phoebe/0000-0002-6162-850X</t>
  </si>
  <si>
    <t>Australian Antarctic Science [4087, 4518]; Australian Government Research Training Program Scholarship; Australian Antarctic Division</t>
  </si>
  <si>
    <t>Australian Antarctic Science; Australian Government Research Training Program Scholarship(Australian GovernmentDepartment of Industry, Innovation and Science); Australian Antarctic Division</t>
  </si>
  <si>
    <t>This work was partially funded through, and in support of Australian Antarctic Science projects 4087 and 4518. Phoebe Lewis was supported by receipt of an Australian Government Research Training Program Scholarship. Logistical support was provided by the Australian Antarctic Division. We are also very grateful for the essential sampling assistance from Dr Gideon Geerling, Chris Gallagher and Nick Morgan. All animal handling and sampling procedures were approved by the Australian Antarctic Program Animal Ethics Committee to AAS 4087. We also thank the three reviewers who contributed significant expertise in improving this manuscript.</t>
  </si>
  <si>
    <t>10.1016/j.envpol.2022.119734</t>
  </si>
  <si>
    <t>3G6ZF</t>
  </si>
  <si>
    <t>WOS:000831499400013</t>
  </si>
  <si>
    <t>Dittrich, R; Henley, SF; Ducklow, HW; Meredith, MP</t>
  </si>
  <si>
    <t>Dittrich, Ribanna; Henley, Sian F.; Ducklow, Hugh W.; Meredith, Michael P.</t>
  </si>
  <si>
    <t>Dissolved organic carbon and nitrogen cycling along the west Antarctic Peninsula during summer</t>
  </si>
  <si>
    <t>Nitrogen cycling; Biogeochemistry; West Antarctic Peninsula; Stable isotopes; Dissolved organic matter; Sea ice</t>
  </si>
  <si>
    <t>NORTHERN MARGUERITE BAY; CIRCUMPOLAR DEEP-WATER; NUCLEIC-ACID CONTENT; SOUTHERN-OCEAN; SEA-ICE; PHYTOPLANKTON DYNAMICS; COMMUNITY COMPOSITION; CONTINENTAL-SHELF; COASTAL WATERS; FLOW-CYTOMETRY</t>
  </si>
  <si>
    <t>The cycling of dissolved organic matter in the productive west Antarctic Peninsula (WAP) region is not well understood. For this study, dissolved organic carbon (DOC) and nitrogen (DON) concentrations and other biogeochemical measurements were collected along the WAP shelf during austral summer 2017. Concentrations of both DOC and DON in the upper ocean were lower than in lower latitudes (38.13-48.00 mu mol C L-1, 2.90-10.52 mu mol N L-1). DOC is produced along with particulate organic carbon during primary production, and is subsequently consumed by bacteria. DON shows high variability and is more likely the product of bacterial activity only in the surface waters. The N-isotopic composition of nitrate and particulate nitrogen showed intense nitrification, especially along the coast, and supports the findings of intense upper ocean cycling of organic matter of both particulate and dissolved forms. Export of DOM from the productive surface layer was negligible in the shelf waters of the WAP. Samples from glacial melt areas showed increased DON concentrations (7.88-10.52 mu mol N L-1) so we conclude that increasing warming and continuing melting of Antarctic glaciers may lead to higher concentrations of dissolved organic matter but also higher bacterial activity with more intense upper-ocean carbon and nitrogen cycling.</t>
  </si>
  <si>
    <t>[Dittrich, Ribanna; Henley, Sian F.] Univ Edinburgh, Edinburgh, Midlothian, Scotland; [Ducklow, Hugh W.] Lamont Doherty Earth Observ, Palisades, NY USA; [Meredith, Michael P.] British Antarctic Survey, Cambridge, England</t>
  </si>
  <si>
    <t>University of Edinburgh; Columbia University; UK Research &amp; Innovation (UKRI); Natural Environment Research Council (NERC); NERC British Antarctic Survey</t>
  </si>
  <si>
    <t>Dittrich, R (corresponding author), Univ Edinburgh, Sch GeoSci, Grant Inst, Kings Bldg,James Hutton Rd, Edinburgh EH9 3FE, Midlothian, Scotland.</t>
  </si>
  <si>
    <t>Ribanna.Dittrich@gmail.com</t>
  </si>
  <si>
    <t>UK Natural Environment Research Council (NERC); UK NERC Independent Research Fellowship [NE/K010034/1]; NSF [OPP-1440435]</t>
  </si>
  <si>
    <t>UK Natural Environment Research Council (NERC)(UK Research &amp; Innovation (UKRI)Natural Environment Research Council (NERC)); UK NERC Independent Research Fellowship(UK Research &amp; Innovation (UKRI)Natural Environment Research Council (NERC)); NSF(National Science Foundation (NSF))</t>
  </si>
  <si>
    <t>RD was funded by the UK Natural Environment Research Council (NERC) through a PhD studentship of the E3 Doctoral Training Part- nership (DTP) at the University of Edinburgh. The research program was supported by a UK NERC Independent Research Fellowship awarded to SFH (NE/K010034/1) . Primary production and chlorophyll data were obtained by O. Schofield, Rutgers University. Sea ice data were fur- nished by S. Stammerjohn, Univ Colorado -Boulder. Parts of this research were supported by NSF OPP-1440435 (Palmer LTER) . Ducklow ? s contribution was sponsored in part by a gift from the VetlesonFoundation.</t>
  </si>
  <si>
    <t>10.1016/j.pocean.2022.102854</t>
  </si>
  <si>
    <t>3F7TB</t>
  </si>
  <si>
    <t>WOS:000830865800002</t>
  </si>
  <si>
    <t>Glotov, SV; Martynov, AV; Shavrin, AV</t>
  </si>
  <si>
    <t>Glotov, Serhii, V; Martynov, Alexander, V; Shavrin, Alexey, V</t>
  </si>
  <si>
    <t>A catalogue of the types of rove beetles (Coleoptera: Staphylinidae) deposited in the collection of Johan Heinrich Hochhuth in the National Museum of Natural History of the National Academy of Sciences of Ukraine</t>
  </si>
  <si>
    <t>Staphylinidae; catalogue; lectotype designations; taxonomy; type specimens; Kyiv; Ukraine</t>
  </si>
  <si>
    <t>ALEOCHARINAE</t>
  </si>
  <si>
    <t>Type specimens of Staphylinidae (Coleoptera) from the collection of J.H. Hochhuth (1810???1872) deposited in National Museum of Natural History of the National Academy of Sciences of Ukraine (Kyiv) are currently being catalogued and illustrated. This catalogue presents information about 103 type specimens (14 holotypes, 80 lecto-and paratypes, and nine syntypes) belonging to 67 nominal species. Several lectotypes are designated: Conurus erythrocephalus Hochhuth, 1849, Aleochara solida Hochhuth, 1849, Trogophloeus kiesenwetterii Hochhuth, 1851, Ocypus pullus Hochhuth, 1849, Philonthus armeniacus Hochhuth, 1851, P. interpunctatus Hochhuth, 1860, and P. subopacus Hochhuth, 1851.</t>
  </si>
  <si>
    <t>[Glotov, Serhii, V] Natl Acad Sci Ukraine, State Museum Nat Sci, Teatralna Str 18, UA-79008 Lvov, Ukraine; [Glotov, Serhii, V] Minist Educ &amp; Sci Ukraine, State Inst Natl Antarctic Sci Ctr, 16 Taras Shevchenko Blvd, UA-01601 Kiev, Ukraine; [Martynov, Alexander, V] Natl Acad Sci Ukraine, Natl Museum Nat Hist, Bohdan Khmelnytsky Str 15, UA-01030 Kiev, Ukraine; [Shavrin, Alexey, V] Daugavpils Univ, Inst Life Sci &amp; Technol, Vienibas 13, LV-5401 Daugavpils, Latvia</t>
  </si>
  <si>
    <t>National Academy of Sciences Ukraine; Ministry of Education &amp; Science of Ukraine; State Institution National Antarctic Scientific Center; National Academy of Sciences Ukraine; National Museum of Natural History, NAS of Ukraine; University of Daugavpils</t>
  </si>
  <si>
    <t>Shavrin, AV (corresponding author), Daugavpils Univ, Inst Life Sci &amp; Technol, Vienibas 13, LV-5401 Daugavpils, Latvia.</t>
  </si>
  <si>
    <t>sergijglotov@gmail.com; centroptilum@gmail.com; ashavrin@hotmail.com</t>
  </si>
  <si>
    <t>Martynov, Alexander V./AAR-4243-2020</t>
  </si>
  <si>
    <t>Glotov, Sergii/0000-0003-3986-0844; Martynov, Alexander/0000-0002-6506-5134; Shavrin, Alexey/0000-0001-6487-4530</t>
  </si>
  <si>
    <t>10.11646/zootaxa.5165.3.1</t>
  </si>
  <si>
    <t>3F0GY</t>
  </si>
  <si>
    <t>WOS:000830354000001</t>
  </si>
  <si>
    <t>Toll-Riera, M; Olombrada, M; Castro-Giner, F; Wagner, A</t>
  </si>
  <si>
    <t>Toll-Riera, Macarena; Olombrada, Miriam; Castro-Giner, Francesc; Wagner, Andreas</t>
  </si>
  <si>
    <t>A limit on the evolutionary rescue of an Antarctic bacterium from rising temperatures</t>
  </si>
  <si>
    <t>ESCHERICHIA-COLI; CLIMATE-CHANGE; MARINE HEATWAVES; RAPID EVOLUTION; ADAPTATION; GROWTH; GENOME; POPULATIONS; EXTINCTION; DISCOVERY</t>
  </si>
  <si>
    <t>Climate change is gradual, but it can also cause brief extreme heat waves that can exceed the upper thermal limit of any one organism. To study the evolutionary potential of upper thermal tolerance, we evolved the cold-adapted Antarctic bacterium Pseudoalteromonas haloplanktis to survive at 30 degrees C, beyond its ancestral thermal limit. This high-temperature adaptation occurred rapidly and in multiple populations. It involved genomic changes that occurred in a highly parallel fashion and mitigated the effects of protein misfolding. However, it also confronted a physiological limit, because populations failed to grow beyond 30 degrees C. Our experiments aimed to facilitate evolutionary rescue by using a small organism with large populations living at temperatures several degrees below their upper thermal limit. Larger organisms with smaller populations and living at temperatures closer to their upper thermal tolerances are even more likely to go extinct during extreme heat waves.</t>
  </si>
  <si>
    <t>[Toll-Riera, Macarena; Olombrada, Miriam; Wagner, Andreas] Univ Zurich, Dept Evolutionary Biol &amp; Environm Studies, Zurich, Switzerland; [Castro-Giner, Francesc] Swiss Fed Inst Technol, Dept Biol, Zurich, Switzerland; [Wagner, Andreas] Swiss Inst Bioinformat, Lausanne, Switzerland; [Wagner, Andreas] Santa Fe Inst, Santa Fe, NM 87501 USA; [Wagner, Andreas] Stellenbosch Univ, Stellenbosch Inst Adv Study STIAS, Wallenberg Res Ctr, ZA-7600 Stellenbosch, South Africa; [Toll-Riera, Macarena] Swiss Fed Inst Technol, Inst Integrat Biol, Zurich, Switzerland</t>
  </si>
  <si>
    <t>University of Zurich; Swiss Federal Institutes of Technology Domain; ETH Zurich; Swiss Institute of Bioinformatics; The Santa Fe Institute; Stellenbosch University; Swiss Federal Institutes of Technology Domain; ETH Zurich</t>
  </si>
  <si>
    <t>Toll-Riera, M; Wagner, A (corresponding author), Univ Zurich, Dept Evolutionary Biol &amp; Environm Studies, Zurich, Switzerland.;Wagner, A (corresponding author), Swiss Inst Bioinformat, Lausanne, Switzerland.;Wagner, A (corresponding author), Santa Fe Inst, Santa Fe, NM 87501 USA.;Wagner, A (corresponding author), Stellenbosch Univ, Stellenbosch Inst Adv Study STIAS, Wallenberg Res Ctr, ZA-7600 Stellenbosch, South Africa.;Toll-Riera, M (corresponding author), Swiss Fed Inst Technol, Inst Integrat Biol, Zurich, Switzerland.</t>
  </si>
  <si>
    <t>mtollriera@gmail.com; andreas.wagner@ieu.uzh.ch</t>
  </si>
  <si>
    <t>Castro-Giner, Francesc/D-7992-2014; Toll-Riera, Macarena/A-7735-2018</t>
  </si>
  <si>
    <t>Castro-Giner, Francesc/0000-0001-6111-0754; Toll-Riera, Macarena/0000-0003-0978-3139</t>
  </si>
  <si>
    <t>Swiss National Science Foundation [31003A_172887, PZ00P3_161545, PR00P3_185899]; European Research Council [739874]; University Priority Research Program in Evolutionary Biology at the University of Zurich; Swiss National Science Foundation (SNF) [PR00P3_185899, PZ00P3_161545] Funding Source: Swiss National Science Foundation (SNF)</t>
  </si>
  <si>
    <t>Swiss National Science Foundation(Swiss National Science Foundation (SNSF)); European Research Council(European Research Council (ERC)); University Priority Research Program in Evolutionary Biology at the University of Zurich; Swiss National Science Foundation (SNF)(Swiss National Science Foundation (SNSF))</t>
  </si>
  <si>
    <t>This work was supported by the Swiss National Science Foundation, Ambizione grant PZ00P3_161545 (to M.T.-R.); the Swiss National Science Foundation, PRIMA grant PR00P3_185899 (to M.T.-R.); the European Research Council under grant agreement no. 739874 (to A.W.); the Swiss National Science Foundation, grant 31003A_172887 (to A.W.); and the University Priority Research Program in Evolutionary Biology at the University of Zurich (to A.W.).</t>
  </si>
  <si>
    <t>eahk3511</t>
  </si>
  <si>
    <t>10.1126/sciadv.abk3511</t>
  </si>
  <si>
    <t>2Z2AD</t>
  </si>
  <si>
    <t>WOS:000826385700001</t>
  </si>
  <si>
    <t>Bergelin, M; Putkonen, J; Balco, G; Morgan, D; Corbett, LB; Bierman, PR</t>
  </si>
  <si>
    <t>Bergelin, Marie; Putkonen, Jaakko; Balco, Greg; Morgan, Daniel; Corbett, Lee B.; Bierman, Paul R.</t>
  </si>
  <si>
    <t>Cosmogenic nuclide dating of two stacked ice masses: Ong Valley, Antarctica</t>
  </si>
  <si>
    <t>MCMURDO DRY VALLEYS; CENTRAL TRANSANTARCTIC MOUNTAINS; MIOCENE GLACIER ICE; BEACON VALLEY; PRODUCTION-RATES; EROSION RATES; OLDEST-ICE; BE-10; AL-26; SUBLIMATION</t>
  </si>
  <si>
    <t>We collected a debris-rich ice core from a buried ice mass in Ong Valley, located in the Transantarctic Mountains in Antarctica. We measured cosmogenic nuclide concentrations in quartz obtained from the ice core to determine the age of the buried ice mass and infer the processes responsible for the emplacement of the debris currently overlaying the ice. Such ice masses are valuable archives of paleoclimate proxies; however, the preservation of ice beyond 800 kyr is rare, and therefore much effort has been recently focused on finding ice that is older than 1 Myr. In Ong Valley, the large, buried ice mass has been previously dated at &gt; 1.1 Ma. Here we provide a forward model that predicts the accumulation of the cosmic-ray-produced nuclides Be-10, Ne-21, and Al-26 in quartz in the englacial and supraglacial debris and compare the model predictions to measured nuclide concentrations in order to further constrain the age. Large downcore variation in measured cosmogenic nuclide concentrations suggests that the englacial debris is sourced both from subglacially derived material and recycled paleo-surface debris that has experienced surface exposure prior to entrainment. We find that the upper section of the ice core is 2.95 + 0.18 / -0.22 Myr old. The average ice sublimation rate during this time period is 22.86 + 0.10 / -0.09 m Myr(-1), and the surface erosion rate of the debris is 0.206 + 0.013 / -0.017 m Myr(-1). Burial dating of the recycled paleo-surface debris suggests that the lower section of the ice core belongs to a separate, older ice mass which we estimate to be 4.3-5.1 Myr old. The ages of these two stacked, separate ice masses can be directly related to glacial advances of the Antarctic ice sheet and potentially coincide with two major global glaciations during the early and late Pliocene epoch when global temperatures and CO2 were higher than present. These ancient ice masses represent new opportunities for gathering ancient climate information.</t>
  </si>
  <si>
    <t>[Bergelin, Marie; Putkonen, Jaakko] Univ North Dakota, Harold Hamm Sch Geol &amp; Geol Engn, Grand Forks, ND 58202 USA; [Balco, Greg] Berkeley Geochronol Ctr, Berkeley, CA USA; [Morgan, Daniel] Vanderbilt Univ, Dept Earth &amp; Environm Sci, 221 Kirkland Hall, Nashville, TN 37235 USA; [Corbett, Lee B.; Bierman, Paul R.] Univ Vermont, Rubenstein Sch Environm &amp; Nat Resources, Natl Sci Fdn Community Cosmogen Facil, Burlington, VT USA</t>
  </si>
  <si>
    <t>University of North Dakota Grand Forks; Berkeley Geochronolgy Center; Vanderbilt University; University of Vermont</t>
  </si>
  <si>
    <t>Bergelin, M (corresponding author), Univ North Dakota, Harold Hamm Sch Geol &amp; Geol Engn, Grand Forks, ND 58202 USA.</t>
  </si>
  <si>
    <t>marie.bergelin@und.edu</t>
  </si>
  <si>
    <t>Bierman, Paul/AAA-9466-2020</t>
  </si>
  <si>
    <t>Bierman, Paul/0000-0001-9627-4601</t>
  </si>
  <si>
    <t>U.S. National Science Foundation [EAR-1735676]; Ann and Gordon Getty Foundation</t>
  </si>
  <si>
    <t>U.S. National Science Foundation(National Science Foundation (NSF)); Ann and Gordon Getty Foundation</t>
  </si>
  <si>
    <t>This project was supported by the U.S. National Science Foundation via grants OPP-1445205, OPP-1445168, and OPP-1445169. In addition, Greg Balco's work on this project was partially supported by the Ann and Gordon Getty Foundation. The University of Vermont Community Cosmogenic Facility is supported by the U.S. National Science Foundation via grant number EAR-1735676.</t>
  </si>
  <si>
    <t>10.5194/tc-16-2793-2022</t>
  </si>
  <si>
    <t>2X6MC</t>
  </si>
  <si>
    <t>WOS:000825314500001</t>
  </si>
  <si>
    <t>Zhao, C; Gladstone, R; Galton-Fenzi, BK; Gwyther, D; Hattermann, T</t>
  </si>
  <si>
    <t>Zhao, Chen; Gladstone, Rupert; Galton-Fenzi, Benjamin Keith; Gwyther, David; Hattermann, Tore</t>
  </si>
  <si>
    <t>Evaluation of an emergent feature of sub-shelf melt oscillations from an idealized coupled ice sheet-ocean model using FISOC (v1.1) - ROMSIceShelf (v1.0) - Elmer/Ice (v9.0)</t>
  </si>
  <si>
    <t>PARAMETERIZATION; IMPLEMENTATION; RETREAT; DESIGN; BASE</t>
  </si>
  <si>
    <t>Changes in ocean-driven basal melting have a key influence on the stability of ice shelves, the mass loss from the ice sheet, ocean circulation, and global sea level rise. Coupled ice sheet-ocean models play a critical role in understanding future ice sheet evolution and examining the processes governing ice sheet responses to basal melting. However, as a new approach, coupled ice sheet-ocean systems come with new challenges, and the impacts of solutions implemented to date have not been investigated. An emergent feature in several contributing coupled models to the 1st Marine Ice Sheet-Ocean Model Intercomparison Project (MISOMIP1) was a time-varying oscillation in basal melt rates. Here, we use a recently developed coupling framework, FISOC (v1.1), to connect the modified ocean model ROMSIceShelf (v1.0) and ice sheet model Elmer/Ice (v9.0), to investigate the origin and implications of the feature and, more generally, the impact of coupled modeling strategies on the simulated basal melt in an idealized ice shelf cavity based on the MISOMIP setup. We found the spatial-averaged basal melt rates (3.56 m yr(-1)) oscillated with an amplitude similar to 0.7 m yr(-1) and approximate period of similar to 6 years between year 30 and 100 depending on the experimental design. The melt oscillations emerged in the coupled system and the standalone ocean model using a prescribed change of cavity geometry. We found that the oscillation feature is closely related to the discretized ungrounding of the ice sheet, exposing new ocean, and is likely strengthened by a combination of positive buoyancy-melt feedback and/or melt-geometry feedback near the grounding line, and the frequent coupling of ice geometry and ocean evolution. Sensitivity tests demonstrate that the oscillation feature is always present, regardless of the choice of coupling interval, vertical resolution in the ocean model, tracer properties of cells ungrounded by the retreating ice sheet, or the dependency of friction velocities to the vertical resolution. However, the amplitude, phase, and sub-cycle variability of the oscillation varied significantly across the different configurations. We were unable to ultimately determine whether the feature arises purely due to numerical issues (related to discretization) or a compounding of multiple physical processes amplifying a numerical artifact. We suggest a pathway and choices of physical parameters to help other efforts understand the coupled ice sheet-ocean system using numerical models.</t>
  </si>
  <si>
    <t>[Zhao, Chen; Galton-Fenzi, Benjamin Keith] Univ Tasmania, Inst Marine &amp; Antarctic Studies, Australian Antarct Program Partnership, Hobart, Tas, Australia; [Gladstone, Rupert] Univ Lapland, Arctic Ctr, Rovaniemi, Finland; [Galton-Fenzi, Benjamin Keith] Australian Antarctic Div, Kingston, Tas, Australia; [Galton-Fenzi, Benjamin Keith] Univ Tasmania, Australian Ctr Excellence Antarctic Sci, Hobart, Tas, Australia; [Gwyther, David] Univ Queensland, Sch Math &amp; Phys, St Lucia, Qld, Australia; [Gwyther, David] Univ New South Wales, Coastal &amp; Reg Oceanog Lab, Sch Biol Earth &amp; Environm Sci, Sydney, NSW, Australia; [Hattermann, Tore] Norwegian Polar Res Inst, Tromso, Norway; [Hattermann, Tore] Univ Tromso, Arctic Univ, Dept Phys &amp; Technol, Energy &amp; Climate Grp, Tromso, Norway</t>
  </si>
  <si>
    <t>University of Tasmania; University of Lapland; Australian Antarctic Division; University of Tasmania; University of Queensland; University of New South Wales Sydney; Norwegian Polar Institute; UiT The Arctic University of Tromso</t>
  </si>
  <si>
    <t>Zhao, C (corresponding author), Univ Tasmania, Inst Marine &amp; Antarctic Studies, Australian Antarct Program Partnership, Hobart, Tas, Australia.</t>
  </si>
  <si>
    <t>chen.zhao@utas.edu.au</t>
  </si>
  <si>
    <t>Zhao, Chen/S-2693-2019; Gwyther, David E/Q-2987-2018; Gladstone, Rupert/C-1086-2013</t>
  </si>
  <si>
    <t>Zhao, Chen/0000-0003-0368-1334; Gwyther, David E/0000-0002-7218-2785; Gladstone, Rupert/0000-0002-1582-3857; Galton-Fenzi, Benjamin Keith/0000-0003-1404-4103</t>
  </si>
  <si>
    <t>Australian Government as part of the Antarctic Science Collaboration Initiative program [ASCI000002]; Australian Research Council Special Research Initiative; Australian Centre for Excellence in Antarctic Science [SR200100008]; Academy of Finland [322430]; Norwegian Research Council [295075]; Academy of Finland (AKA) [322430] Funding Source: Academy of Finland (AKA)</t>
  </si>
  <si>
    <t>Australian Government as part of the Antarctic Science Collaboration Initiative program(Australian Government); Australian Research Council Special Research Initiative(Australian Research Council); Australian Centre for Excellence in Antarctic Science; Academy of Finland(Research Council of Finland); Norwegian Research Council(Research Council of Norway); Academy of Finland (AKA)(Research Council of Finland)</t>
  </si>
  <si>
    <t>This research has been supported by the Australian Government as part of the Antarctic Science Collaboration Initiative program (grant no. ASCI000002), the Australian Research Council Special Research Initiative, Australian Centre for Excellence in Antarctic Science (project no. SR200100008), the Academy of Finland (grant no. 322430), and the Norwegian Research Council (project no. 295075).</t>
  </si>
  <si>
    <t>10.5194/gmd-15-5421-2022</t>
  </si>
  <si>
    <t>2X8NS</t>
  </si>
  <si>
    <t>WOS:000825456500001</t>
  </si>
  <si>
    <t>Nicoll, MAC; Cole, NC; Horswill, C; Jones, CG; Ratcliffe, N; Ruhomaun, K; Tatayah, V; Norris, K</t>
  </si>
  <si>
    <t>Nicoll, Malcolm A. C.; Cole, Nik C.; Horswill, Catherine; Jones, Carl G.; Ratcliffe, Norman; Ruhomaun, Kevin; Tatayah, Vikash; Norris, Ken</t>
  </si>
  <si>
    <t>No detectable effect of geolocator deployment on the short- or long-term apparent survival of a tropical seabird</t>
  </si>
  <si>
    <t>biologging; geolocators; long-term study; migration; mortality; Pterodroma; tag impact; tropical seabird</t>
  </si>
  <si>
    <t>MIGRATION STRATEGIES; CAPTURE-RECAPTURE; SENESCENCE; METAANALYSIS; LIFE; CONSEQUENCES; TRACKING; ISLAND; BIRDS; RATES</t>
  </si>
  <si>
    <t>A wide range of biologging devices are now commonly deployed to study the movement ecology of birds, but deployment of these devices is not without its potential risks and negative impacts on the welfare, behaviour and fitness of tagged individuals. However, empirical evidence for the effects of tags is equivocal. Global location sensing (GLS) loggers are small, light level recording devices that are well suited to studying the large-scale migratory movements of many birds. However, few published studies have examined their impact on adult survival, a key demographic rate for long-lived species, such as seabirds. To address this, we have collated a long-term mark-recapture dataset in conjunction with a 10-year GLS tagging programme and examined the impact of tarsus-mounted GLS loggers on the adult apparent survival probabilities of a medium-sized tropical gadfly petrel. We found no evidence to indicate that deployment of GLS loggers affected apparent adult survival probabilities either in the short term, i.e. during deployment, or in the long term, i.e. from carrying a device at some point in the past. Annual adult apparent survival was estimated at 0.965 (95% CI 0.962-0.968) during 1993-2018. Our findings suggest that using GLS loggers to document the movements of medium-sized gadfly petrels over multiple years is a viable technique without negatively impacting adult survival. This result has potential relevance to movement ecology studies of other ecologically and morphologically similar seabirds through GLS logger deployments.</t>
  </si>
  <si>
    <t>[Nicoll, Malcolm A. C.; Horswill, Catherine] Zool Soc London, Inst Zool, Regents Pk, London NW1 4RY, England; [Cole, Nik C.; Jones, Carl G.] Durrell Wildlife Conservat Trust, Trinity, Jersey, England; [Cole, Nik C.; Jones, Carl G.; Tatayah, Vikash] Mauritian Wildlife Fdn, Grannum Rd, Vacoas, Mauritius; [Horswill, Catherine] UCL, Ctr Biodivers &amp; Environm Res, Dept Genet Evolut &amp; Environm, Gower St, London WC1E 6BT, England; [Ratcliffe, Norman] British Antarctic Survey, Madingley Rd, Cambridge CB3 0ET, England; [Ruhomaun, Kevin] Govt Mauritius, Natl Pk &amp; Conservat Serv, Reduit, Mauritius; [Norris, Ken] Nat Hist Museum, Cromwell Rd, London SW7 5BD, England</t>
  </si>
  <si>
    <t>Zoological Society of London; University of London; University College London; UK Research &amp; Innovation (UKRI); Natural Environment Research Council (NERC); NERC British Antarctic Survey; Natural History Museum London</t>
  </si>
  <si>
    <t>Nicoll, MAC (corresponding author), Zool Soc London, Inst Zool, Regents Pk, London NW1 4RY, England.</t>
  </si>
  <si>
    <t>malcolm.nicoll@ioz.ac.uk</t>
  </si>
  <si>
    <t>Horswill, Cat/0000-0002-1795-0753</t>
  </si>
  <si>
    <t>Natural Environmental Research Council (UK) [NE/H5081500]; Research England</t>
  </si>
  <si>
    <t>Natural Environmental Research Council (UK)(UK Research &amp; Innovation (UKRI)Natural Environment Research Council (NERC)); Research England(UK Research &amp; Innovation (UKRI))</t>
  </si>
  <si>
    <t>The petrel tracking programme was supported by the Natural Environmental Research Council (UK) (Grant NE/H5081500) and Research England, with in situ support from MWF &amp; NPCS.</t>
  </si>
  <si>
    <t>10.1111/ibi.13094</t>
  </si>
  <si>
    <t>4Q3CH</t>
  </si>
  <si>
    <t>WOS:000825272000001</t>
  </si>
  <si>
    <t>Ice-locked huts, snow-buried cairns, and sunken ships: the prevailing discourse on heritage in antarctica</t>
  </si>
  <si>
    <t>INTERNATIONAL JOURNAL OF HERITAGE STUDIES</t>
  </si>
  <si>
    <t>Antarctic geopolitics; Antarctic heritage; cultural heritage management; authorised heritage discourse; political geography</t>
  </si>
  <si>
    <t>Cultural heritage in Antarctica simultaneously represents vulnerable historic remains and powerful political resources curated by nation states, for nation states. Political actors transform dilapidated huts, piles of rocks, and submerged ships into opportunities for strategic gain within the practice of Antarctic affairs - but what is the nature of this political discourse? This paper proposes the existence of a prevailing discourse on cultural heritage found in Antarctica comparable to that of Smith's Authorised Heritage Discourse (the AHD). This discourse embodies how nation states active in the region - the Antarctic Treaty Consultative Parties - think and talk about heritage in Antarctica, and subsequently determines how this heritage is managed in practice. The first two sections investigate how discourse on Antarctic cultural heritage is situated, and how it has been realised. The third and final section scrutinises the characteristics of the Antarctic discourse in relation to the AHD. Consideration of the situation, realisation, and characterisation of a discourse on Antarctic cultural heritage, produces an in-depth account of the discourse overall. Key findings reveal that this discourse behaves very similarly to pre-existing models for global heritage.</t>
  </si>
  <si>
    <t>[Hingley, Rebecca] Univ Tasmania, Sch Humanities, Inst Marine &amp; Antarctic Studies, Hobart, Tas, Australia</t>
  </si>
  <si>
    <t>Hingley, R (corresponding author), Univ Tasmania, Sch Humanities, Inst Marine &amp; Antarctic Studies, Hobart, Tas, Australia.</t>
  </si>
  <si>
    <t>Australian Government</t>
  </si>
  <si>
    <t>Australian Government(Australian Government)</t>
  </si>
  <si>
    <t>This work was supported by the Australian Government [Research Training Program].</t>
  </si>
  <si>
    <t>1352-7258</t>
  </si>
  <si>
    <t>1470-3610</t>
  </si>
  <si>
    <t>INT J HERIT STUD</t>
  </si>
  <si>
    <t>Int. J. Herit. Stud.</t>
  </si>
  <si>
    <t>10.1080/13527258.2022.2099446</t>
  </si>
  <si>
    <t>Humanities, Multidisciplinary; Social Sciences, Interdisciplinary</t>
  </si>
  <si>
    <t>Social Science Citation Index (SSCI); Arts &amp; Humanities Citation Index (A&amp;HCI)</t>
  </si>
  <si>
    <t>Arts &amp; Humanities - Other Topics; Social Sciences - Other Topics</t>
  </si>
  <si>
    <t>3N9MU</t>
  </si>
  <si>
    <t>WOS:000824455500001</t>
  </si>
  <si>
    <t>Chang, CY; Jansen, MF</t>
  </si>
  <si>
    <t>Chang, Chiung-Yin; Jansen, Malte F.</t>
  </si>
  <si>
    <t>The Time-Dependent Response of a Two-Basin Ocean to a Sudden Surface Temperature Change</t>
  </si>
  <si>
    <t>Meridional overturning circulation; Ocean dynamics; Climate change; Paleoclimate; Internal variability</t>
  </si>
  <si>
    <t>MERIDIONAL OVERTURNING CIRCULATION; SOUTHERN-OCEAN; THERMOHALINE CIRCULATION; DEEP-CONVECTION; CLIMATE; MODEL; VARIABILITY; NORTH; EQUILIBRIUM; TRANSPORT</t>
  </si>
  <si>
    <t>Building on previous work using single-basin models, we here explore the time-dependent response of the Atlantic meridional overturning circulation (AMOC) to a sudden global temperature change in a two-basin ocean-ice model. We find that the previously identified mechanisms remain qualitatively useful to explain the transient and the long-term time-mean responses of the AMOC in our simulations. Specifically, we find an initial weakening of the AMOC in response to warming (and vice versa for cooling), controlled by the mid-depth meridional temperature contrast across the Atlantic basin. The long-term mean response instead is controlled primarily by changes in the abyssal stratification within the basin. In contrast to previous studies we find that for small-amplitude surface temperature changes, the equilibrium AMOC is almost unchanged, as the abyssal stratification remains similar due to a substantial compensation between the effects of salinity and temperature changes. The temperature-driven stratification change results from the differential warming/cooling between North Atlantic Deep Water and Antarctic Bottom Water, while the salinity change is driven by changes in Antarctic sea ice formation. Another distinct feature of our simulations is the emergence of AMOC variability in the much colder and much warmer climates. We discuss how this variability is related to variations in deep-ocean heat content, surface salinity, and sea ice in the deep convective regions, both in the North Atlantic and in the Southern Ocean, and its potential relevance to past and future climates.</t>
  </si>
  <si>
    <t>[Chang, Chiung-Yin; Jansen, Malte F.] Univ Chicago, Dept Geophys Sci, Chicago, IL 60637 USA; [Chang, Chiung-Yin] Princeton Univ, Program Atmospher &amp; Ocean Sci, Princeton, NJ USA</t>
  </si>
  <si>
    <t>University of Chicago; Princeton University; National Oceanic Atmospheric Admin (NOAA) - USA</t>
  </si>
  <si>
    <t>Chang, CY (corresponding author), Univ Chicago, Dept Geophys Sci, Chicago, IL 60637 USA.</t>
  </si>
  <si>
    <t>cychang@princeton.edu</t>
  </si>
  <si>
    <t>Jansen, Malte/ABB-4451-2020</t>
  </si>
  <si>
    <t>Jansen, Malte/0000-0003-3894-1124</t>
  </si>
  <si>
    <t>University of Chicago Research Computing Center; NSF Award [OCE-1846821]</t>
  </si>
  <si>
    <t>University of Chicago Research Computing Center; NSF Award(National Science Foundation (NSF))</t>
  </si>
  <si>
    <t>Computational resources for this project were generously provided by the University of Chicago Research Computing Center. C.Y.C. and M.F.J. acknowledge support from NSF Award OCE-1846821.</t>
  </si>
  <si>
    <t>10.1175/JCLI-D-21-0821.1</t>
  </si>
  <si>
    <t>2J9WZ</t>
  </si>
  <si>
    <t>WOS:000815998900008</t>
  </si>
  <si>
    <t>Newsom, E; Zanna, L; Khatiwala, S</t>
  </si>
  <si>
    <t>Newsom, Emily; Zanna, Laure; Khatiwala, Samar</t>
  </si>
  <si>
    <t>Relating Patterns of Added and Redistributed Ocean Warming</t>
  </si>
  <si>
    <t>Ocean; Subtropics; Ocean dynamics; Climate change; Climate models</t>
  </si>
  <si>
    <t>MERIDIONAL OVERTURNING CIRCULATION; SURFACE-TEMPERATURE-CHANGE; SIMULATED PASSIVE TRACER; SEA-LEVEL RISE; SOUTHERN-OCEAN; NORTH-ATLANTIC; HEAT UPTAKE; FUTURE PROJECTIONS; MODEL; WATER</t>
  </si>
  <si>
    <t>Ocean warming patterns are a primary control on regional sea level rise and transient climate sensitivity. However, controls on these patterns in both observations and models are not fully understood, complicated as they are by their dependence on the addition of heat to the ocean's interior along background ventilation pathways and on the redistribution of heat between regions by changing ocean dynamics. While many previous studies attribute heat redistribution to changes in high-latitude processes, here we propose that substantial heat redistribution is explained by the large-scale adjustment of the geostrophic flow to warming within the pycnocline. We explore this hypothesis in the University of Victoria Earth System Model, estimating added heat using the transport matrix method. We find that throughout the midlatitudes, subtropics, and tropics, patterns of added and redistributed heat in the model are strongly anticorrelated (R approximate to -0.75). We argue that this occurs because changes in ocean currents, acting across pre-existing temperature gradients, redistribute heat away from regions of strong passive heat convergence. Over broad scales, this advective response can be estimated from changes in upper-ocean density alone using the thermal wind relation and is linked to an adjustment of the subtropical pycnocline. These results highlight a previously unappreciated relationship between added and redistributed heat and emphasize the role that subtropical and midlatitude dynamics play in setting patterns of ocean heat storage. Significance StatementThe point of our study was to better understand the geographic pattern of ocean warming caused by human-driven climate change. Warming patterns are challenging to predict because they are sensitive both to how the ocean absorbs heat from the atmosphere and to how ocean currents change in response to increased emissions. We showed that these processes are not independent of one another: in many regions, changes in ocean currents reduce regional variations in the build-up of new heat absorbed from the atmosphere. This finding may help to constrain future projections of regional ocean warming, which matters because ocean warming patterns have a major influence on regional sea level rise, marine ecosystem degradation, and the rate of atmospheric warming.</t>
  </si>
  <si>
    <t>[Newsom, Emily; Zanna, Laure] New York Univ, Courant Inst Math Sci, New York, NY 10012 USA; [Khatiwala, Samar] Univ Oxford, Dept Earth Sci, Oxford, England</t>
  </si>
  <si>
    <t>New York University; University of Oxford</t>
  </si>
  <si>
    <t>Newsom, E (corresponding author), New York Univ, Courant Inst Math Sci, New York, NY 10012 USA.</t>
  </si>
  <si>
    <t>ern275@nyu.edu</t>
  </si>
  <si>
    <t>Zanna, Laure/HPG-1772-2023; Zanna, Laure/L-3169-2019</t>
  </si>
  <si>
    <t>Zanna, Laure/0000-0002-8472-4828; Zanna, Laure/0000-0002-8472-4828; Newsom, Emily/0000-0002-3436-3833</t>
  </si>
  <si>
    <t>NERC [NE/P019218/1, NE/R000727/1]; NSF OCE Grant [2048576]; U.K. NERC [NE/T009357/1]; NERC [NE/P019218/1, NE/T009357/1] Funding Source: UKRI; Directorate For Geosciences; Division Of Ocean Sciences [2048576] Funding Source: National Science Foundation</t>
  </si>
  <si>
    <t>NERC(UK Research &amp; Innovation (UKRI)Natural Environment Research Council (NERC)); NSF OCE Grant(National Science Foundation (NSF)); U.K. NERC(UK Research &amp; Innovation (UKRI)Natural Environment Research Council (NERC)); NERC(UK Research &amp; Innovation (UKRI)Natural Environment Research Council (NERC)); Directorate For Geosciences; Division Of Ocean Sciences(National Science Foundation (NSF)NSF - Directorate for Geosciences (GEO))</t>
  </si>
  <si>
    <t>We thank three anonymous reviewers and our editor for their thoughtful comments, which improved the manuscript. The authors also thank Jonathan Gregory for insightful discussion. This work was funded by the NERC Project NE/P019218/1 on Transient Tracer-Based Investigation of Circulation and Thermal Ocean Change (TICTOC) (E.N., L.Z., and S.K.) and the NSF OCE Grant 2048576 on Collaborative Research: Transient response of regional sea level to Antarctic ice shelf fluxes (E.N. and L.Z.). L.Z.'s work was also supported through the NERC Grant NE/R000727/1 (UKFAFMIP), and NSF OCE 2048576. S.K.'s work was additionally funded by U.K. NERC Grant NE/T009357/1. Computing resources were provided by the University of Oxford Advanced Research Computing (ARC) facility (https://doi.org/10.5281/zenodo.22558).</t>
  </si>
  <si>
    <t>10.1175/JCLI-D-21-0827.1</t>
  </si>
  <si>
    <t>WOS:000815998900013</t>
  </si>
  <si>
    <t>Ayres, HC; Screen, JA; Blockley, EW; Bracegirdle, TJ</t>
  </si>
  <si>
    <t>Ayres, Holly C.; Screen, James A.; Blockley, Edward W.; Bracegirdle, Thomas J.</t>
  </si>
  <si>
    <t>The Coupled Atmosphere-Ocean Response to Antarctic Sea Ice Loss</t>
  </si>
  <si>
    <t>Atmosphere; Ocean; Antarctica; Sea ice; Southern Hemisphere; Southern Ocean; Tropics; Atmosphere-ocean interaction; Teleconnections; Thermohaline circulation; Troposphere; Fluxes; Ice loss; growth; Surface fluxes; Surface pressure; Surface temperature; Climate models; Annual variations; Climate variability; Interannual variability; Seasonal cycle; Seasonal variability</t>
  </si>
  <si>
    <t>CIRCULATION RESPONSE; ARCTIC AMPLIFICATION; MESOSCALE EDDIES; CMIP5; DECLINE; EXTENT</t>
  </si>
  <si>
    <t>Antarctic sea ice is projected to decrease in response to increasing greenhouse gas concentrations. Limited studies so far have examined the coupled atmosphere-ocean response to Antarctic sea ice loss. Here, we isolate the response to Antarctic sea ice loss in the atmosphere and ocean using bespoke sea ice albedo perturbation experiments with HadGEM3-GC3.1-LL, provide the first detailed examination of the global ocean response, and quantify the importance of atmosphere-ocean coupling, through comparison to uncoupled experiments with prescribed Antarctic sea ice loss. Lower-tropospheric warming and moistening over regions of sea ice loss and the nearby Southern Ocean are simulated in both coupled and uncoupled configurations but are of greater magnitude in the coupled model. A weakening and equatorward shift of the tropospheric westerly jet are simulated in both configurations, but are also larger in the coupled model. Ocean coupling allows the warming response to spread northward, and by poleward atmospheric energy transport, back to the Antarctic interior. Warmer tropical sea surface temperatures enhance atmospheric convection, driving upper-tropospheric warming and triggering atmospheric teleconnections to the extratropics, including a weakened Aleutian low. A 20% reduction in Antarctic Circumpolar Current transport and a weakening of the shallow tropical convergence cell are simulated. Surface waters warm and freshen globally, becoming more stratified and stable in the Southern Ocean, with similar changes, but of lesser magnitude, in the Arctic Ocean, where sea ice declines. Our results suggest that the climate effects of Antarctic sea ice loss stretch from pole to pole and from the heights of the tropical troposphere to the depths of the Southern Ocean.</t>
  </si>
  <si>
    <t>[Ayres, Holly C.] Univ Reading, Dept Meteorol, Reading, England; [Ayres, Holly C.; Screen, James A.] Univ Exeter, Coll Engn Math &amp; Phys Sci, Exeter, Devon, England; [Blockley, Edward W.] Met Off, Met Off Hadley Ctr, Exeter, Devon, England; [Bracegirdle, Thomas J.] British Antarctic Survey, Cambridge, Cambs, England</t>
  </si>
  <si>
    <t>University of Reading; University of Exeter; Met Office - UK; Hadley Centre; UK Research &amp; Innovation (UKRI); Natural Environment Research Council (NERC); NERC British Antarctic Survey</t>
  </si>
  <si>
    <t>Ayres, HC (corresponding author), Univ Reading, Dept Meteorol, Reading, England.;Ayres, HC (corresponding author), Univ Exeter, Coll Engn Math &amp; Phys Sci, Exeter, Devon, England.</t>
  </si>
  <si>
    <t>h.c.ayres@reading.ac.uk</t>
  </si>
  <si>
    <t>Screen, James A/D-7588-2013</t>
  </si>
  <si>
    <t>Ayres, Holly/0000-0003-0294-7620; Blockley, Ed/0000-0002-0489-4238</t>
  </si>
  <si>
    <t>Robust Spatial Projections of Real-World Climate Change (NERC) [NE/N018486/1]; University of Exeter; Met Office Hadley Centre Climate Programme - BEIS; NERC [NE/N018486/1] Funding Source: UKRI</t>
  </si>
  <si>
    <t>Robust Spatial Projections of Real-World Climate Change (NERC); University of Exeter; Met Office Hadley Centre Climate Programme - BEIS; NERC(UK Research &amp; Innovation (UKRI)Natural Environment Research Council (NERC))</t>
  </si>
  <si>
    <t>We thank Katy Sheen and Julie Jones for their valuable discussion and comments on results included in this paper. We also thank Leon Hermanson and Rosie Eade for contribution to the ensemble models. PiControl Met Office HadGEM3-GC3.1-LL data were obtained from the Earth System Grid Federation and Centre for Environmental Data Analysis, submitted as part of the Climate Model Intercomparison Project phase 6. This study was supported by the Robust Spatial Projections of Real-World Climate Change (NERC, Research Grant NE/N018486/1) and the University of Exeter. EB and the development of the HadGEM3-GC3.1 climate model were supported by the Met Office Hadley Centre Climate Programme funded by BEIS.</t>
  </si>
  <si>
    <t>10.1175/JCLI-D-21-0918.1</t>
  </si>
  <si>
    <t>WOS:000815998900015</t>
  </si>
  <si>
    <t>Kohma, M; Mizukoshi, M; Sato, K</t>
  </si>
  <si>
    <t>Kohma, Masashi; Mizukoshi, Masatoshi; Sato, Kaoru</t>
  </si>
  <si>
    <t>Dynamical Analysis of Tropopause Folding Events in the Coastal Region of Antarctica</t>
  </si>
  <si>
    <t>Antarctica; Fronts; Stratosphere-troposphere coupling; Tropopause</t>
  </si>
  <si>
    <t>STRATOSPHERE-TROPOSPHERE EXCHANGE; EXTRATROPICAL TROPOPAUSE; POTENTIAL VORTICITY; GLOBAL CLIMATOLOGY; VHF RADAR; VARIABILITY; FLOW</t>
  </si>
  <si>
    <t>Tropopause folding events (TFs) are characterized by the rapid and deep descent of the tropopause and are considered to play a significant role in mass exchange between the stratosphere and troposphere. In the present study, TFs occurring in the Antarctic coastal region were examined using the ERA5 dataset. First, the climatological distribution of TF frequency in the extratropics of the Southern Hemisphere was examined. Similar to results from previous studies, TFs were found to often occur along the coast of Antarctica, which is located more than 1000 km south of the maximum of the eddy kinetic energy of synoptic-scale disturbances. This result suggests that the climatological pattern of frequency of TFs in the southern high latitudes cannot be explained only by the geographical distribution of storm tracks. Next, a composite analysis of TFs at Syowa Station was performed. When the negative anomaly of the tropopause height was greatest, strong Q-vector divergence and downwelling were observed in the vicinity of the TF locations. The distribution of Q vectors is related to a local westerly jet and strengthening of the frontal structure associated with meridionally contracted synoptic-scale disturbances. The roles of the topography of the Antarctic Plateau and the radiative cooling on the surface of the continent during the contraction of the disturbances are also discussed based on ray-tracing theory.</t>
  </si>
  <si>
    <t>[Kohma, Masashi; Mizukoshi, Masatoshi; Sato, Kaoru] Univ Tokyo, Grad Sch Sci, Dept Earth &amp; Planetary Sci, Tokyo, Japan; [Mizukoshi, Masatoshi] Japanese Meteorol Agcy, Tokyo, Japan</t>
  </si>
  <si>
    <t>University of Tokyo</t>
  </si>
  <si>
    <t>Kohma, M (corresponding author), Univ Tokyo, Grad Sch Sci, Dept Earth &amp; Planetary Sci, Tokyo, Japan.</t>
  </si>
  <si>
    <t>kohmasa@eps.s.u-tokyo.ac.jp</t>
  </si>
  <si>
    <t>Sato, Kaoru/E-1693-2012; Kohma, Masashi/C-8055-2015</t>
  </si>
  <si>
    <t>Sato, Kaoru/0000-0002-6225-6066; Kohma, Masashi/0000-0001-9875-3032</t>
  </si>
  <si>
    <t>Japan Society for the Promotion of Science, KAKENHI [JP19K14791]; Japan Science and Technology Agency, CREST Grant [JPMJCR1663]</t>
  </si>
  <si>
    <t>Japan Society for the Promotion of Science, KAKENHI(Ministry of Education, Culture, Sports, Science and Technology, Japan (MEXT)Japan Society for the Promotion of ScienceGrants-in-Aid for Scientific Research (KAKENHI)); Japan Science and Technology Agency, CREST Grant(Japan Science &amp; Technology Agency (JST)Core Research for Evolutional Science and Technology (CREST))</t>
  </si>
  <si>
    <t>The present study was supported by the Japan Society for the Promotion of Science, KAKENHI Grant JP19K14791, and the Japan Science and Technology Agency, CREST Grant JPMJCR1663. We thank Keiichi Ishioka for helpful comments on this work. The authors acknowledge three anonymous reviewers for greatly helping us to improve this manuscript.</t>
  </si>
  <si>
    <t>10.1175/JCLI-D-21-0858.1</t>
  </si>
  <si>
    <t>WOS:000815998900016</t>
  </si>
  <si>
    <t>Cutter, GR; Reiss, CS; Nylund, S; Watters, GM</t>
  </si>
  <si>
    <t>Cutter, George R., Jr.; Reiss, Christian S.; Nylund, Sven; Watters, George M.</t>
  </si>
  <si>
    <t>Antarctic Krill Biomass and Flux Measured Using Wideband Echosounders and Acoustic Doppler Current Profilers on Submerged Moorings (vol 9, 784469, 2022)</t>
  </si>
  <si>
    <t>Antarctic krill; flux; transport; biomass; Signature100; wideband echosounder; acoustic Doppler current profiler (ADCP)</t>
  </si>
  <si>
    <t>[Cutter, George R., Jr.; Reiss, Christian S.; Watters, George M.] NOAA, Southwest Fisheries Sci Ctr, Antarctic Ecosyst Res Div, La Jolla, CA 92037 USA; [Nylund, Sven] Nortek AS, Nortek Grp, Rud, Norway</t>
  </si>
  <si>
    <t>Cutter, GR (corresponding author), NOAA, Southwest Fisheries Sci Ctr, Antarctic Ecosyst Res Div, La Jolla, CA 92037 USA.</t>
  </si>
  <si>
    <t>george.cutter@noaa.gov</t>
  </si>
  <si>
    <t>Watters, George/HPE-2184-2023</t>
  </si>
  <si>
    <t>Watters, George/0000-0002-6989-1273</t>
  </si>
  <si>
    <t>JUL 14</t>
  </si>
  <si>
    <t>10.3389/fmars.2022.964737</t>
  </si>
  <si>
    <t>6I4EW</t>
  </si>
  <si>
    <t>WOS:000886081200001</t>
  </si>
  <si>
    <t>Wang, XD; Zhao, Y; Yang, SH; Wang, YH; Shangguan, DH</t>
  </si>
  <si>
    <t>Wang, Xingdong; Zhao, Yue; Yang, Shuhui; Wang, Yuhua; Shangguan, Donghui</t>
  </si>
  <si>
    <t>CGAN Based Improved ASI Retrieval Algorithm for Antarctic Sea Ice Concentration</t>
  </si>
  <si>
    <t>Antarctic; sea ice concentration; CGAN; data correction; AMSR-2</t>
  </si>
  <si>
    <t>GHZ</t>
  </si>
  <si>
    <t>Sea ice change is closely related to the change of global atmosphere and ocean circulation, which plays an important role in the study of global climate change. Sea ice concentration is one of the important parameters to study the temporal and spatial change of sea ice. Accurately retrieving sea ice concentration is the innovation of this paper. At present, the high-resolution microwave-detected sea ice concentration product was provided by the University of Bremen, which was derived by the Arctic Radiation and Turbulence Interaction Study (ARTSIST) Sea Ice (ASI) algorithm based on the Advanced Microwave Scanning Radiometer for Earth Observing System (AMSR-E) 89-GHz brightness temperature data. The AMSR-E/AMSR-2 89-GHz brightness temperature data has higher spatial resolution, but it is often affected by cloud and water vapor, which affects the recognition and subsequent use of ground feature. Although the weather filters can remove some errors in the edge regions of the sea water and the sea ice, the errors of the sea ice concentration in other regions cannot be removed. The generative model of Conditional Generative Adversarial Network (CGAN) increases the utilization of image feature information through skip connection, which improves the removal of the influence of cloud and water vapor. The discriminative model can retain the image feature information and realize the nonlinear mapping from the image to the image. The loss function can reduce the pixellevel loss, which can remove the influence of cloud and water vapor. Therefore, this paper proposed an improved ASI algorithm based on CGAN. Firstly, the relatively stable relationship between the 89-GHz brightness temperature data which is not disturbed or less affected by the external environment and the 36-GHz brightness temperature data was determined, and the 89-GHz brightness temperature data with large interference was screened. Secondly, based on the 36-GHz brightness temperature data with high reliability, the 89-GHz brightness temperature data with large interference was corrected through CGAN. Finally, the ASI algorithm was used to retrieve sea ice concentration. Compared with sea ice concentration retrieved by the ASI algorithm, the results showed that the improved ASI algorithm based on CGAN was feasible. Compared with sea ice distribution obtained from the Landsat 8 OLI-L1T data, the improved ASI algorithm based on CGAN significantly improves the inversion accuracy of sea ice concentration. The improved ASI algorithm based on CGAN makes use of the reliable 36-GHz brightness temperature data, which greatly reduces the error caused by cloud and water vapor, and the method effectively corrects sea ice concentration of the pixels affected by the external environment. Therefore, the improved ASI algorithm based on CGAN realizes high spatial resolution and significantly improves the inversion accuracy of sea ice concentration.</t>
  </si>
  <si>
    <t>[Wang, Xingdong; Zhao, Yue; Yang, Shuhui; Wang, Yuhua] Henan Univ Technol, Coll Informat Sci &amp; Engn, Zhengzhou, Peoples R China; [Shangguan, Donghui] Chinese Acad Sci, Northwest Inst Eco Environm &amp; Resources, Key Lab Cryospher Sci, Lanzhou, Peoples R China</t>
  </si>
  <si>
    <t>Henan University of Technology; Chinese Academy of Sciences</t>
  </si>
  <si>
    <t>Yang, SH (corresponding author), Henan Univ Technol, Coll Informat Sci &amp; Engn, Zhengzhou, Peoples R China.</t>
  </si>
  <si>
    <t>ysh1563852@163.com</t>
  </si>
  <si>
    <t>Zhang, Yuyao/KEH-7175-2024; long, chen/JVM-8568-2024</t>
  </si>
  <si>
    <t>Key Projects of Science and Technology Research of Henan Province [202102310334]; Key Scientific Research Project in Colleges and Universities of Henan Province of China [22A420004]; Cultivation Programme for Young Backbone Teachers in Henan University of Technology [21420070]</t>
  </si>
  <si>
    <t>Key Projects of Science and Technology Research of Henan Province; Key Scientific Research Project in Colleges and Universities of Henan Province of China; Cultivation Programme for Young Backbone Teachers in Henan University of Technology</t>
  </si>
  <si>
    <t>This research was supported by the Key Projects of Science and Technology Research of Henan Province (Grant No. 202102310334), the Key Scientific Research Project in Colleges and Universities of Henan Province of China (Grant No. 22A420004), the Cultivation Programme for Young Backbone Teachers in Henan University of Technology (Grant No. 21420070).</t>
  </si>
  <si>
    <t>10.3389/fmars.2022.844359</t>
  </si>
  <si>
    <t>6G4VN</t>
  </si>
  <si>
    <t>WOS:000884752700001</t>
  </si>
  <si>
    <t>Strassburg, BBN; Iribarrem, A; Beyer, HL; Cordeiro, CL; Crouzeilles, R; Jakovac, C; Junqueira, AB; Lacerda, E; Latawiec, AE; Balmford, A; Brooks, TM; Butchart, SHM; Chazdon, RL; Erb, KH; Brancalion, P; Buchanan, G; Cooper, D; Díaz, S; Donald, PF; Kapos, V; Leclère, D; Miles, L; Obersteiner, M; Plutzar, C; Scaramuzza, CAD; Scarano, FR; Visconti, P</t>
  </si>
  <si>
    <t>Strassburg, Bernardo B. N.; Iribarrem, Alvaro; Beyer, Hawthorne L.; Cordeiro, Carlos Leandro; Crouzeilles, Renato; Jakovac, Catarina; Junqueira, Andre Braga; Lacerda, Eduardo; Latawiec, Agnieszka E.; Balmford, Andrew; Brooks, Thomas M.; Butchart, Stuart H. M.; Chazdon, Robin L.; Erb, Karl-Heinz; Brancalion, Pedro; Buchanan, Graeme; Cooper, David; Diaz, Sandra; Donald, Paul F.; Kapos, Valerie; Leclere, David; Miles, Lera; Obersteiner, Michael; Plutzar, Christoph; de Mattos Scaramuzza, Carlos Alberto; Scarano, Fabio R.; Visconti, Piero</t>
  </si>
  <si>
    <t>Reply to: Restoration prioritization must be informed by marginalized people</t>
  </si>
  <si>
    <t>[Strassburg, Bernardo B. N.; Iribarrem, Alvaro; Cordeiro, Carlos Leandro; Crouzeilles, Renato; Jakovac, Catarina; Junqueira, Andre Braga; Lacerda, Eduardo; Latawiec, Agnieszka E.] Pontificia Univ Catolica Rio de Janeiro, Dept Geog &amp; Environm, Rio Conservat &amp; Sustainabil Sci Ctr, Rio de Janeiro, Brazil; [Strassburg, Bernardo B. N.; Iribarrem, Alvaro; Cordeiro, Carlos Leandro; Crouzeilles, Renato; Jakovac, Catarina; Junqueira, Andre Braga; Lacerda, Eduardo; Latawiec, Agnieszka E.; Chazdon, Robin L.; de Mattos Scaramuzza, Carlos Alberto] Int Inst Sustainabil, Rio De Janeiro, Brazil; [Strassburg, Bernardo B. N.; Crouzeilles, Renato; Scarano, Fabio R.] Univ Fed Rio De Janeiro, Programa Pos Grad Ecol, Rio De Janeiro, Brazil; [Strassburg, Bernardo B. N.] Bot Garden Res Inst Rio De Janeiro, Rio De Janeiro, Brazil; [Beyer, Hawthorne L.] Univ Queensland, Sch Biol Sci, St Lucia, Qld, Australia; [Jakovac, Catarina] Univ Fed Santa Catarina, Agr Sci Ctr, Florianopolis, SC, Brazil; [Junqueira, Andre Braga] Univ Autonoma Barcelona, Inst Ciencia &amp; Tecnol Ambientals, Barcelona, Spain; [Lacerda, Eduardo] Fluminense Fed Univ, Dept Geog, Niteroi, RJ, Brazil; [Latawiec, Agnieszka E.] Agr Univ Krakow, Fac Prod &amp; Power Engn, Dept Prod Engn Logist &amp; Appl Comp Sci, Krakow, Poland; [Latawiec, Agnieszka E.] Univ East Anglia, Sch Environm Sci, Norwich, Norfolk, England; [Balmford, Andrew; Butchart, Stuart H. M.; Donald, Paul F.] Univ Cambridge, Dept Zool, Cambridge, England; [Brooks, Thomas M.] Int Union Conservat Nat IUCN, Gland, Switzerland; [Brooks, Thomas M.] Univ Philippines, World Agroforestry Ctr ICRAF, Los Banos, Philippines; [Brooks, Thomas M.] Univ Tasmania, Inst Marine &amp; Antarctic Studies, Hobart, Tas, Australia; [Butchart, Stuart H. M.; Donald, Paul F.] BirdLife Int, Cambridge, England; [Chazdon, Robin L.] Univ Connecticut, Dept Ecol &amp; Evolutionary Biol, Storrs, CT USA; [Chazdon, Robin L.] World Resources Inst, Global Restorat Initiat, Washington, DC 20006 USA; [Chazdon, Robin L.] Univ Sunshine Coast, Trop Forests &amp; People Res Ctr, Sippy Downs, Qld, Australia; [Erb, Karl-Heinz; Plutzar, Christoph] Univ Nat Resources &amp; Life Sci Vienna, Inst Social Ecol, Vienna, Austria; [Brancalion, Pedro] Univ Sao Paulo, Luiz de Queiroz Coll Agr, Dept Forest Sci, Piracicaba, Brazil; [Buchanan, Graeme; Donald, Paul F.] Royal Soc Protect Birds, RSPB Ctr Conservat Sci, Edinburgh, Midlothian, Scotland; [Cooper, David] Secretariat Convent Biol Div SCBD, Montreal, PQ, Canada; [Diaz, Sandra] Consejo Nacl Invest Cient &amp; Tecn, Inst Multidisciplinario Biol Vegetal, Cordoba, Argentina; [Diaz, Sandra] Univ Nacl Cordoba, Cordoba, Argentina; [Kapos, Valerie; Miles, Lera] World Conservat Monitoring Ctr, United Nations Environm Programme, Cambridge, England; [Leclere, David; Obersteiner, Michael; Visconti, Piero] Int Inst Appl Syst Anal IIASA, Biodivers &amp; Nat Resources BNR Program, Laxenburg, Austria; [Plutzar, Christoph] Univ Vienna, Div Conservat Biol Vegetat Ecol &amp; Landscape Ecol, Vienna, Austria</t>
  </si>
  <si>
    <t>Pontificia Universidade Catolica do Rio de Janeiro; Universidade Federal do Rio de Janeiro; University of Queensland; Universidade Federal de Santa Catarina (UFSC); Autonomous University of Barcelona; Universidade Federal Fluminense; Agricultural University Krakow; University of East Anglia; University of Cambridge; University of the Philippines System; University of the Philippines Open University; CGIAR; World Agroforestry (ICRAF); University of the Philippines Los Banos; University of Tasmania; BirdLife International; University of Connecticut; University of the Sunshine Coast; BOKU University; Universidade de Sao Paulo; Royal Society for Protection of Birds; Consejo Nacional de Investigaciones Cientificas y Tecnicas (CONICET); National University of Cordoba; International Institute for Applied Systems Analysis (IIASA); University of Vienna</t>
  </si>
  <si>
    <t>Strassburg, BBN (corresponding author), Pontificia Univ Catolica Rio de Janeiro, Dept Geog &amp; Environm, Rio Conservat &amp; Sustainabil Sci Ctr, Rio de Janeiro, Brazil.;Strassburg, BBN (corresponding author), Int Inst Sustainabil, Rio De Janeiro, Brazil.;Strassburg, BBN (corresponding author), Univ Fed Rio De Janeiro, Programa Pos Grad Ecol, Rio De Janeiro, Brazil.;Strassburg, BBN (corresponding author), Bot Garden Res Inst Rio De Janeiro, Rio De Janeiro, Brazil.</t>
  </si>
  <si>
    <t>b.strassburg@iis-rio.org</t>
  </si>
  <si>
    <t>Díaz, Sandra/Q-9804-2018; Junqueira, Andre Braga/M-1142-2016; Butchart, Stuart HM/Y-2711-2018; Plutzar, Christoph/J-6055-2015; Crouzeilles, Renato/J-6122-2014; Beyer, Hawthorne L/F-8050-2013; Obersteiner, Michael/ADG-8592-2022; Scarano, Fabio Rubio/F-6620-2012; Brancalion, Pedro/D-6995-2012; Miles, Lera/C-7334-2009</t>
  </si>
  <si>
    <t>Díaz, Sandra/0000-0003-0012-4612; Junqueira, Andre Braga/0000-0003-3681-1705; Obersteiner, Michael/0000-0001-6981-2769; Scarano, Fabio Rubio/0000-0003-3355-9882; Brancalion, Pedro/0000-0001-8245-4062; Miles, Lera/0000-0003-0377-5904; Lacerda, Eduardo/0000-0003-3803-5842</t>
  </si>
  <si>
    <t>E7</t>
  </si>
  <si>
    <t>E9</t>
  </si>
  <si>
    <t>10.1038/s41586-022-04734-w</t>
  </si>
  <si>
    <t>2X3DX</t>
  </si>
  <si>
    <t>WOS:000825089300040</t>
  </si>
  <si>
    <t>Ruiz-Pereira, S; Beriain, E; Cabré, A; Cid-Agüero, P</t>
  </si>
  <si>
    <t>Ruiz-Pereira, S.; Beriain, E.; Cabre, A.; Cid-Aguero, P.</t>
  </si>
  <si>
    <t>Assessment of physical weathering in bedrock areas at the Trinity Peninsula, Antarctica: Towards a classification of the current weathering grade in polar areas</t>
  </si>
  <si>
    <t>Duse bay; Antarctic peninsula; Frozen grounds; Deglaciation; Thermal weathering</t>
  </si>
  <si>
    <t>ELEVATION MODEL; ICE SHELVES; EVOLUTION; PERMAFROST; SECTOR; GRAHAM; SOILS; BASIN; LAND; THAW</t>
  </si>
  <si>
    <t>The Antarctic Peninsula is one of the world's most rapidly warming regions; over the last hundred years, glaciers have retreated, exposing new rocky areas to physical weathering. In its northernmost part, the Trinity Peninsula, physical weathering processes on exposed bedrock between west and east coasts may not be at the same weathering stage as surface temperature conditions are assumed historically different. Thus, we examined rock outcrops in ice-free coasts, assessed surface temperature conditions, rock fracturing degree from rock samples, and analyzed the local context for permafrost occurrence. The survey through Trinity Peninsula covered a transect over three ice-free locations between Cape Legoupil and Duse Bay (63 degrees 30'S). Our findings support that ice-free-bedrock surfaces at both coasts of the Trinity Peninsula are at an early weathering stage under equivalent air temperature and wind speed conditions over the last decades. Temperature analysis indicated that if surface temperatures sustain its 2015-2016 magnitude, the permafrost distribution will likely become sporadic. Findings indicate that the physical weathering rates should have been significantly slower or have remained ice-covered much longer than in other areas of the Antarctic Peninsula. Nevertheless, a sustained surface warming will elicit higher physical weathering rates beyond the initial stage attested.</t>
  </si>
  <si>
    <t>[Ruiz-Pereira, S.] Pontificia Univ Catolica Chile, Escuela Ingn, Santiago, Chile; [Ruiz-Pereira, S.] PermaChile Network, Santiago, Chile; [Beriain, E.] GeoNomadic, Santiago, Chile; [Cabre, A.] Observ Midi Pyrenees, Geosci Environm Toulouse, Toulouse, France; [Cid-Aguero, P.] Univ Magallanes, Ctr Invest GAIA Antartica, Punta Arenas, Chile</t>
  </si>
  <si>
    <t>Pontificia Universidad Catolica de Chile; Universite de Toulouse; Universite Toulouse III - Paul Sabatier; Universidad de Magallanes</t>
  </si>
  <si>
    <t>Ruiz-Pereira, S (corresponding author), Pontificia Univ Catolica Chile, Escuela Ingn, Santiago, Chile.</t>
  </si>
  <si>
    <t>spruiz@uc.cl</t>
  </si>
  <si>
    <t>Ruiz-Pereira, Sebastian/K-8785-2018; Cabré, Albert/AAD-7546-2020</t>
  </si>
  <si>
    <t>Ruiz-Pereira, Sebastian/0000-0002-5118-5143; Cabré, Albert/0000-0003-4367-2635</t>
  </si>
  <si>
    <t>Chilean Antarctic Institute [INACH/MT_01-14]</t>
  </si>
  <si>
    <t>Chilean Antarctic Institute</t>
  </si>
  <si>
    <t>This study received funding from the Chilean Antarctic Institute INACH/MT_01-14 support funding.</t>
  </si>
  <si>
    <t>10.1016/j.jsames.2022.103913</t>
  </si>
  <si>
    <t>3R1UO</t>
  </si>
  <si>
    <t>WOS:000838705200001</t>
  </si>
  <si>
    <t>Martinez-Varela, A; Casas, G; Berrojalbiz, N; Pina, B; Dachs, J; Vila-Costa, M</t>
  </si>
  <si>
    <t>Martinez-Varela, Alicia; Casas, Gemma; Berrojalbiz, Naiara; Pina, Benjamin; Dachs, Jordi; Vila-Costa, Maria</t>
  </si>
  <si>
    <t>Polycyclic Aromatic Hydrocarbon Degradation in the Sea-Surface Microlayer at Coastal Antarctica</t>
  </si>
  <si>
    <t>PAH; sea-surface microlayer; hydrocarbonoclastic bacteria; Alteromonadales; PAH biodegradation; coastal Antarctica</t>
  </si>
  <si>
    <t>HORIZON OIL-SPILL; DEGRADING BACTERIA; ORGANIC POLLUTANTS; GERLACHE INLET; WATER COLUMN; SP NOV.; FATE; BIODEGRADATION; PAHS; ENRICHMENT</t>
  </si>
  <si>
    <t>As much as 400 Tg of carbon from airborne semivolatile aromatic hydrocarbons is deposited to the oceans every year, the largest identified source of anthropogenic organic carbon to the ocean. Microbial degradation is a key sink of these pollutants in surface waters, but has received little attention in polar environments. We have challenged Antarctic microbial communities from the sea-surface microlayer (SML) and the subsurface layer (SSL) with polycyclic aromatic hydrocarbons (PAHs) at environmentally relevant concentrations. PAH degradation rates and the microbial responses at both taxonomical and functional levels were assessed. Evidence for faster removal rates was observed in the SML, with rates 2.6-fold higher than in the SSL. In the SML, the highest removal rates were observed for the more hydrophobic and particle-bound PAHs. After 24 h of PAHs exposure, particle-associated bacteria in the SML showed the highest number of significant changes in their composition. These included significant enrichments of several hydrocarbonoclastic bacteria, especially the fast-growing genera Pseudoalteromonas, which increased their relative abundances by eightfold. Simultaneous metatranscriptomic analysis showed that the free-living fraction of SML was the most active fraction, especially for members of the order Alteromonadales, which includes Pseudoalteromonas. Their key role in PAHs biodegradation in polar environments should be elucidated in further studies. This study highlights the relevant role of bacterial populations inhabiting the sea-surface microlayer, especially the particle-associated habitat, as relevant bioreactors for the removal of aromatic hydrocarbons in the oceans.</t>
  </si>
  <si>
    <t>[Martinez-Varela, Alicia; Casas, Gemma; Berrojalbiz, Naiara; Pina, Benjamin; Dachs, Jordi; Vila-Costa, Maria] IDAEA CSIC, Inst Environm Assessment &amp; Water Res, Dept Environm Chem, Barcelona, Spain</t>
  </si>
  <si>
    <t>Consejo Superior de Investigaciones Cientificas (CSIC); CSIC - Centro de Investigacion y Desarrollo Pascual Vila (CID-CSIC); CSIC - Instituto de Diagnostico Ambiental y Estudios del Agua (IDAEA)</t>
  </si>
  <si>
    <t>Vila-Costa, M (corresponding author), IDAEA CSIC, Inst Environm Assessment &amp; Water Res, Dept Environm Chem, Barcelona, Spain.</t>
  </si>
  <si>
    <t>maria.vila@idaea.csic.es</t>
  </si>
  <si>
    <t>Vila-Costa, Maria/L-4833-2014; Berrojalbiz, Naiara/R-4832-2016; Casas, Gemma/JYP-3405-2024</t>
  </si>
  <si>
    <t>Gemma, Casas/0000-0002-4197-2151</t>
  </si>
  <si>
    <t>10.3389/fmicb.2022.907265</t>
  </si>
  <si>
    <t>3K1JO</t>
  </si>
  <si>
    <t>WOS:000833840400001</t>
  </si>
  <si>
    <t>Kim, D; Kim, J; Lee, YM; Byeon, SM; Gwak, JH; Lee, JS; Shin, DH; Park, HY</t>
  </si>
  <si>
    <t>Kim, Do Young; Kim, Jonghoon; Lee, Yung Mi; Byeon, Soo Min; Gwak, Jeong Hae; Lee, Jong Suk; Shin, Dong-Ha; Park, Ho-Yong</t>
  </si>
  <si>
    <t>Novel, acidic, and cold-adapted glycoside hydrolase family 8 endo-β-1,4-glucanase from an Antarctic lichen-associated bacterium, Lichenicola cladoniae PAMC 26568</t>
  </si>
  <si>
    <t>endo-beta-1; 4-glucanase; glycoside hydrolase; GH8; cold-adapted enzyme; Antarctica; lichen-associated bacterium; Lichenicola cladoniae</t>
  </si>
  <si>
    <t>GH10 ENDO-BETA-1,4-XYLANASE; CLONING; ENDOGLUCANASE; GENE; ENDOCELLULASE; DEGRADATION; EXPRESSION; CELLULASE</t>
  </si>
  <si>
    <t>Endo-beta-1,4-glucanase is a crucial glycoside hydrolase (GH) involved in the decomposition of cellulosic materials. In this study, to discover a novel cold-adapted beta-1,4-D-glucan-degrading enzyme, the gene coding for an extracellular endo-beta-1,4-glucanase (GluL) from Lichenicola cladoniae PAMC 26568, an Antarctic lichen (Cladonia borealis)-associated bacterium, was identified and recombinantly expressed in Escherichia coli BL21. The GluL gene (1044-bp) encoded a non-modular polypeptide consisting of a single catalytic GH8 domain, which shared the highest sequence identity of 55% with that of an uncharacterized protein from Gluconacetobacter takamatsuzukensis (WP_182950054). The recombinant endo-beta-1,4-glucanase (rGluL: 38.0 kDa) most efficiently degraded sodium carboxymethylcellulose (CMC) at pH 4.0 and 45 degrees C, and showed approximately 23% of its maximum degradation activity even at 3 degrees C. The biocatalytic activity of rGluL was noticeably enhanced by &gt;1.3-fold in the presence of 1 mM Mn2+ or NaCl at concentrations between 0.1 and 0.5 M, whereas the enzyme was considerably downregulated by 1 mM Hg2+ and Fe2+ together with 5 mM N-bromosuccinimide and 0.5% sodium dodecyl sulfate. rGluL is a true endo-beta-1,4-glucanase, which could preferentially decompose D-cellooligosaccharides consisting of 3 to 6 D-glucose, CMC, and barley beta-glucan, without other additional glycoside hydrolase activities. The specific activity (15.1 U mg(-1)) and k(cat)/K-m value (6.35 mg(-1) s(-1) mL) of rGluL toward barley beta-glucan were approximately 1.8- and 2.2-fold higher, respectively, compared to its specific activity (8.3 U mg(-1)) and k(cat)/K-m value (2.83 mg(-1) s(-1) mL) toward CMC. The enzymatic hydrolysis of CMC, D-cellotetraose, and D-cellohexaose yielded primarily D-cellobiose, accompanied by D-glucose, D-cellotriose, and D-cellotetraose. However, the cleavage of D-cellopentaose by rGluL resulted in the production of only D-cellobiose and D-cellotriose. The findings of the present study imply that rGluL is a novel, acidic, and cold-adapted GH8 endo-beta-1,4-glucanase with high specific activity, which can be exploited as a promising candidate in low-temperature processes including textile and food processes.</t>
  </si>
  <si>
    <t>[Kim, Do Young; Kim, Jonghoon; Byeon, Soo Min; Gwak, Jeong Hae; Park, Ho-Yong] Korea Res Inst Biosci &amp; Biotechnol, Ind Biomat Res Ctr, Daejeon, South Korea; [Lee, Yung Mi] Korea Polar Res Inst, Div Life Sci, Incheon, South Korea; [Byeon, Soo Min] Daejeon Univ, Dept Biol Sci, Daejeon, South Korea; [Lee, Jong Suk] Gyeonggido Business &amp; Sci Accelerator GBSA, Biocenter, Suwon, South Korea; [Shin, Dong-Ha] Insect Biotech Co Ltd, Daejeon, South Korea</t>
  </si>
  <si>
    <t>Korea Research Institute of Bioscience &amp; Biotechnology (KRIBB); Korea Polar Research Institute (KOPRI); Daejeon University</t>
  </si>
  <si>
    <t>Kim, D; Park, HY (corresponding author), Korea Res Inst Biosci &amp; Biotechnol, Ind Biomat Res Ctr, Daejeon, South Korea.</t>
  </si>
  <si>
    <t>kdy119@kribb.re.kr; hypark@kribb.re.kr</t>
  </si>
  <si>
    <t>PARK, HO-YONG/AAP-2225-2021</t>
  </si>
  <si>
    <t>Kim, Jong-Hoon/0000-0003-4777-8007</t>
  </si>
  <si>
    <t>Korea Research Institute of Bioscience and Biotechnology (KRIBB) Research Initiative Program [KGM5492221]; Korea Polar Research Institute [PE22130]</t>
  </si>
  <si>
    <t>Korea Research Institute of Bioscience and Biotechnology (KRIBB) Research Initiative Program; Korea Polar Research Institute(Korea Polar Research Institute of Marine Research Placement (KOPRI))</t>
  </si>
  <si>
    <t>Funding This work was supported by the Korea Research Institute of Bioscience and Biotechnology (KRIBB) Research Initiative Program (KGM5492221) and the Korea Polar Research Institute (PE22130).</t>
  </si>
  <si>
    <t>10.3389/fmicb.2022.935497</t>
  </si>
  <si>
    <t>3K4LR</t>
  </si>
  <si>
    <t>WOS:000834049600001</t>
  </si>
  <si>
    <t>Salani, S; Willenz, P; Fernandez, JCC; Hajdu, E</t>
  </si>
  <si>
    <t>Salani, Sula; Willenz, Philippe; Fernandez, Julio C. C.; Hajdu, Eduardo</t>
  </si>
  <si>
    <t>Three new Hymedesmia Bowerbank, 1864 (Demospongiae, Poecilosclerida, Hymedesmiidae) from the Southeast Pacific (Peru and Chile)</t>
  </si>
  <si>
    <t>Porifera; Heteroscleromorpha; taxonomy; marine biodiversity; morphology</t>
  </si>
  <si>
    <t>BODY-SIZE; ISLAND</t>
  </si>
  <si>
    <t>Despite its 2000 km long shoreline, to date less than 50 sponge species have been reported from the entire Peruvian coast. A large collecting effort targeting marine sponges was undertaken between 2007 and 2009, yielding a comprehensive collection of nearly 900 samples, whose taxonomic study is underway. Three new species of Hymedesmiidae are presently described from the Peruvian coast, all belonging in Hymedesmia (Hymedesmia), one of which also found in Chile. Hymedesmia (H.) santarositae sp. nov., from Isla Santa Rosa (Paracas), is characterized by the presence of microstrongyles next to sigmas. Hymedesmia (H.)peruana sp. nov., from Isla Foca (Piura), is diagnosed by its three categories of acanthostyles, and single categories of tomotes and arcuate isochelae. Hymedesmia (H.) humboldti sp. nov., from Moquega and Arequipa regions in Peru, and Antofagasta and Atacama regions in Chile, is diagnosed by its two categories of acanthostyles, and single categories of (aniso)strongyles and arcuate isochelae, the latter abundant at the surface. An identification key for Hymedesmia spp. from the South-eastern Pacific, Southwestern Atlantic, the Sub-Antarctic and the Antarctic is provided.</t>
  </si>
  <si>
    <t>[Salani, Sula] Univ Brasilia, Lab Bentos, Inst Ciencias Biol, Campus Univ Darcy Ribeiro,Bloco E S-N, BR-70910900 Brasilia, DF, Brazil; [Salani, Sula; Fernandez, Julio C. C.; Hajdu, Eduardo] Univ Fed Rio de Janeiro, Museu Nacl, Dept Invertebrados, Quinta Boa Vista S-N, BR-20940040 Rio De Janeiro, RJ, Brazil; [Fernandez, Julio C. C.] Univ Estado Rio de Janeiro UERJ, Dept Genet Dgen, Inst Biol Roberto Alcantara Gomes IBRAG, Rua Sao Francisco Xavier 524,Sala 205, BR-20550013 Rio De Janeiro, RJ, Brazil; [Willenz, Philippe] Royal Belgian Inst Nat Sci Taxon &amp; Phylogeny, Rue Vautier 29, B-1000 Brussels, Belgium; [Willenz, Philippe] Univ Libre Bruxelles, Lab Biol Marine, Ave FD Roosevelt 50, B-1050 Brussels, Belgium</t>
  </si>
  <si>
    <t>Universidade de Brasilia; Universidade Federal do Rio de Janeiro; Universidade do Estado do Rio de Janeiro; Royal Belgian Institute of Natural Sciences; Universite Libre de Bruxelles</t>
  </si>
  <si>
    <t>Salani, S (corresponding author), Univ Brasilia, Lab Bentos, Inst Ciencias Biol, Campus Univ Darcy Ribeiro,Bloco E S-N, BR-70910900 Brasilia, DF, Brazil.;Salani, S (corresponding author), Univ Fed Rio de Janeiro, Museu Nacl, Dept Invertebrados, Quinta Boa Vista S-N, BR-20940040 Rio De Janeiro, RJ, Brazil.;Willenz, P (corresponding author), Royal Belgian Inst Nat Sci Taxon &amp; Phylogeny, Rue Vautier 29, B-1000 Brussels, Belgium.;Willenz, P (corresponding author), Univ Libre Bruxelles, Lab Biol Marine, Ave FD Roosevelt 50, B-1050 Brussels, Belgium.</t>
  </si>
  <si>
    <t>sulasm@gmail.com; philippe.willenz@naturalsciences.be; juliocesarbio@yahoo.com.br; eduardo.hajdu@gmail.com</t>
  </si>
  <si>
    <t>Salani, Sula/KEJ-3217-2024</t>
  </si>
  <si>
    <t>Salani, Sula/0000-0003-3850-1030; WILLENZ, Philippe/0000-0003-4127-9346</t>
  </si>
  <si>
    <t>Belgian Directorate-General for Development Cooperation (DGD); FNRS (Fonds National de la Recherche Scientifique) [18834]; National Council for Scientific and Technological Development (CNPq) [Protax 52/2010]; Coordination for Improvement of Higher Education Personnel (CAPES) [PDSE-18867/12-0]; Carlos Chagas Filho Foundation for Research Support in the State of Rio de Janeiro (FAPERJ) [E-26/202.361/2019, E-26/202.362/2019]; CAPES [88887.3631122/2019-00]; CNPq; FAPERJ</t>
  </si>
  <si>
    <t>Belgian Directorate-General for Development Cooperation (DGD); FNRS (Fonds National de la Recherche Scientifique)(Fonds de la Recherche Scientifique - FNRS); National Council for Scientific and Technological Development (CNPq)(Conselho Nacional de Desenvolvimento Cientifico e Tecnologico (CNPQ)); Coordination for Improvement of Higher Education Personnel (CAPES)(Coordenacao de Aperfeicoamento de Pessoal de Nivel Superior (CAPES)); Carlos Chagas Filho Foundation for Research Support in the State of Rio de Janeiro (FAPERJ)(Fundacao Carlos Chagas Filho de Amparo a Pesquisa do Estado do Rio De Janeiro (FAPERJ)); CAPES(Coordenacao de Aperfeicoamento de Pessoal de Nivel Superior (CAPES)); CNPq(Conselho Nacional de Desenvolvimento Cientifico e Tecnologico (CNPQ)); FAPERJ(Fundacao Carlos Chagas Filho de Amparo a Pesquisa do Estado do Rio De Janeiro (FAPERJ))</t>
  </si>
  <si>
    <t>We thank Y. Hooker (UPCH) for leading our expeditions in the field and for crucial assistance in collecting samples and taking the underwater photographs. Thanks go also to G. Lobo-Hajdu (UERJ, Brazil), D. Schories (UACH, Chile; PtJ, Germany), F. Azevedo (UFRJ, Brazil), M.S. Rios Morales and U. Zanabria for collection of samples and diving assistance. The patient collaboration of J. Cillis while operating the SEM at RBINS was invaluable. The ESPER Project granted to RBINS was funded by the Belgian Directorate-General for Development Cooperation (DGD), within the framework of the CEBioS programme (Belgian Global Taxonomy Initiative NFP), RBINS. PhW was supported by travel grant #18834 from the FNRS (Fonds National de la Recherche Scientifique) to conduct part of this study at MNRJ. SS thanks the National Council for Scientific and Technological Development (CNPq) (PhD Grant: Protax 52/2010) and Coordination for Improvement of Higher Education Personnel (CAPES) (PDSE-18867/12-0); JCCF thanks the Carlos Chagas Filho Foundation for Research Support in the State of Rio de Janeiro (FAPERJ) for current Post-doctoral fellowships (grants FAPERJ NOTA 10 n degrees E-26/202.361/2019 and n degrees E-26/202.362/2019); and EH thanks CAPES (grants PROANTAR n degrees 88887.3631122/2019-00), CNPq (grants PROSUL 2004 &amp; 2007, Universal 2012 &amp; 2016) and FAPERJ (grants CNE 2009, 2013 and 2019).</t>
  </si>
  <si>
    <t>10.11646/zootaxa.5165.2.4</t>
  </si>
  <si>
    <t>3F4GB</t>
  </si>
  <si>
    <t>WOS:000830626900004</t>
  </si>
  <si>
    <t>Cantero, ALP</t>
  </si>
  <si>
    <t>Pena Cantero, Alvaro L.</t>
  </si>
  <si>
    <t>On a few benthic hydroids (Cnidaria, Hydrozoa) from the Kerguelen Islands (southern Indian Ocean), including the description of a new species</t>
  </si>
  <si>
    <t>Key words; Hydrozoans; New records; sub -Antarctic; Biodiversity</t>
  </si>
  <si>
    <t>A few samples of benthic hydroids from the remote Kerguelen Islands have been studied. The material was collected within the French research program ProteKer in 2013 and 2014. Six species were found in the material, four anthoathecates and two leptothecates; two of the species were identified only to genus level. All species, including Candelabrum bitentaculatum sp. nov., are described and discussed.</t>
  </si>
  <si>
    <t>[Pena Cantero, Alvaro L.] Univ Valencia, Dept Zool, Inst Cavanilles Biodiversidad &amp; Biol Evolut, Apdo Correos 22085, Valencia 46071, Spain</t>
  </si>
  <si>
    <t>Cantero, ALP (corresponding author), Univ Valencia, Dept Zool, Inst Cavanilles Biodiversidad &amp; Biol Evolut, Apdo Correos 22085, Valencia 46071, Spain.</t>
  </si>
  <si>
    <t>alvaro.l.pena@uv.es</t>
  </si>
  <si>
    <t>Pena Cantero, Alvaro/0000-0003-3056-6673</t>
  </si>
  <si>
    <t>European Community Research Infrastructure Action under the FP7 Integrating Activities Programme</t>
  </si>
  <si>
    <t>The author wants to express his gratitude to the Museum National d'Histoire Naturelle of Paris, for giving him the opportunity to study this hydroid material, and to Dr. Aude Andouche, from the same institution, for her help with different aspects related to the collection. The author received support for a stay at the Museum National d'Histoire Naturelle of Paris from the SYNTHESYS Project, http://www.synthesys.info/, which is financed by European Community Research Infrastructure Action under the FP7 Integrating Activities Programme.</t>
  </si>
  <si>
    <t>10.11646/zootaxa.5165.2.7</t>
  </si>
  <si>
    <t>3E4QP</t>
  </si>
  <si>
    <t>WOS:000829969400002</t>
  </si>
  <si>
    <t>Song, LL; Leng, KL; Xiao, K; Zhang, SC</t>
  </si>
  <si>
    <t>Song, Lili; Leng, Kailiang; Xiao, Kun; Zhang, Shicui</t>
  </si>
  <si>
    <t>Administration of krill oil extends lifespan of fish Nothobranchius guentheri via enhancement of antioxidant system and suppression of NF-κB pathway</t>
  </si>
  <si>
    <t>FISH PHYSIOLOGY AND BIOCHEMISTRY</t>
  </si>
  <si>
    <t>Krill oil; Anti-aging; Lifespan; Antioxidant system; NF-kappa B signaling</t>
  </si>
  <si>
    <t>ANNUAL CYPRINODONT FISH; AGE-RELATED MARKERS; OXIDATIVE STRESS; DIETARY SUPPLEMENTATION; IMMUNE-RESPONSE; AGING CHANGES; RESVERATROL; LONGEVITY; GROWTH; LIVER</t>
  </si>
  <si>
    <t>Krill oil (KO) extracted from Antarctic krill (Euphausia superba) mainly comprises phospholipids and triglycerides. KO has been shown to prolong the median lifespan of the nematode Caenorhabditis elegans, but to shorten the lifespan of long-lived F1 mice; therefore, it remains controversial over the life-extending property of KO. In this study, we clearly demonstrated that dietary intake of KO extended both the mean and maximum lifespans of aged male Nothobranchius guentheri (p &lt; 0.05), reduced the accumulation of lipofuscin (LF) (p &lt; 0.05) in the gills and senescence-associated beta-galactosidase (SA-beta-Gal) (p &lt; 0.05) in the caudal fins, and lowered the levels of protein oxidation (p &lt; 0.05), lipid peroxidation (p &lt; 0.01), and reactive oxygen species (ROS) (p &lt; 0.01) in the muscles and livers, indicating that KO possesses rejuvenation and anti-aging activity. We also showed that KO enhanced the activities of antioxidant enzymes catalase (CAT) (p &lt; 0.05), superoxide dismutase (SOD) (p &lt; 0.05), and glutathione peroxidase (GPX) (p &lt; 0.05) in aged male N. guentheri. In addition, KO administration effectively reversed histological lesions including inflammatory cell infiltration and structural collapse in the muscles and livers of aged N. guentheri and suppressed the nuclear factor kappa-B (NF-kappa B) signaling pathway (p &lt; 0.05), a master regulator of inflammation. Altogether, our study indicates that KO has anti-aging and rejuvenation property. It also suggests that KO exerts its anti-aging and rejuvenation effects via enhancement of the antioxidant system and suppression of the NF-kappa B signaling pathway.</t>
  </si>
  <si>
    <t>[Song, Lili; Xiao, Kun; Zhang, Shicui] Ocean Univ China, Inst Evolut &amp; Marine Biodivers, 5 Yushan Rd, Qingdao 266003, Peoples R China; [Song, Lili; Xiao, Kun; Zhang, Shicui] Ocean Univ China, Dept Marine Biol, 5 Yushan Rd, Qingdao 266003, Peoples R China; [Leng, Kailiang] Chinese Acad Fishery Sci, Yellow Sea Fisheries Res Inst, Key Lab Sustainable Dev Polar Fishery, Minist Agr &amp; Rural Affairs, Qingdao 266071, Peoples R China; [Leng, Kailiang] Pilot Natl Lab Marine Sci &amp; Technol Qingdao, Lab Marine Drugs &amp; Bioprod, Qingdao 266200, Peoples R China; [Zhang, Shicui] Pilot Natl Lab Marine Sci &amp; Technol Qingdao, Lab Marine Biol &amp; Biotechnol, Qingdao 266003, Peoples R China</t>
  </si>
  <si>
    <t>Ocean University of China; Ocean University of China; Ministry of Agriculture &amp; Rural Affairs; Chinese Academy of Fishery Sciences; Yellow Sea Fisheries Research Institute, CAFS; Laoshan Laboratory; Laoshan Laboratory</t>
  </si>
  <si>
    <t>Zhang, SC (corresponding author), Ocean Univ China, Inst Evolut &amp; Marine Biodivers, 5 Yushan Rd, Qingdao 266003, Peoples R China.;Zhang, SC (corresponding author), Ocean Univ China, Dept Marine Biol, 5 Yushan Rd, Qingdao 266003, Peoples R China.</t>
  </si>
  <si>
    <t>sczhang@ouc.edu.cn</t>
  </si>
  <si>
    <t>Ministry of Science and Technology [2018YFD0900505]; National Natural Science Foundation of China [32073000]</t>
  </si>
  <si>
    <t>Ministry of Science and Technology(Spanish Government); National Natural Science Foundation of China(National Natural Science Foundation of China (NSFC))</t>
  </si>
  <si>
    <t>This work was supported by the Ministry of Science and Technology (grant number: 2018YFD0900505) and the National Natural Science Foundation of China (grant number: 32073000).</t>
  </si>
  <si>
    <t>0920-1742</t>
  </si>
  <si>
    <t>1573-5168</t>
  </si>
  <si>
    <t>FISH PHYSIOL BIOCHEM</t>
  </si>
  <si>
    <t>Fish Physiol. Biochem.</t>
  </si>
  <si>
    <t>10.1007/s10695-022-01102-3</t>
  </si>
  <si>
    <t>Biochemistry &amp; Molecular Biology; Fisheries; Physiology</t>
  </si>
  <si>
    <t>3W1EI</t>
  </si>
  <si>
    <t>WOS:000825218600001</t>
  </si>
  <si>
    <t>Shepherd, RH; King, MD; Rennie, AR; Ward, AD; Frey, MM; Brough, N; Eveson, J; Del Vento, S; Milsom, A; Pfrang, C; Skoda, MWA; Welbourn, RJL</t>
  </si>
  <si>
    <t>Shepherd, Rosalie H.; King, Martin D.; Rennie, Adrian R.; Ward, Andrew D.; Frey, Markus M.; Brough, Neil; Eveson, Joshua; Del Vento, Sabino; Milsom, Adam; Pfrang, Christian; Skoda, Maximilian W. A.; Welbourn, Rebecca J. L.</t>
  </si>
  <si>
    <t>Measurement of gas-phase OH radical oxidation and film thickness of organic films at the air-water interface using material extracted from urban, remote and wood smoke aerosol</t>
  </si>
  <si>
    <t>SEA-SURFACE MICROLAYER; INITIATED HETEROGENEOUS OXIDATION; MULTIPHASE CHEMICAL-KINETICS; OLEIC-ACID; FATTY-ACID; HYDROXYL RADICALS; REACTIVE UPTAKE; ATMOSPHERIC AEROSOL; MOLECULAR-STRUCTURE; SUBMICRON SQUALANE</t>
  </si>
  <si>
    <t>The presence of an organic film on a cloud droplet or aqueous aerosol particle has the potential to alter the chemical, optical and physical properties of the droplet or particle. In the study presented, water insoluble organic materials extracted from urban, remote (Antarctica) and wood burning atmospheric aerosol were found to have stable, compressible, films at the air-water interface that were typically similar to 6-18 angstrom thick. These films are reactive towards gas-phase OH radicals and decay exponentially, with bimolecular rate constants for reaction with gas-phase OH radicals of typically 0.08-1.5 x 10(-10) cm(3) molecule(-1) s(-1). These bimolecular rate constants equate to initial OH radical uptake coefficients estimated to be similar to 0.6-1 except woodsmoke (similar to 0.05). The film thickness and the neutron scattering length density of the extracted atmosphere aerosol material (from urban, remote and wood burning) were measured by neutron reflection as they were exposed to OH radicals. For the first time neutron reflection has been demonstrated as an excellent technique for studying the thin films formed at air-water interfaces from materials extracted from atmospheric aerosol samples. Additionally, the kinetics of gas-phase OH radicals with a proxy compound, the lipid 1,2-distearoyl-sn-glycero-3-phosphocholine (DSPC) was studied displaying significantly different behaviour, thus demonstrating it is not a good proxy for atmospheric materials that may form films at the air-water interface. The atmospheric lifetimes, with respect to OH radical oxidation, of the insoluble organic materials extracted from atmospheric aerosol at the air-water interface were a few hours. Relative to a possible physical atmospheric lifetime of 4 days, the oxidation of these films is important and needs inclusion in atmospheric models. The optical properties of these films were previously reported [Shepherd et al., Atmos. Chem. Phys., 2018, 18, 5235-5252] and there is a significant change in top of the atmosphere albedo for these thin films on core-shell atmospheric aerosol using the film thickness data and confirmation of stable film formation at the air-water interface presented here.</t>
  </si>
  <si>
    <t>[Shepherd, Rosalie H.; Ward, Andrew D.] STFC Rutherford Appleton Lab, Res Complex Harwell, Cent Laser Facil, Oxford OX11 0FA, England; [Shepherd, Rosalie H.; King, Martin D.] Royal Holloway Univ London, Dept Earth Sci, Egham TW20 0EX, Surrey, England; [Rennie, Adrian R.] Uppsala Univ, Angstrom Lab, Dept Chem, S-75121 Uppsala, Sweden; [Frey, Markus M.; Brough, Neil; Eveson, Joshua; Del Vento, Sabino] British Antarctic Survey, Nat Environm Res Council, High Cross,Madingley Rd, Cambridge CB3 0ET, England; [Skoda, Maximilian W. A.; Welbourn, Rebecca J. L.] Rutherford Appleton Lab, ISIS Pulsed Neutron &amp; Muon Source, Oxford OX11 0QX, England; [Milsom, Adam; Pfrang, Christian] Univ Birmingham, Sch Geog Earth &amp; Environm Sci, Birmingham B15 2TT, W Midlands, England</t>
  </si>
  <si>
    <t>UK Research &amp; Innovation (UKRI); Science &amp; Technology Facilities Council (STFC); STFC Rutherford Appleton Laboratory; University of London; Royal Holloway University London; Uppsala University; UK Research &amp; Innovation (UKRI); Natural Environment Research Council (NERC); NERC British Antarctic Survey; UK Research &amp; Innovation (UKRI); Science &amp; Technology Facilities Council (STFC); STFC Rutherford Appleton Laboratory; University of Birmingham</t>
  </si>
  <si>
    <t>King, MD (corresponding author), Royal Holloway Univ London, Dept Earth Sci, Egham TW20 0EX, Surrey, England.</t>
  </si>
  <si>
    <t>m.king@rhul.ac.uk</t>
  </si>
  <si>
    <t>King, Martin/B-1308-2009; Frey, Markus/G-1756-2012; Ward, Andrew D/G-3135-2015; Milsom, Adam/ABD-7082-2021; Skoda, Maximilian/AAT-1071-2021; Pfrang, Christian/L-1502-2017</t>
  </si>
  <si>
    <t>King, Martin/0000-0002-0089-7693; Frey, Markus/0000-0003-0535-0416; Ward, Andrew D/0000-0001-6946-2391; Milsom, Adam/0000-0003-3875-9015; Rennie, Adrian/0000-0001-8185-3272; brough, neil/0000-0002-2316-5292; Pfrang, Christian/0000-0001-9023-5281</t>
  </si>
  <si>
    <t>STFC ISIS [RB1510455, RB1520410, RB1610119]; STFC [ST/L504279/1]; NERC [NE/T00732X/1]; NERC [NE/T00732X/1] Funding Source: UKRI</t>
  </si>
  <si>
    <t>STFC ISIS; STFC(UK Research &amp; Innovation (UKRI)Science &amp; Technology Facilities Council (STFC)); NERC(UK Research &amp; Innovation (UKRI)Natural Environment Research Council (NERC)); NERC(UK Research &amp; Innovation (UKRI)Natural Environment Research Council (NERC))</t>
  </si>
  <si>
    <t>The authors wish to thank STFC ISIS for awarding the beam time grants RB1510455, RB1520410 and RB1610119. RHS would like to thank STFC for funding the student grant ST/L504279/1. MDK would like to thank NERC for grant NE/T00732X/1.</t>
  </si>
  <si>
    <t>10.1039/d2ea00013j</t>
  </si>
  <si>
    <t>2Z1RI</t>
  </si>
  <si>
    <t>WOS:000826362600001</t>
  </si>
  <si>
    <t>Mackallah, C; Chamberlain, MA; Law, RM; Dix, M; Ziehn, T; Bi, D; Bodman, R; Brown, JR; Dobrohotoff, P; Druken, K; Evans, B; Harman, IN; Hayashida, H; Holmes, R; Kiss, AE; Lenton, A; Liu, Y; Marsland, S; Meissner, K; Menviel, L; O'Farrell, S; Rashid, HA; Ridzwan, S; Savita, A; Srbinovsky, J; Sullivan, A; Trenham, C; Vohralik, PF; Wang, YP; Williams, G; Woodhouse, MT; Yeung, N</t>
  </si>
  <si>
    <t>Mackallah, C.; Chamberlain, M. A.; Law, R. M.; Dix, M.; Ziehn, T.; Bi, D.; Bodman, R.; Brown, J. R.; Dobrohotoff, P.; Druken, K.; Evans, B.; Harman, I. N.; Hayashida, H.; Holmes, R.; Kiss, A. E.; Lenton, A.; Liu, Y.; Marsland, S.; Meissner, K.; Menviel, L.; O'Farrell, S.; Rashid, H. A.; Ridzwan, S.; Savita, A.; Srbinovsky, J.; Sullivan, A.; Trenham, C.; Vohralik, P. F.; Wang, Y-P; Williams, G.; Woodhouse, M. T.; Yeung, N.</t>
  </si>
  <si>
    <t>ACCESS datasets for CMIP6: methodology and idealised experiments</t>
  </si>
  <si>
    <t>JOURNAL OF SOUTHERN HEMISPHERE EARTH SYSTEMS SCIENCE</t>
  </si>
  <si>
    <t>ACCESS; climate change; climate data; climate model evaluation; climate simulation; CMIP6; coupled climate model; Earth System Model</t>
  </si>
  <si>
    <t>GREENHOUSE-GAS CONCENTRATIONS; ENVIRONMENT SIMULATOR JULES; SEA-ICE MODEL; EXPERIMENTAL PROTOCOL; CARBON-CYCLE; EXPERIMENTAL-DESIGN; PMIP4 CONTRIBUTION; ZERO EMISSIONS; CLIMATE; OCEAN</t>
  </si>
  <si>
    <t>The Australian Community Climate and Earth System Simulator (ACCESS) has contributed to the World Climate Research Programme's Coupled Model Intercomparison Project Phase 6 (CMIP6) using two fully coupled model versions (ACCESS-CM2 and ACCESS-ESM1.5) and two ocean-seaice model versions (1 degrees and 0.25 degrees resolution versions of ACCESS-OM2). The fully coupled models differ primarily in the configuration and version of their atmosphere components (including the aerosol scheme), with smaller differences in their sea-ice and land model versions. Additionally, ACCESS-ESM1.5 includes biogeochemistry in the land and ocean components and can be run with an interactive carbon cycle. CMIP6 comprises core experiments and associated thematic Model Intercomparison Projects (MIPs). This paper provides an overview of the CMIP6 submission, including the methods used for the preparation of input forcing datasets and the post-processing of model output, along with a comprehensive list of experiments performed, detailing their initialisation, duration, ensemble number and computational cost. A small selection of model output is presented, focusing on idealised experiments and their variants at global scale. Differences in the climate simulation of the two coupled models are highlighted. ACCESS-CM2 produces a larger equilibrium climate sensitivity (4.7 degrees C) than ACCESS-ESM1.5 (3.9 degrees C), likely a result of updated atmospheric parameterisation in recent versions of the atmospheric component of ACCESS-CM2. The idealised experiments run with ACCESS-ESM1.5 show that land and ocean carbon fluxes respond to both changing atmospheric CO2 and to changing temperature. ACCESS data submitted to CMIP6 are available from the Earth System Grid Federation (https://doi.org/10.22033/ESGF/CMIP6.2281 and https://doi.org/10.22033/ESGF/ CMIP6.2288). The information provided in this paper should facilitate easier use of these significant datasets by the broader climate community.</t>
  </si>
  <si>
    <t>[Mackallah, C.; Law, R. M.; Dix, M.; Ziehn, T.; Bi, D.; Bodman, R.; Dobrohotoff, P.; Marsland, S.; O'Farrell, S.; Rashid, H. A.; Savita, A.; Srbinovsky, J.; Sullivan, A.; Wang, Y-P; Woodhouse, M. T.] CSIRO Oceans &amp; Atmosphere, Aspendale, Vic 3195, Australia; [Chamberlain, M. A.; Lenton, A.] CSIRO Oceans &amp; Atmosphere, Battery Point, Tas 7004, Australia; [Bodman, R.; Brown, J. R.] Univ Melbourne, Sch Geog Earth &amp; Atmospher Sci, Parkville, Vic 3010, Australia; [Brown, J. R.; Hayashida, H.; Kiss, A. E.; Meissner, K.; Savita, A.; Yeung, N.] Australian Res Council Ctr Excellence Climate Ext, Sydney, NSW 2052, Australia; [Druken, K.; Liu, Y.; Ridzwan, S.] Natl Computat Infrastruct, Acton, ACT 2601, Australia; [Evans, B.; Harman, I. N.; Trenham, C.] CSIRO Oceans &amp; Atmosphere, Black Mt, ACT 2601, Australia; [Hayashida, H.; Savita, A.] Univ Tasmania, Inst Marine &amp; Antarctic Studies, Hobart, Tas 7005, Australia; [Holmes, R.] Univ Sydney, Sch Geosci, Camperdown, NSW 2006, Australia; [Kiss, A. E.] Australian Natl Univ, Res Sch Earth Sci, Acton, ACT 2601, Australia; [Meissner, K.; Menviel, L.; Yeung, N.] Univ New South Wales, Climate Change Res Ctr, Sydney, NSW 2052, Australia; [Menviel, L.] Univ Tasmania, Australian Ctr Excellence Antarctic Sci, Hobart, Tas 7001, Australia; [Vohralik, P. F.] CSIRO Oceans &amp; Atmosphere, Lindfield, NSW 2070, Australia; [Williams, G.] CSIRO Informat Management &amp; Technol, Black Mt, ACT 2601, Australia</t>
  </si>
  <si>
    <t>Commonwealth Scientific &amp; Industrial Research Organisation (CSIRO); Commonwealth Scientific &amp; Industrial Research Organisation (CSIRO); University of Melbourne; Commonwealth Scientific &amp; Industrial Research Organisation (CSIRO); University of Tasmania; University of Sydney; Australian National University; University of New South Wales Sydney; University of Tasmania; Commonwealth Scientific &amp; Industrial Research Organisation (CSIRO); Commonwealth Scientific &amp; Industrial Research Organisation (CSIRO)</t>
  </si>
  <si>
    <t>Mackallah, C (corresponding author), CSIRO Oceans &amp; Atmosphere, Aspendale, Vic 3195, Australia.</t>
  </si>
  <si>
    <t>chloe.mackallah@csiro.au</t>
  </si>
  <si>
    <t>Bi, Daohua/O-4508-2015; Bodman, Roger William/O-8469-2015; wang, ying-ping/A-9765-2011; Harman, Ian/A-4004-2012; Ziehn, Tilo/A-3094-2012; Dobrohotoff, Peter B/I-1550-2017; Chamberlain, Matthew/D-4805-2012; Wang, Ying/HJI-2509-2023; Kiss, Andrew E/E-7733-2016; Marsland, Simon J/A-1453-2012; Hayashida, Hakase/AAY-4151-2020; Rashid, Harun A/D-9027-2012; Law, Rachel/A-1969-2012; Woodhouse, Matthew/E-4808-2013; Dix, Martin/A-2334-2012</t>
  </si>
  <si>
    <t>wang, ying-ping/0000-0002-4614-6203; Ziehn, Tilo/0000-0001-9873-9775; Kiss, Andrew E/0000-0001-8960-9557; Marsland, Simon J/0000-0002-5664-5276; Hayashida, Hakase/0000-0002-6349-4947; Rashid, Harun A/0000-0003-1896-2446; Law, Rachel/0000-0002-7346-0927; Mackallah, Chloe/0000-0003-4989-5530; Brown, Josephine/0000-0002-1100-7457; Woodhouse, Matthew/0000-0002-9892-4492; Dix, Martin/0000-0002-7534-0654; Meissner, Katrin/0000-0002-0716-7415; Bodman, Roger/0000-0002-8349-3001</t>
  </si>
  <si>
    <t>National Computational Infrastructure (NCI Australia) (ALCG2020, NCI project) [12840, gy57]; Australian Research Council [LP160100073, LP200100406]; Australian Government's Australian Antarctic Science Program grant [4541]; Australian Government; Australian Research Council [LP160100073, LP200100406] Funding Source: Australian Research Council</t>
  </si>
  <si>
    <t>National Computational Infrastructure (NCI Australia) (ALCG2020, NCI project); Australian Research Council(Australian Research Council); Australian Government's Australian Antarctic Science Program grant; Australian Government(Australian Government); Australian Research Council(Australian Research Council)</t>
  </si>
  <si>
    <t>ACCESS simulations undertaken with the assistance an Australasian Leadership Computing Grant by sponsor, the National Computational Infrastructure (NCI Australia) (grant #12840 under ALCG2020, NCI project gy57). NCI Australia had a governance role in the publication of ACCESS data to CMIP6, and NCI staff contributed to the preparation of this manuscript. COSIMA and A. E. Kiss were funded by Australian Research Council grants LP160100073 and LP200100406. A. E. Kiss was also funded by the Australian Government's Australian Antarctic Science Program grant 4541. This research was undertaken with the assistance of resources from the NCI, which is supported by the Australian Government.</t>
  </si>
  <si>
    <t>CSIRO PUBLISHING</t>
  </si>
  <si>
    <t>CLAYTON</t>
  </si>
  <si>
    <t>UNIPARK, BLDG 1, LEVEL 1, 195 WELLINGTON RD, LOCKED BAG 10, CLAYTON, VIC 3168, AUSTRALIA</t>
  </si>
  <si>
    <t>2206-5865</t>
  </si>
  <si>
    <t>J SO HEMISPH EARTH</t>
  </si>
  <si>
    <t>J. South Hemisph. Earth Syst. Sci.</t>
  </si>
  <si>
    <t>10.1071/ES21031</t>
  </si>
  <si>
    <t>4J4ET</t>
  </si>
  <si>
    <t>WOS:000824633900001</t>
  </si>
  <si>
    <t>Cao, S; Li, Y; Miao, X; Zhang, R; Lin, LS; Li, H</t>
  </si>
  <si>
    <t>Cao, Shuai; Li, Yuan; Miao, Xing; Zhang, Ran; Lin, Longshan; Li, Hai</t>
  </si>
  <si>
    <t>DNA barcoding provides insights into Fish Diversity and Molecular Taxonomy of the Amundsen Sea</t>
  </si>
  <si>
    <t>CONSERVATION GENETICS RESOURCES</t>
  </si>
  <si>
    <t>Antarctic fish; Amundsen Sea; DNA barcode; COI gene; Fish diversity; Taxonomy</t>
  </si>
  <si>
    <t>ANTARCTIC NOTOTHENIOID FISHES; SOUTHERN-OCEAN; CLIMATE-CHANGE; IMPACT; EVOLUTION; PHYLOGENIES; BAY</t>
  </si>
  <si>
    <t>The Southern Ocean is experiencing complex climate change, and the Amundsen Sea is one of the regions that has responded most rapidly to climate change. Due to their role in ecosystems, environmental sensitivity and high endemism, Antarctic demersal fish are a favorable group that can act as an indicator of the response of Antarctic organisms to climate change. However, our knowledge of Antarctic fish fauna is insufficient, with knowledge gaps even in their taxonomy. This situation is greatly influenced by the limitations of traditional taxonomy and thus calls for alternative solutions such as DNA barcoding. In this study, DNA barcoding analyses of 69 fish samples obtained from the Amundsen Sea were conducted using the mitochondrial COI gene. Based on the molecular species delimitation results, 13 fish species were found to belong to two orders, six families, and 12 genera. Both the maximum likelihood and Bayesian inference methods showed that the phylogenetic relationships of Bathydraconidae were paraphyletic, which was consistent with previous phylogenetic research. Our research showed that the COI gene, as a DNA barcode, is not only suitable for the identification of Antarctic fish species but also reflects some phylogenetic characteristics that might provide important evidence and support for studies of Antarctic fish phylogenetic relationships. In summary, our study provides an important reference for fish diversity and taxonomy in the Amundsen Sea, which may further enhance our understanding of the biodiversity, taxonomy and biogeography of fish in this area.</t>
  </si>
  <si>
    <t>[Cao, Shuai; Li, Yuan; Lin, Longshan] Shanghai Ocean Univ, Coll Marine Sci, Shanghai 201306, Peoples R China; [Cao, Shuai; Li, Yuan; Miao, Xing; Zhang, Ran; Lin, Longshan; Li, Hai] Minist Nat Resources, Lab Marine Biol &amp; Ecol, Inst Oceanog 3, Xiamen 361005, Peoples R China</t>
  </si>
  <si>
    <t>Shanghai Ocean University; Third Institute of Oceanography, Ministry of Natural Resources; Ministry of Natural Resources of the People's Republic of China</t>
  </si>
  <si>
    <t>Lin, LS (corresponding author), Shanghai Ocean Univ, Coll Marine Sci, Shanghai 201306, Peoples R China.;Lin, LS; Li, H (corresponding author), Minist Nat Resources, Lab Marine Biol &amp; Ecol, Inst Oceanog 3, Xiamen 361005, Peoples R China.</t>
  </si>
  <si>
    <t>linlsh@tio.org.cn; lihai@tio.org.cn</t>
  </si>
  <si>
    <t>Ministry of Natural Resources of the People's Republic of China, Chinese Arctic and Antarctic Administration [01-02-02B 02-03]</t>
  </si>
  <si>
    <t>Ministry of Natural Resources of the People's Republic of China, Chinese Arctic and Antarctic Administration</t>
  </si>
  <si>
    <t>This work was supported by the Impact and Response of Antarctic Seas to Climate Change (IRASCC2020-2022-NO.01-02-02B &amp; 02-03), Ministry of Natural Resources of the People's Republic of China, Chinese Arctic and Antarctic Administration. We thank all the teammates and crew of the XUELONG R/V for their efforts in collecting specimens during the CHINARE-36 cruise.</t>
  </si>
  <si>
    <t>1877-7252</t>
  </si>
  <si>
    <t>1877-7260</t>
  </si>
  <si>
    <t>CONSERV GENET RESOUR</t>
  </si>
  <si>
    <t>Conserv. Genet. Resour.</t>
  </si>
  <si>
    <t>10.1007/s12686-022-01273-4</t>
  </si>
  <si>
    <t>Biodiversity Conservation; Genetics &amp; Heredity</t>
  </si>
  <si>
    <t>Biodiversity &amp; Conservation; Genetics &amp; Heredity</t>
  </si>
  <si>
    <t>4T2XG</t>
  </si>
  <si>
    <t>WOS:000825201700001</t>
  </si>
  <si>
    <t>Eckstaller, A; Asseng, J; Lippmann, E; Franke, S</t>
  </si>
  <si>
    <t>Eckstaller, Alfons; Asseng, Jolund; Lippmann, Erich; Franke, Steven</t>
  </si>
  <si>
    <t>Towards a self-sufficient mobile broadband seismological recording system for year-round operation in Antarctica</t>
  </si>
  <si>
    <t>GEOSCIENTIFIC INSTRUMENTATION METHODS AND DATA SYSTEMS</t>
  </si>
  <si>
    <t>UPPER-MANTLE; NETWORK; DEPLOYMENT; MOUNTAINS; BENEATH; GLISN; PLATE</t>
  </si>
  <si>
    <t>Passive seismic measurements allow the study of the deeper Earth beneath the thick Antarctic ice sheet cover. Due to logistical and weather constraints, only a fraction of the area of the Antarctic ice sheet can be surveyed with long-term or temporary sensors. A fundamental limitation is the power supply and operation of the instruments during the polar winter. In addition, there is only a limited time window during the field seasons to deploy the stations over the year. Here we present a rapidly and simple deployable self-sufficient mobile seismic station concept. The station consists of different energy supply modules aligned according to the survey needs, measuring duration, and survey aim. Parts of the concept are integrated into an already existing pool of mobile stations and in the seismological network of the geophysical observatory at Neumayer III Station. Other concepts and features are still under development. The overall goal is to use these temporary mobile arrays in regions where little is known about local and regional tectonic earthquake activity.</t>
  </si>
  <si>
    <t>[Eckstaller, Alfons; Asseng, Jolund; Franke, Steven] Helmholtz Ctr Polar &amp; Marine Res, Alfred Wegener Inst, Bremerhaven, Germany; [Lippmann, Erich] Lippmann Geophys Instruments LGM, Schaufling, Germany; [Franke, Steven] Univ Copenhagen, Niels Bohr Inst, Phys Ice Climate &amp; Earth, Copenhagen, Denmark</t>
  </si>
  <si>
    <t>Helmholtz Association; Alfred Wegener Institute, Helmholtz Centre for Polar &amp; Marine Research; University of Copenhagen; Niels Bohr Institute</t>
  </si>
  <si>
    <t>Franke, S (corresponding author), Helmholtz Ctr Polar &amp; Marine Res, Alfred Wegener Inst, Bremerhaven, Germany.;Franke, S (corresponding author), Univ Copenhagen, Niels Bohr Inst, Phys Ice Climate &amp; Earth, Copenhagen, Denmark.</t>
  </si>
  <si>
    <t>steven.franke@awi.de</t>
  </si>
  <si>
    <t>Franke, Steven/ABB-6333-2020</t>
  </si>
  <si>
    <t>Franke, Steven/0000-0001-8462-4379</t>
  </si>
  <si>
    <t>AWI Strategy fund; German Academic Exchange Service (DAAD) program Forschungsstipendien fur promovierte Nachwuchswissenschaftlerinnen und -wissenschaftler (Kurzstipendien)</t>
  </si>
  <si>
    <t>AWI Strategy fund; German Academic Exchange Service (DAAD) program Forschungsstipendien fur promovierte Nachwuchswissenschaftlerinnen und -wissenschaftler (Kurzstipendien)(Deutscher Akademischer Austausch Dienst (DAAD))</t>
  </si>
  <si>
    <t>Steven Franke was funded by the AWI Strategy fund and the German Academic Exchange Service (DAAD) program Forschungsstipendien fur promovierte Nachwuchswissenschaftlerinnen und -wissenschaftler (Kurzstipendien).</t>
  </si>
  <si>
    <t>2193-0856</t>
  </si>
  <si>
    <t>2193-0864</t>
  </si>
  <si>
    <t>GEOSCI INSTRUM METH</t>
  </si>
  <si>
    <t>Geosci. Instrum. Methods Data Syst.</t>
  </si>
  <si>
    <t>10.5194/gi-11-235-2022</t>
  </si>
  <si>
    <t>2W3LT</t>
  </si>
  <si>
    <t>WOS:000824430200001</t>
  </si>
  <si>
    <t>Darby, J; Clairbaux, M; Bennison, A; Quinn, JL; Jessopp, MJ</t>
  </si>
  <si>
    <t>Darby, J.; Clairbaux, M.; Bennison, A.; Quinn, J. L.; Jessopp, M. J.</t>
  </si>
  <si>
    <t>Underwater visibility constrains the foraging behaviour of a diving pelagic seabird</t>
  </si>
  <si>
    <t>PROCEEDINGS OF THE ROYAL SOCIETY B-BIOLOGICAL SCIENCES</t>
  </si>
  <si>
    <t>climate change; Manx shearwaters; prey detection; seabird foraging; sensory ecology; turbidity</t>
  </si>
  <si>
    <t>DIEL VERTICAL MIGRATION; WATER CLARITY; NORTH-SEA; MANX SHEARWATER; TURBIDITY; PREY; EFFICIENCY; PENGUINS; PUFFINUS</t>
  </si>
  <si>
    <t>Understanding the sensory ecology of species is vital if we are to predict how they will function in a changing environment. Visual cues are fundamentally important for many predators when detecting and capturing prey. However, many marine areas have become more turbid through processes influenced by climate change, potentially affecting the ability of marine predators to detect prey. We performed the first study that directly relates a pelagic seabird species's foraging behaviour to oceanic turbidity. We collected biologging data from 79 foraging trips and 5472 dives of a visually dependent, pursuit-diving seabird, the Manx shearwater (Puffinus puffinus). Foraging behaviour was modelled against environmental variables affecting underwater visibility, including water turbidity, cloud cover and solar angle. Shearwaters were more likely to initiate area-restricted search and foraging dives in clearer waters. Underwater visibility also strongly predicted dive rate and depth, suggesting that fine-scale prey capture was constrained by the detectability of prey underwater. Our novel use of dynamic descriptors of underwater visibility suggests that visual cues are vital for underwater foraging. Our data indicate that climate change could negatively impact seabird populations by making prey more difficult to detect, compounded by the widely reported effects of reduced prey populations.</t>
  </si>
  <si>
    <t>[Darby, J.; Clairbaux, M.; Quinn, J. L.; Jessopp, M. J.] Univ Coll Cork, Sch Biol Environm &amp; Earth Sci, Cork T23 N73K, Ireland; [Darby, J.; Clairbaux, M.; Jessopp, M. J.] Univ Coll Cork, Environm Res Inst, MaREI Ctr Energy Climate &amp; Marine, Cork P43 C573, Ireland; [Bennison, A.] British Antarctic Survey, Madingley Rd, Cambridge CB3 0ET, England</t>
  </si>
  <si>
    <t>University College Cork; University College Cork; UK Research &amp; Innovation (UKRI); Natural Environment Research Council (NERC); NERC British Antarctic Survey</t>
  </si>
  <si>
    <t>Darby, J (corresponding author), Univ Coll Cork, Sch Biol Environm &amp; Earth Sci, Cork T23 N73K, Ireland.;Darby, J (corresponding author), Univ Coll Cork, Environm Res Inst, MaREI Ctr Energy Climate &amp; Marine, Cork P43 C573, Ireland.</t>
  </si>
  <si>
    <t>jamie.darby@ucc.ie</t>
  </si>
  <si>
    <t>Jessopp, Mark/AAI-4786-2020</t>
  </si>
  <si>
    <t>Jessopp, Mark/0000-0002-2692-3730; Darby, Jamie/0000-0002-9757-7150; Quinn, John/0000-0001-9363-3146</t>
  </si>
  <si>
    <t>0962-8452</t>
  </si>
  <si>
    <t>1471-2954</t>
  </si>
  <si>
    <t>P ROY SOC B-BIOL SCI</t>
  </si>
  <si>
    <t>Proc. R. Soc. B-Biol. Sci.</t>
  </si>
  <si>
    <t>JUL 13</t>
  </si>
  <si>
    <t>10.1098/rspb.2022.0862</t>
  </si>
  <si>
    <t>Biology; Ecology; Evolutionary Biology</t>
  </si>
  <si>
    <t>Life Sciences &amp; Biomedicine - Other Topics; Environmental Sciences &amp; Ecology; Evolutionary Biology</t>
  </si>
  <si>
    <t>7F8TQ</t>
  </si>
  <si>
    <t>WOS:000902113300008</t>
  </si>
  <si>
    <t>Li, MC; Zhou, CX; Chen, XL; Liu, Y; Li, B; Liu, TT</t>
  </si>
  <si>
    <t>Li, Mingci; Zhou, Chunxia; Chen, Xiaoli; Liu, Yong; Li, Bing; Liu, Tingting</t>
  </si>
  <si>
    <t>Improvement of the feature tracking and patter matching algorithm for sea ice motion retrieval from SAR and optical imagery</t>
  </si>
  <si>
    <t>INTERNATIONAL JOURNAL OF APPLIED EARTH OBSERVATION AND GEOINFORMATION</t>
  </si>
  <si>
    <t>Sea ice motion; Feature tracking; Maximum cross-correlation; Q-ORB; Geographic grid-based matching; Locally consistent filtering; Marginal sea ice zones; Pack sea ice zones</t>
  </si>
  <si>
    <t>ARCTIC-OCEAN; DRIFT; KINEMATICS; RADIOMETER</t>
  </si>
  <si>
    <t>This study presents an improved, versatile, and efficient algorithm based on the Oriented FAST and Rotated BRIEF (ORB) combined with the maximum cross-correlation (MCC) (ORB-MCC) for extracting sea ice motion (SIM) vectors. Quadtree ORB (Q-ORB) extracts more uniform feature points than ORB (uniformity is 3 times higher) and eliminates the concentration of ORB-extracted feature points on ice ridges, leads and coastlines, thereby providing excellent initial conditions for MCC calculations. In addition, a geographic grid-based matching (GGM) algorithm is developed to replace the brute-force matching algorithm (BFM). GGM is 8-10 times more efficient for matching feature points than BFM, thereby increasing the computational efficiency of extracting SIM vectors. Moreover, a locally consistent (LC) flow field filtering process is incorporated to facilitate the filtering of the SIM field. Combining cross-correlation-coefficient-threshold (CCCT)-based and LC filtering processes eliminates erroneous vectors more efficiently than using a CCCT-based filtering process alone. The improved algorithm, named Q-ORB-MCC, is used to extract SIM vectors from imagery acquired by the Sentinel-1 Synthetic-Aperture Radar (SAR), Envisat Advanced SAR (ASAR), Phased Array type L-band SAR-2 (PALSAR-2) onboard the Advanced Land Observing Satellite-2 (ALOS-2), and Moderate Resolution Imaging Spectroradiometer (MODIS). An analysis of the accuracy and effectiveness of the extracted SIM vectors shows that Q-ORB-MCC extracted SIM vectors from Sentinel-1, ASAR, and MODIS images with 4%, 253%, and 62% higher accuracy than ORB-MCC, respectively. Meanwhile Q-ORB-MCC could obtain more SIM vectors from Sentinel-1 and ASAR images.</t>
  </si>
  <si>
    <t>[Li, Mingci; Zhou, Chunxia; Chen, Xiaoli; Liu, Yong; Liu, Tingting] Wuhan Univ, Chinese Antarctic Ctr Surveying &amp; Mapping, Wuhan, Peoples R China; [Li, Bing] Wuhan Polytech Univ, Sch Math &amp; Comp Sci, Wuhan, Peoples R China</t>
  </si>
  <si>
    <t>Wuhan University; Wuhan Polytechnic University</t>
  </si>
  <si>
    <t>Zhou, CX (corresponding author), Wuhan Univ, Chinese Antarctic Ctr Surveying &amp; Mapping, Wuhan, Peoples R China.</t>
  </si>
  <si>
    <t>liu, liu/JEO-6900-2023; liu, ting/GZM-3326-2022</t>
  </si>
  <si>
    <t>National Key Research and Develop-ment Program of China [2021YFC2803302, 2018YFC1406102]; National Natural Science Foundation of China (NSFC) [42171133, 41941010]; Funds for the Distinguished Young Scientists of Hubei Province (China) [2019CFA057]</t>
  </si>
  <si>
    <t>National Key Research and Develop-ment Program of China; National Natural Science Foundation of China (NSFC)(National Natural Science Foundation of China (NSFC)); Funds for the Distinguished Young Scientists of Hubei Province (China)</t>
  </si>
  <si>
    <t>Funding information This research is funded by the National Key Research and Develop-ment Program of China (2021YFC2803302, 2018YFC1406102) , the National Natural Science Foundation of China (NSFC) (42171133, 41941010) , and the Funds for the Distinguished Young Scientists of Hubei Province (China) (2019CFA057) .</t>
  </si>
  <si>
    <t>1569-8432</t>
  </si>
  <si>
    <t>1872-826X</t>
  </si>
  <si>
    <t>INT J APPL EARTH OBS</t>
  </si>
  <si>
    <t>Int. J. Appl. Earth Obs. Geoinf.</t>
  </si>
  <si>
    <t>10.1016/j.jag.2022.102908</t>
  </si>
  <si>
    <t>4X3UV</t>
  </si>
  <si>
    <t>WOS:000860772200002</t>
  </si>
  <si>
    <t>Bojko, J; Reinke, AW; Stentiford, GD; Williams, B; Rogers, MSJ; Bass, D</t>
  </si>
  <si>
    <t>Bojko, Jamie; Reinke, Aaron W.; Stentiford, Grant D.; Williams, Bryony; Rogers, Martin S. J.; Bass, David</t>
  </si>
  <si>
    <t>Microsporidia: a new taxonomic, evolutionary, and ecological synthesis</t>
  </si>
  <si>
    <t>TRENDS IN PARASITOLOGY</t>
  </si>
  <si>
    <t>ANNCALIIA ALGERAE; N. SP; HOST; PHYLOGENY; MOSQUITO; SEQUENCE; PATHOGEN; THELOHANIA; EXPANSION; PARASITES</t>
  </si>
  <si>
    <t>[Bojko, Jamie] Univ Teesside, Horizons Ctr, Darlington DL1 1HG, Durham, England; [Bojko, Jamie] Univ Teesside, Sch Hlth &amp; Life Sci, Middlesbrough TS1 3BX, Cleveland, England; [Reinke, Aaron W.] Univ Toronto, Dept Mol Genet, Toronto, ON, Canada; [Stentiford, Grant D.; Bass, David] Int Ctr Excellence Aquat Anim Hlth, Ctr Environm Fisheries &amp; Aquaculture Sci, Barrack Rd, Weymouth DT4 8UB, England; [Stentiford, Grant D.; Williams, Bryony; Bass, David] Univ Exeter, Biosci, Exeter EX4 4HB, Devon, England; [Rogers, Martin S. J.] British Antarctic Survey, Artifical Intelligence Lab, Cambridge CB3 0ET, England; [Bass, David] Nat Hist Museum, Dept Life Sci, Cromwell Rd, London SW7 5BD, England</t>
  </si>
  <si>
    <t>University of Teesside; University of Teesside; University of Toronto; Centre for Environment Fisheries &amp; Aquaculture Science; University of Exeter; UK Research &amp; Innovation (UKRI); Natural Environment Research Council (NERC); NERC British Antarctic Survey; Natural History Museum London</t>
  </si>
  <si>
    <t>Bojko, J (corresponding author), Univ Teesside, Horizons Ctr, Darlington DL1 1HG, Durham, England.;Bojko, J (corresponding author), Univ Teesside, Sch Hlth &amp; Life Sci, Middlesbrough TS1 3BX, Cleveland, England.</t>
  </si>
  <si>
    <t>J.Bojko@tees.ac.uk</t>
  </si>
  <si>
    <t>Reinke, Aaron/0000-0001-7612-5342; Rogers, Martin/0000-0003-0056-2030; Williams, Bryony/0000-0003-1123-2176; Bojko, Jamie/0000-0001-5972-0844</t>
  </si>
  <si>
    <t>Canadian Institutes of Health Research [400784]; Alfred P Sloan Research Fellowship [FG2019-12040]; Defra [FX001]</t>
  </si>
  <si>
    <t>Canadian Institutes of Health Research(Canadian Institutes of Health Research (CIHR)); Alfred P Sloan Research Fellowship(Alfred P. Sloan Foundation); Defra(Department for Environment, Food &amp; Rural Affairs (DEFRA))</t>
  </si>
  <si>
    <t>This work was supported by the Canadian Institutes of Health Research grant no. 400784 (A. W.R.) and an Alfred P Sloan Research Fellowship FG2019-12040 (A.W.R.). D.B. and G.D.S. were supported by Defra funding (contract FX001) supporting the OIE Collaborating Centre for Emerging Aquatic Animal Diseases.</t>
  </si>
  <si>
    <t>1471-4922</t>
  </si>
  <si>
    <t>1471-5007</t>
  </si>
  <si>
    <t>TRENDS PARASITOL</t>
  </si>
  <si>
    <t>Trends Parasitol.</t>
  </si>
  <si>
    <t>10.1016/j.pt.2022.05.007</t>
  </si>
  <si>
    <t>Parasitology</t>
  </si>
  <si>
    <t>4M6BJ</t>
  </si>
  <si>
    <t>WOS:000853407900006</t>
  </si>
  <si>
    <t>Chiswell, SM; Gutierrez-Rodriguez, A; Gall, M; Safi, K; Strzepek, R; Decima, MR; Nodder, SD</t>
  </si>
  <si>
    <t>Chiswell, Stephen M.; Gutierrez-Rodriguez, Andres; Gall, Mark; Safi, Karl; Strzepek, Robert; Decima, Moira R.; Nodder, Scott D.</t>
  </si>
  <si>
    <t>Seasonal cycles of phytoplankton and net primary production from Biogeochemical Argo float data in the south-west Pacific Ocean</t>
  </si>
  <si>
    <t>Primary production; BGC-Argo floats; Physical control; Pacific Ocean; New Zealand; Subtropical water; Subantarctic water; Subantarctic mode water</t>
  </si>
  <si>
    <t>MARINE PRIMARY PRODUCTION; SUB-ANTARCTIC WATERS; NEW-ZEALAND; SPRING BLOOMS; GROWTH-RATES; MIXED-LAYER; IRON; CARBON; WINTER; OCEANOGRAPHY</t>
  </si>
  <si>
    <t>We present annual cycles of chlorophyll a, phytoplankton carbon, nitrate and oxygen for Subtropical (STW), Subantarctic (SAW), and Subantarctic Mode (SAMW) waters near Aotearoa New Zealand from data collected by two Biogeochemical (BGC) Argo floats. We develop two simple models of depth-integrated net primary production (NPP), tuned against 14C-uptake measurements, to compare with Vertically-Generalised Production Model (VGPM) satellite-based estimates of NPP. One model is the simplest possible, and assumes production is proportional to light multiplied by chlorophyll a concentration. The second model modifies the light response profile to account for photoacclimation. In STW at 30-35 degrees S, enhanced production is initiated in austral autumn when the mixed layer deepens to entrain nutrients into the photic zone. For about half the year, there is substantial production within a deep chlorophyll maximum that sits below the mixed layer. Consequently, depthintegrated NPP is only loosely related to surface biomass as imaged from satellite remote-sensing, and BGC Argo-based model estimates of depth-integrated NPP are about double VGPM estimates. In SAW at 45-55 degrees S, production is initiated when vertical mixing decreases in austral spring. Production is largely within the mixed layer, and depth-integrated phytoplankton biomass and depth-integrated NPP follow surface phytoplankton biomass. Model estimates of depth-integrated NPP based on BGC Argo float profiles are comparable with VGPM estimates for the southern water masses.</t>
  </si>
  <si>
    <t>[Chiswell, Stephen M.; Gutierrez-Rodriguez, Andres; Gall, Mark; Decima, Moira R.; Nodder, Scott D.] Natl Inst Water &amp; Atmospher Res, Private Bag 14-901, Wellington, New Zealand; [Safi, Karl] Natl Inst Water &amp; Atmospher Res, POB 11115, Hillcrest, Hamilton, New Zealand; [Strzepek, Robert] Univ Tasmania, Inst Marine &amp; Antarctic Studies, Australian Antarctic Program Partnership, Hobart, Tas, Australia; [Decima, Moira R.] Scripps Inst Oceanog Dept, La Jolla, CA 92093 USA</t>
  </si>
  <si>
    <t>National Institute of Water &amp; Atmospheric Research (NIWA) - New Zealand; University of Tasmania; University of California System; University of California San Diego; Scripps Institution of Oceanography</t>
  </si>
  <si>
    <t>Chiswell, SM (corresponding author), Natl Inst Water &amp; Atmospher Res, Private Bag 14-901, Wellington, New Zealand.</t>
  </si>
  <si>
    <t>Gutierrez Rodriguez, Andres/JLM-2332-2023; Strzepek, Robert Francis/GQH-8703-2022</t>
  </si>
  <si>
    <t>Gutierrez Rodriguez, Andres/0000-0003-1274-3752; Strzepek, Robert Francis/0000-0002-6442-7121; Safi, Karl/0000-0002-7785-1909; Nodder, Scott/0000-0002-1963-8907; Chiswell, Stephen/0000-0002-5957-3706</t>
  </si>
  <si>
    <t>National Science Foundation, Division of Polar Programs [NSF PLR -1425989]; New Zealand Ministry of Business, Innovation and Employment [MBIE C01X1703]</t>
  </si>
  <si>
    <t>National Science Foundation, Division of Polar Programs(National Science Foundation (NSF)); New Zealand Ministry of Business, Innovation and Employment(New Zealand Ministry of Business, Innovation and Employment (MBIE))</t>
  </si>
  <si>
    <t>We thank all those who provided the 14 C -uptake measurements for this work, including the crews of the respective research vessels for their contributions. The 14 C -uptake measurements of NPP and supporting oceanographic data are available in PANGAEA ( www.pangaea.de) , following the FAIR principles of data archiving, under doi: 10.1594/PANGAEA.931742. The NCEP reanalysis derived heat fluxes were pro- vided by NOAA/OAR/ESRL PSL, Boulder, Colorado, (https://psl.noaa. gov/data/gridded/data.ncep.reanalysis.surfaceflux.html) . MODIS ocean colour data (sea surface chlorophyll and PAR) were made available by NASA's Ocean Biology Processing Group (OBPG) (https://oceandata.sci.gsfc.nasa.gov/MODIS-Aqua/Mapped/8-Da y/9km/) . The VGPM data were made available by the Ocean Color group at Oregon State University (http://orca.science.oregonstate. edu/1080.by.2160.8day.hdf.vgpm.m.chl.m.sst.php) . The BGC-Argo data were made available by the Southern Ocean Carbon and Climate Observations and Modeling (SOCCOM) program, funded by the National Science Foundation, Division of Polar Programs (NSF PLR -1425989) , supplemented by NASA, and by the International Argo Program and the NOAA programs that contribute to it. (http:// www.argo.ucsd.edu, http://argo.jcommops.org) . High -resolution Matlab files (doi.org/10.6075/J0KK996D) were downloaded from SOCCOM website https://soccom.princeton.edu/con tent/data-access. This work was supported by the New Zealand Ministry of Business, Innovation and Employment through grant MBIE C01X1703. We thank the reviewers for their conscientious and detailed reviews.</t>
  </si>
  <si>
    <t>10.1016/j.dsr.2022.103834</t>
  </si>
  <si>
    <t>3F6BE</t>
  </si>
  <si>
    <t>WOS:000830751600002</t>
  </si>
  <si>
    <t>Xie, SR</t>
  </si>
  <si>
    <t>Xie, Surui</t>
  </si>
  <si>
    <t>Continuous measurement of sea ice freeboard with tide gauges and GNSS interferometric reflectometry</t>
  </si>
  <si>
    <t>Sea ice; Freeboard; GNSS interferometric reflectometry; Tide gauge; Cape Roberts; Ross Sea; Antarctica</t>
  </si>
  <si>
    <t>SNOW DEPTH; MCMURDO SOUND; MASS-BALANCE; THICKNESS; GPS; DENSITY; SHELF</t>
  </si>
  <si>
    <t>Sea ice thickness is an important climate indicator and is often monitored in the form of freeboard or total freeboard (with snow cover) using satellite altimetry. However, satellites often have a long revisit interval and freeboard measurements in coastal areas can be challenged by land, deformed ice and limited leads. Using a combination of tide gauge for sea level measurements and a coastal GNSS station for sea ice or snow surface height measurements based on GNSS interferometric reflectometry (GNSS-IR), I demonstrate free-board measurements with high temporal resolution (hourly). In a 4.5-year period from late 2016 to middle 2021, free-boards measured with this method at Cape Roberts, western Ross Sea in Antarctica exhibit a clear annual cycle of ice growth and ablation in the range of similar to 0-40 cm, and a rapid decrease occurring in Antarctic summer when ocean water temperature increases abruptly. For places where the amplitudes of long-term tides are significantly smaller than the range of annual freeboard variation, GNSS-IR can independently measure both tides and freeboards. Compared to conventional sea ice thickness or freeboard measurements, the tide gauge and GNSS-IR combination method is safe, inexpensive, can distinguish spatial variation of freeboard over a distance of tens to hundreds of meters, and allows continuous monitoring of an area of a few square kilometers.</t>
  </si>
  <si>
    <t>[Xie, Surui] Univ Calif San Diego, Scripps Inst Oceanog, La Jolla, CA 92037 USA; [Xie, Surui] Univ Houston, Dept Civil &amp; Environm Engn, Houston, TX USA</t>
  </si>
  <si>
    <t>University of California System; University of California San Diego; Scripps Institution of Oceanography; University of Houston System; University of Houston</t>
  </si>
  <si>
    <t>Xie, SR (corresponding author), Univ Calif San Diego, Scripps Inst Oceanog, La Jolla, CA 92037 USA.</t>
  </si>
  <si>
    <t>sxie9@central.uh.edu</t>
  </si>
  <si>
    <t>10.1016/j.rse.2022.113165</t>
  </si>
  <si>
    <t>3F1IB</t>
  </si>
  <si>
    <t>WOS:000830424900002</t>
  </si>
  <si>
    <t>Clem, KR; Bozkurt, D; Kennett, D; King, JC; Turner, J</t>
  </si>
  <si>
    <t>Clem, Kyle R.; Bozkurt, Deniz; Kennett, Daemon; King, John C.; Turner, John</t>
  </si>
  <si>
    <t>Central tropical Pacific convection drives extreme high temperatures and surface melt on the Larsen C Ice Shelf, Antarctic Peninsula</t>
  </si>
  <si>
    <t>WEATHER RESEARCH; ANNULAR MODE; FRAMEWORK; RETREAT; IMPACT</t>
  </si>
  <si>
    <t>Northern sections of the Larsen Ice Shelf, eastern Antarctic Peninsula (AP) have experienced dramatic break-up and collapse since the early 1990s due to strong summertime surface melt, linked to strengthened circumpolar westerly winds. Here we show that extreme summertime surface melt and record-high temperature events over the eastern AP and Larsen C Ice Shelf are triggered by deep convection in the central tropical Pacific (CPAC), which produces an elongated cyclonic anomaly across the South Pacific coupled with a strong high pressure anomaly over Drake Passage. Together these atmospheric circulation anomalies transport very warm and moist air to the southwest AP, often in the form of atmospheric rivers, producing strong foehn warming and surface melt on the eastern AP and Larsen C Ice Shelf. Therefore, variability in CPAC convection, in addition to the circumpolar westerlies, is a key driver of AP surface mass balance and the occurrence of extreme high temperatures. Landfalling atmospheric rivers on the Antarctic Peninsula, which lead to strong surface melting that can cause ice shelf collapse, have been linked to localized deep convection in the central tropical Pacific northeast of Fiji.</t>
  </si>
  <si>
    <t>[Clem, Kyle R.; Kennett, Daemon] Victoria Univ Wellington, Sch Geog Environm &amp; Earth Sci, Wellington, New Zealand; [Bozkurt, Deniz] Univ Valparaiso, Dept Meteorol, Valparaiso, Chile; [Bozkurt, Deniz] Ctr Climate &amp; Resilience Res CR 2, Santiago, Chile; [Bozkurt, Deniz] Univ Concepcion, Ctr Oceanog Res COPAS COASTAL, Concepcion, Chile; [King, John C.; Turner, John] NERC, British Antarctic Survey, Cambridge, England</t>
  </si>
  <si>
    <t>Victoria University Wellington; Universidad de Valparaiso; Universidad de Concepcion; UK Research &amp; Innovation (UKRI); Natural Environment Research Council (NERC); NERC British Antarctic Survey</t>
  </si>
  <si>
    <t>Clem, KR (corresponding author), Victoria Univ Wellington, Sch Geog Environm &amp; Earth Sci, Wellington, New Zealand.</t>
  </si>
  <si>
    <t>kyle.clem@vuw.ac.nz</t>
  </si>
  <si>
    <t>Clem, Kyle/AAG-6626-2021; Bozkurt, Deniz/C-9797-2013</t>
  </si>
  <si>
    <t>Clem, Kyle/0000-0002-1419-2758; King, John/0000-0003-3315-7568; Kennett, Daemon/0000-0001-5981-5712; Bozkurt, Deniz/0000-0003-1021-8241</t>
  </si>
  <si>
    <t>Royal Society of New Zealand Marsden Fund [MFP-VUW2010]; New Zealand Antarctic Science Platform Development Fund [ANTA1801]; supercomputing infrastructure of the NLHPC [ECM-02]; Amazon Web Services (AWS) [PS_R_FY2019_Q1_CR2, PS_R_FY2019_Q2_CR2]; [ANID-CONICYT-PAI-77190080]; [ANID-PIA-Anillo INACH ACT192057]; [ANID-FONDECYT-11200101]; [COPAS COASTAL ANID FB210021]</t>
  </si>
  <si>
    <t>Royal Society of New Zealand Marsden Fund(Royal Society of New ZealandMarsden Fund (NZ)); New Zealand Antarctic Science Platform Development Fund; supercomputing infrastructure of the NLHPC; Amazon Web Services (AWS); ; ; ;</t>
  </si>
  <si>
    <t>K.R.C. acknowledges funding from the Royal Society of New Zealand Marsden Fund grant MFP-VUW2010 and New Zealand Antarctic Science Platform Development Fund grant ANTA1801. We thank B. Lintner and the Rutgers Office of Advanced Research Computing for access to computing facilities to carry out the CESM simulations. D.B. acknowledges support from ANID-CONICYT-PAI-77190080, ANID-PIA-Anillo INACH ACT192057, ANID-FONDECYT-11200101, and COPAS COASTAL ANID FB210021. Powered@NLHPC: This research was supported by the supercomputing infrastructure of the NLHPC (ECM-02). The authors thank Amazon Web Services (AWS) for the grants PS_R_FY2019_Q1_CR2 and PS_R_FY2019_Q2_CR2 to execute the Polar-WRF simulations on the AWS cloud infrastructure. We thank J. C. Maureira for carrying out the Polar-WRF simulations and F. Munoz, N. Valdebenito, and M. Del Hoyo at Center for Climate and Resilience Research (CR)2 for post-processing the PolarWRF simulations.</t>
  </si>
  <si>
    <t>10.1038/s41467-022-31119-4</t>
  </si>
  <si>
    <t>2X3EL</t>
  </si>
  <si>
    <t>Green Accepted, Green Published, gold, Green Submitted</t>
  </si>
  <si>
    <t>WOS:000825090700026</t>
  </si>
  <si>
    <t>Zemskova, VE; He, TL; Wan, ZR; Grisouard, N</t>
  </si>
  <si>
    <t>Zemskova, Varvara E.; He, Tai-Long; Wan, Zirui; Grisouard, Nicolas</t>
  </si>
  <si>
    <t>A deep-learning estimate of the decadal trends in the Southern Ocean carbon storage</t>
  </si>
  <si>
    <t>MERIDIONAL OVERTURNING CIRCULATION; ANTARCTIC MODE WATER; SEA-ICE; ANTHROPOGENIC CO2; REGIONAL IMPACTS; ATLANTIC; ACIDIFICATION; VARIABILITY; SALINITY; INCREASE</t>
  </si>
  <si>
    <t>Uptake of atmospheric carbon by the ocean, especially at high latitudes, plays an important role in offsetting anthropogenic emissions. At the surface of the Southern Ocean south of 30(circle)S, the ocean carbon uptake, which had been weakening in 1990s, strengthened in the 2000s. However, sparseness of in-situ measurements in the ocean interior make it difficult to compute changes in carbon storage below the surface. Here we develop a machine-learning model, which can estimate concentrations of dissolved inorganic carbon (DIC) in the Southern Ocean up to 4 km depth only using data available at the ocean surface. Our model is fast and computationally inexpensive. We apply it to calculate trends in DIC concentrations over the past three decades and find that DIC decreased in the 1990s and 2000s, but has increased, in particular in the upper ocean since the 2010s. However, the particular circulation dynamics that drove these changes may have differed across zonal sectors of the Southern Ocean. While the near-surface decrease in DIC concentrations would enhance atmospheric CO2 uptake continuing the previously-found trends, weakened connectivity between surface and deep layers and build-up of DIC in deep waters could reduce the ocean's carbon storage potential. Dissolved carbon concentrations in the ocean interior are computed by a deep-learning model using ocean surface data. In the Southern Ocean, they decreased in the 1990s-2000s and increased since 2010, reducing anthropogenic carbon uptake potential.</t>
  </si>
  <si>
    <t>[Zemskova, Varvara E.; He, Tai-Long; Wan, Zirui; Grisouard, Nicolas] Univ Toronto, Dept Phys, Toronto, ON, Canada</t>
  </si>
  <si>
    <t>University of Toronto</t>
  </si>
  <si>
    <t>Zemskova, VE; He, TL (corresponding author), Univ Toronto, Dept Phys, Toronto, ON, Canada.</t>
  </si>
  <si>
    <t>barbara.zemskova@utoronto.ca; tailong.he@mail.utoronto.ca</t>
  </si>
  <si>
    <t>He, Tai-Long/JBR-8062-2023; Grisouard, Nicolas/A-1892-2012</t>
  </si>
  <si>
    <t>He, Tai-Long/0000-0002-7734-0076; Zemskova, Varvara/0000-0001-8263-6931; Wan, Zirui/0000-0002-7783-1668; Grisouard, Nicolas/0000-0003-4045-2143</t>
  </si>
  <si>
    <t>Natural Sciences and Engineering Research Council of Canada (NSERC) [RGPIN-2015-03684]; National Science Foundation, Division of Polar Programs [NSF PLR -1425989, OPP-1936222]; NSF XSEDE resource grant [OCE130007]; Canada Foundation for Innovation under Compute Canada; International Argo Program; NOAA</t>
  </si>
  <si>
    <t>Natural Sciences and Engineering Research Council of Canada (NSERC)(Natural Sciences and Engineering Research Council of Canada (NSERC)); National Science Foundation, Division of Polar Programs(National Science Foundation (NSF)); NSF XSEDE resource grant; Canada Foundation for Innovation under Compute Canada(Canada Foundation for Innovation); International Argo Program; NOAA(National Oceanic Atmospheric Admin (NOAA) - USA)</t>
  </si>
  <si>
    <t>We acknowledge the support of the Natural Sciences and Engineering Research Council of Canada (NSERC; Grant No. RGPIN-2015-03684 (N.G., V.Z., Z.W.)). Data were collected and made freely available by the Southern Ocean Carbon and Climate Observations and Modeling (SOCCOM) Project funded by the National Science Foundation, Division of Polar Programs (NSF PLR -1425989 and OPP-1936222), supplemented by NASA, and by the International Argo Program and the NOAA programs that contribute to it. (http://www.argo.ucsd.edu, http://argo.jcommops.org).The Argo Program is part of the Global Ocean Observing System. Computational resources for the SOSE were provided by NSF XSEDE resource grant OCE130007. Authors thank research teams from Argo, CMEMS, GLODAP, GlobColour, ERA5, NOAA OCADS, OSCAR, and SOCCOM for making the data publicly available. Computations were performed at the SHARCNET HPC Consortium, funded by the Canada Foundation for Innovation under Compute Canada.</t>
  </si>
  <si>
    <t>10.1038/s41467-022-31560-5</t>
  </si>
  <si>
    <t>WOS:000825090700020</t>
  </si>
  <si>
    <t>Woods, B; Trebilco, R; Walters, A; Hindell, M; Duhamel, G; Flores, H; Moteki, M; Pruvost, P; Reiss, C; Saunders, RA; Sutton, C; Gan, YM; Van de Putte, A</t>
  </si>
  <si>
    <t>Woods, Briannyn; Trebilco, Rowan; Walters, Andrea; Hindell, Mark; Duhamel, Guy; Flores, Hauke; Moteki, Masato; Pruvost, Patrice; Reiss, Christian; Saunders, Ryan A.; Sutton, Caroline; Gan, Yi-Ming; Van de Putte, Anton</t>
  </si>
  <si>
    <t>Myctobase, a circumpolar database of mesopelagic fishes for new insights into deep pelagic prey fields</t>
  </si>
  <si>
    <t>SCOTIA SEA; COMMUNITY STRUCTURE; CLIMATE-CHANGE; SOUTHERN; BIOMASS; ECOSYSTEMS; ABUNDANCE; DYNAMICS; PATTERNS; SQUID</t>
  </si>
  <si>
    <t>The global importance of mesopelagic fish is increasingly recognised, but they remain poorly studied. This is particularly true in the Southern Ocean, where mesopelagic fishes are both key predators and prey, but where the remote environment makes sampling challenging. Despite this, multiple national Antarctic research programs have undertaken regional sampling of mesopelagic fish over several decades. However, data are dispersed, and sampling methodologies often differ precluding comparisons and limiting synthetic analyses. We identified potential data holders by compiling a metadata catalogue of existing survey data for Southern Ocean mesopelagic fishes. Data holders contributed 17,491 occurrence and 11,190 abundance records from 4780 net hauls from 72 different research cruises. Data span across 37 years from 1991 to 2019 and include trait-based information (length, weight, maturity). The final dataset underwent quality control processes and detailed metadata was provided for each sampling event. This dataset can be accessed through Zenodo. Myctobase will enhance research capacity by providing the broadscale baseline data necessary for observing and modelling mesopelagic fishes.</t>
  </si>
  <si>
    <t>[Woods, Briannyn; Trebilco, Rowan; Walters, Andrea; Hindell, Mark] Univ Tasmania, Inst Marine &amp; Antarctic Studies, Hobart, Tas 7004, Australia; [Trebilco, Rowan; Sutton, Caroline] CSIRO, Oceans &amp; Atmosphere, Hobart, Tas 7004, Australia; [Duhamel, Guy; Pruvost, Patrice] Museum Natl Hist Nat, Lab BORA, UMR 8067, F-75005 Paris, France; [Flores, Hauke] Helmholtz Zentrum Polar &amp; Meeresforsch AWI, Alfred Wegener Inst, D-27570 Bremerhaven, Germany; [Moteki, Masato] Tokyo Univ Marine Sci &amp; Technol, Tokyo 1088477, Japan; [Moteki, Masato] Natl Inst Polar Sci, Tokyo 1908518, Japan; [Reiss, Christian] Southwest Fisheries Sci Ctr, Antarctic Ecosyst Res Div, La Jolla, CA 92037 USA; [Saunders, Ryan A.] British Antarctic Survey, Cambridge CB3 0ET, England; [Gan, Yi-Ming; Van de Putte, Anton] Royal Belgian Inst Nat Sci, B-1000 Brussels, Belgium; [Van de Putte, Anton] Univ Libre Bruxelles, B-1000 Brussels, Belgium</t>
  </si>
  <si>
    <t>University of Tasmania; Commonwealth Scientific &amp; Industrial Research Organisation (CSIRO); Museum National d'Histoire Naturelle (MNHN); Helmholtz Association; Alfred Wegener Institute, Helmholtz Centre for Polar &amp; Marine Research; Tokyo University of Marine Science &amp; Technology; UK Research &amp; Innovation (UKRI); Natural Environment Research Council (NERC); NERC British Antarctic Survey; Royal Belgian Institute of Natural Sciences; Universite Libre de Bruxelles</t>
  </si>
  <si>
    <t>Woods, B (corresponding author), Univ Tasmania, Inst Marine &amp; Antarctic Studies, Hobart, Tas 7004, Australia.;Van de Putte, A (corresponding author), Royal Belgian Inst Nat Sci, B-1000 Brussels, Belgium.;Van de Putte, A (corresponding author), Univ Libre Bruxelles, B-1000 Brussels, Belgium.</t>
  </si>
  <si>
    <t>bree.woods@utas.edu.au; avandeputte@naturalsciences.be</t>
  </si>
  <si>
    <t>Trebilco, Rowan/I-5311-2012; Hindell, Mark A/K-1131-2013</t>
  </si>
  <si>
    <t>Trebilco, Rowan/0000-0001-9712-8016; Walters, Andrea/0000-0002-7166-5689; Van de Putte, Anton/0000-0003-1336-5554; Pruvost, Patrice/0000-0002-6218-6213; Woods, Briannyn/0000-0001-6735-3626; Hindell, Mark/0000-0002-7823-7185</t>
  </si>
  <si>
    <t>JSPS KAKENHI [JP17H06319]; Japanese Antarctic Research Expedition [AP-0939]; Belgian Science Policy Office (BELSPO) in the Framework of EU-Lifewatch [FR/36/AN1/AntaBIS]</t>
  </si>
  <si>
    <t>JSPS KAKENHI(Ministry of Education, Culture, Sports, Science and Technology, Japan (MEXT)Japan Society for the Promotion of ScienceGrants-in-Aid for Scientific Research (KAKENHI)); Japanese Antarctic Research Expedition; Belgian Science Policy Office (BELSPO) in the Framework of EU-Lifewatch</t>
  </si>
  <si>
    <t>The authors would like to thank and acknowledge the contributions of all researchers and their institutions. We also thank Dave Connell and Petra Ten Hoopen for their assistance and support with data acquisition, Sophie Bestley for providing custom code for calculating day/night periods. The relevant project funders and acknowledgements for each dataset provided to Myctobase can be accessed through associated citations listed in Online-only Table 1. For those without citations, the authors acknowledge Institut Polaire Francais Paul-Emile Victor (IPEV) for the support of the programme IPEKER. The Japanese survey was supported by JSPS KAKENHI Grant No. JP17H06319 to M. Moteki and Japanese Antarctic Research Expedition (No. AP-0939 to M. Moteki). This Publication was funded by the Belgian Science Policy Office (BELSPO, contract n degrees FR/36/AN1/AntaBIS) in the Framework of EU-Lifewatch.</t>
  </si>
  <si>
    <t>10.1038/s41597-022-01496-y</t>
  </si>
  <si>
    <t>2W7OQ</t>
  </si>
  <si>
    <t>WOS:000824710100001</t>
  </si>
  <si>
    <t>Halici, MG; Güllü, M; Yigit, MK; Barták, M</t>
  </si>
  <si>
    <t>Halici, Mehmet Gokhan; Gullu, Mithat; Kahraman Yigit, Merve; Bartak, Milos</t>
  </si>
  <si>
    <t>Three new records of lichenised fungi for Antarctica</t>
  </si>
  <si>
    <t>Antarctic Peninsula; Biodiversity; James Ross Island; Lichens</t>
  </si>
  <si>
    <t>JAMES-ROSS-ISLAND; PRIMERS; TELOSCHISTACEAE; IDENTIFICATION; VERRUCARIACEAE; AMPLIFICATION; PENINSULA; FLORA</t>
  </si>
  <si>
    <t>As part of a project aiming to determine the lichenised fungal biodiversity of James Ross Island (Eastern coast of Antarctic Peninsula), we identified three infrageneric taxa which were previously not reported from Antarctica: Farnoldia micropsis (A. Massal.) Hertel, Gyalolechia epiphyta (Lynge) Vondrak and Placidium squamulosum var. argentinum (Rasanen) Breuss. Detailed morphological and anatomical properties of these species along with photographs based on the Antarctic specimens are provided here. In addition, the nrITS, mtSSU and/or RPB1 gene regions of the selected specimens are studied and the phylogenetic positions of the species are discussed. The DNA sequence data for Farnoldia micropsis are provided for the first time. Farnoldia micropsis and Gyalolechia epiphyta are also new to the Southern Hemisphere.</t>
  </si>
  <si>
    <t>[Halici, Mehmet Gokhan; Gullu, Mithat; Kahraman Yigit, Merve] Erciyes Univ, Dept Biol, Fac Sci, Kayseri, Turkey; [Bartak, Milos] Masaryk Univ, Sect Expt Plant Biol, Fac Sci, Brno, Czech Republic</t>
  </si>
  <si>
    <t>Erciyes University; Masaryk University Brno</t>
  </si>
  <si>
    <t>Halici, MG (corresponding author), Erciyes Univ, Dept Biol, Fac Sci, Kayseri, Turkey.</t>
  </si>
  <si>
    <t>mghalici@gmail.com</t>
  </si>
  <si>
    <t>Kahraman Yiğit, Merve/AAW-5674-2021; Barták, Miloš/F-4714-2019</t>
  </si>
  <si>
    <t>Erciyes University; TUBITAK [118Z587]; Turkish Academy of Science (TUBA); ECOPOLARIS project [CZ.02.1.01/0.0/0.0/16_013/0001708]</t>
  </si>
  <si>
    <t>Erciyes University(Erciyes University); TUBITAK(Turkiye Bilimsel ve Teknolojik Arastirma Kurumu (TUBITAK)); Turkish Academy of Science (TUBA)(Turkish Academy of Sciences); ECOPOLARIS project</t>
  </si>
  <si>
    <t>The first author thanks the Erciyes University for the financial support that allowed him to perform the field work on James Ross Island, Antarctica and the infrastructure and facilities of J. G. Mendel Station provided during the Czech Antarctic expedition, Jan-Feb 2017. This study was financially supported by the TUBITAK project No. 118Z587. The first author's scientific work is also supported by Turkish Academy of Science (TUBA). M. Bartak is grateful to the ECOPOLARIS project (CZ.02.1.01/0.0/0.0/16_013/0001708) for funding.</t>
  </si>
  <si>
    <t>e22</t>
  </si>
  <si>
    <t>10.1017/S0032247422000195</t>
  </si>
  <si>
    <t>2U9YF</t>
  </si>
  <si>
    <t>WOS:000823508800001</t>
  </si>
  <si>
    <t>Nie, SY; Xiao, WS; Wang, RJ</t>
  </si>
  <si>
    <t>Nie, Senyan; Xiao, Wenshen; Wang, Rujian</t>
  </si>
  <si>
    <t>Mid-Late Holocene climate variabilities in the Bransfield Strait, Antarctic Peninsula driven by insolation and ENSO activities</t>
  </si>
  <si>
    <t>Southern Ocean; Holocene; Diatom; Sea ice; Solar activity; ENSO activity</t>
  </si>
  <si>
    <t>MAJOR DIATOM TAXA; SOUTHERN-OCEAN SEDIMENTS; SEA-ICE; SURFACE SEDIMENTS; ATLANTIC SECTOR; OCEANOGRAPHIC VARIABILITY; RECORD; SHELF; WEST; DEEP</t>
  </si>
  <si>
    <t>The Antarctic Peninsula (AP) is sensitive to global climate changes. Diatom composition was investigated in a sediment core recovered from the Bransfield Strait, in order to reconstruct the changes in surface water conditions over the past ca. 5.8 kyr (mid-late Holocene) in the AP region. A relatively stable mid-Holocene (5.8-3.8 ka) with persistent presence of sea ice was punctuated by a cooling episode at 4.9-4.2 ka, followed by a cooling trend with stronger sea-ice variability during the late Holocene (since 3.8 ka), which enhanced the surface water stratification in the study area. Frequency analysis reveals centennial- to millennial-scale cyclicities resembling the characteristics of solar irradiance and El Nin tilde o-Southern Oscillation (ENSO). In particular, the increasing ENSO activities during the late Holocene resulted in intensified cold Weddell Sea outflow to the Bransfield Strait that increased sea ice presence and duration. This pattern is in contrast to a northerly warm air intrusion induced glacial meltwater discharge to the western AP region, leading to similar sea ice variability to that in the east AP region.</t>
  </si>
  <si>
    <t>[Nie, Senyan; Xiao, Wenshen; Wang, Rujian] Tongji Univ, State Key Lab Marine Geol, Shanghai 200092, Peoples R China</t>
  </si>
  <si>
    <t>Xiao, WS (corresponding author), Tongji Univ, State Key Lab Marine Geol, Shanghai 200092, Peoples R China.</t>
  </si>
  <si>
    <t>wxiao@tongji.edu.cn</t>
  </si>
  <si>
    <t>Natural Science Foundation of China [42030401]; Chinese Arctic and Antarctic Administration (IRASCC2020-2022) [01-03-02D, CXPT2020008]</t>
  </si>
  <si>
    <t>Natural Science Foundation of China(National Natural Science Foundation of China (NSFC)); Chinese Arctic and Antarctic Administration (IRASCC2020-2022)</t>
  </si>
  <si>
    <t>This research is funded by the Natural Science Foundation of China (No. 42030401), and the Chinese Arctic and Antarctic Administration (IRASCC2020-2022-No. 01-03-02D and CXPT2020008). This is a contribution to the 28th Chinese Antarctic Research Expedition conducted by R/V Xuelong. Polar Research Institute of China is acknowledged for providing the sediment samples. We thank the reviewer and editor for their helpful comments which improved the manuscript.</t>
  </si>
  <si>
    <t>10.1016/j.palaeo.2022.111140</t>
  </si>
  <si>
    <t>5W4YF</t>
  </si>
  <si>
    <t>WOS:000877920700004</t>
  </si>
  <si>
    <t>Hernández-Orts, JS; Lisitsyna, OI; Kuzmina, TA</t>
  </si>
  <si>
    <t>Hernandez-Orts, Jesus S.; Lisitsyna, Olga, I; Kuzmina, Tetiana A.</t>
  </si>
  <si>
    <t>First morphological and molecular characterization of cystacanths of Corynosoma evae Zdzitowiecki, 1984 (Acanthocephala: Polymorphidae) from Antarctic teleost fishes</t>
  </si>
  <si>
    <t>PARASITOLOGY INTERNATIONAL</t>
  </si>
  <si>
    <t>Syndermata; Fish paratenic hosts; SSU; LSU; cox 1; Antarctica</t>
  </si>
  <si>
    <t>SEALS CALLORHINUS-URSINUS; ST-PAUL ISLAND; PHYLOGENETIC-RELATIONSHIPS; SYSTEMATIC POSITION; SEQUENCE ALIGNMENT; CETACEUM JOHNSTON; NUCLEAR; ALASKA; PSEUDOCORYNOSOMA; SELECTION</t>
  </si>
  <si>
    <t>Cystacanths of the polymorphid acanthocephalan Corynosoma evae Zdzitowiecki, 1984 were examined and redescribed based on newly collected material from teleost fishes from coastal waters of the Galindez Island (Argentine Islands, West Antarctica). Detailed morphological data, measurements and photomicrographs, including scanning electron microscopy images, are presented. Our morphological and morphometrical analyses confirmed the validity of C. evae; however, three key characteristics of taxonomic importance (i.e., the number of rows of hooks on the proboscis, and the number and arrangement of genital spines in males) showed significant morphological variability. In addition, a genital spine in the posterior body end of a female is reported for the first time. This study provides the first sequences of the small and large subunits nuclear ribosomal RNA genes (SSU and LSU) and the mitochondrial cytochrome c oxidase subunit 1 (cox1) for C. evae. Maximum likelihood and Bayesian inference analyses of the SSU + LSU + cox1 and the cox1 datasets placed C. evae as a sister lineage to a clade formed by C. validum Van Cleave, 1953 and C. villosum Van Cleave, 1953, although with low support. In contrast, the position of C. evae in the phylogenetic analysis of the SSU + LSU dataset remained unresolved. Finally, C. arctocephali Zdzitowiecki, 1984 from pinnipeds from the subantarctic and Antarctic regions is considered as a valid species.</t>
  </si>
  <si>
    <t>[Hernandez-Orts, Jesus S.] Czech Acad Sci, Biol Ctr, Inst Parasitol, Branisovska 31, Ceske Budejovice 37005, Czech Republic; [Lisitsyna, Olga, I; Kuzmina, Tetiana A.] II Schmalhausen Inst Zool NAS Ukraine, B Khmelnytsky St, UA-01030 Kiev, Ukraine</t>
  </si>
  <si>
    <t>Czech Academy of Sciences; Biology Centre of the Czech Academy of Sciences; National Academy of Sciences Ukraine; Schmalhausen Institute of Zoology of NASU</t>
  </si>
  <si>
    <t>Hernández-Orts, JS (corresponding author), Czech Acad Sci, Biol Ctr, Inst Parasitol, Branisovska 31, Ceske Budejovice 37005, Czech Republic.</t>
  </si>
  <si>
    <t>jesus.hernandez.orts@gmail.com</t>
  </si>
  <si>
    <t>Hernandez Orts, Jesus Servando/GRF-4394-2022</t>
  </si>
  <si>
    <t>Hernandez Orts, Jesus Servando/0000-0002-8177-7959</t>
  </si>
  <si>
    <t>National Research Foundation of Ukraine [2020.02/0074]; Ministry of Education, Sports and Youth of the Czech Republic [LM2015062]; Institute of Parasitology, BC CAS [RVO: 60077344]; National Academy of Science of Ukraine; Czech Academy of Sciences [2020-2022, NASU-20-05]</t>
  </si>
  <si>
    <t>National Research Foundation of Ukraine; Ministry of Education, Sports and Youth of the Czech Republic(Ministry of Education, Youth &amp; Sports - Czech Republic); Institute of Parasitology, BC CAS; National Academy of Science of Ukraine; Czech Academy of Sciences(Czech Academy of Sciences)</t>
  </si>
  <si>
    <t>The authors are indebted to Jan Brabec (Institute of Parasitology, Czech Republic) for his review, comments and suggestions to improve our molecular analyses and Yuriy Kuzmin (Institute of Zoology NAS of Ukraine) for his help in preparation of microphotographs of cystacanths. The authors are grateful to Oleksandr Salganskiy for collecting acan- thocephalans in teleost fishes during the fieldwork on the Galindez Is- land, Antarctica. This study was partially supported by the National Research Foundation of Ukraine (project 2020.02/0074) , the Ministry of Education, Sports and Youth of the Czech Republic (Czech-BioImaging LM2015062) , the Institute of Parasitology, BC CAS (RVO: 60077344) , and by the Joint Research Project between the National Academy of Science of Ukraine and the Czech Academy of Sciences 2020-2022 (NASU-20-05) .</t>
  </si>
  <si>
    <t>ELSEVIER IRELAND LTD</t>
  </si>
  <si>
    <t>CLARE</t>
  </si>
  <si>
    <t>ELSEVIER HOUSE, BROOKVALE PLAZA, EAST PARK SHANNON, CO, CLARE, 00000, IRELAND</t>
  </si>
  <si>
    <t>1383-5769</t>
  </si>
  <si>
    <t>1873-0329</t>
  </si>
  <si>
    <t>PARASITOL INT</t>
  </si>
  <si>
    <t>Parasitol. Int.</t>
  </si>
  <si>
    <t>10.1016/j.parint.2022.102616</t>
  </si>
  <si>
    <t>5A8HB</t>
  </si>
  <si>
    <t>WOS:000863121200009</t>
  </si>
  <si>
    <t>Lei, RB; Cheng, B; Hoppmann, M; Zhang, FY; Zuo, GY; Hutchings, JK; Lin, L; Lan, MS; Wang, HZ; Regnery, J; Krumpen, T; Haapala, J; Rabe, B; Perovich, DK; Nicolaus, M</t>
  </si>
  <si>
    <t>Lei, Ruibo; Cheng, Bin; Hoppmann, Mario; Zhang, Fanyi; Zuo, Guangyu; Hutchings, Jennifer K.; Lin, Long; Lan, Musheng; Wang, Hangzhou; Regnery, Julia; Krumpen, Thomas; Haapala, Jari; Rabe, Benjamin; Perovich, Donald K.; Nicolaus, Marcel</t>
  </si>
  <si>
    <t>Seasonality and timing of sea ice mass balance and heat fluxes in the Arctic transpolar drift during 2019-2020</t>
  </si>
  <si>
    <t>ELEMENTA-SCIENCE OF THE ANTHROPOCENE</t>
  </si>
  <si>
    <t>MOSAiC; Sea ice; Snow; Thermodynamics; Oceanic mixed layer; Arctic Ocean</t>
  </si>
  <si>
    <t>EURASIAN BASIN; THICKNESS; MELT; SNOW; VARIABILITY; PRODUCTS; NORTH; SPACE; OCEAN</t>
  </si>
  <si>
    <t>Sea ice growth and decay are critical processes in the Arctic climate system, but comprehensive observations are very sparse. We analyzed data from 23 sea ice mass balance buoys (IMBs) deployed during the Multidisciplinary drifting Observatory for the Study of Arctic Climate (MOSAiC) expedition in 2019-2020 to investigate the seasonality and timing of sea ice thermodynamic mass balance in the Arctic Transpolar Drift. The data reveal four stages of the ice season: (I) onset of ice basal freezing, mid-October to November; (II) rapid ice growth, December-March; (III) slow ice growth, April-May; and (IV) melting, June onward. Ice basal growth ranged from 0.64 to 1.38 m at a rate of 0.004-0.006 m d(-1), depending mainly on initial ice thickness. Compared to a buoy deployed close to the MOSAiC setup site in September 2012, total ice growth was about twice as high, due to the relatively thin initial ice thickness at the MOSAiC sites. Ice growth from the top, caused by surface flooding and subsequent snow-ice formation, was observed at two sites and likely linked to dynamic processes. Snow reached a maximum depth of 0.25 +/- 0.08 m by May 2, 2020, and had melted completely by June 25, 2020.The relatively early onset of ice basal melt on June 7 (+/- 10 d), 2019, can be partly attributed to the unusually rapid advection of the MOSAiC floes towards Fram Strait. The oceanic heat flux, calculated based on the heat balance at the ice bottom, was 2.8 +/- 1.1 Wm(-2) in December-April, and increased gradually from May onward, reaching 10.0 +/- 2.6 Wm(-2) by mid-June 2020. Subsequently, under-ice melt ponds formed at most sites in connection with increasing ice permeability. Our analysis provides crucial information on the Arctic sea ice mass balance for future studies related to MOSAiC and beyond.</t>
  </si>
  <si>
    <t>[Lei, Ruibo; Zhang, Fanyi; Lin, Long; Lan, Musheng] Polar Res Inst China, Key Lab Polar Sci MNR, Shanghai, Peoples R China; [Cheng, Bin; Haapala, Jari] Finnish Meteorol Inst, Helsinki, Finland; [Hoppmann, Mario; Regnery, Julia; Krumpen, Thomas; Rabe, Benjamin; Nicolaus, Marcel] Alfred Wegener Inst Helmholtz Zentrum Polar &amp; Mee, Bremerhaven, Germany; [Zhang, Fanyi] Wuhan Univ, Chinese Antarctic Ctr Surveying &amp; Mapping, Wuhan, Peoples R China; [Zuo, Guangyu] Taiyuan Univ Technol, Coll Elect &amp; Power Engn, Taiyuan, Peoples R China; [Hutchings, Jennifer K.] Oregon State Univ, Coll Earth Ocean &amp; Atmospher Sci, Corvallis, OR 97331 USA; [Wang, Hangzhou] Zhejiang Univ, Ocean Coll, Zhoushan, Peoples R China; [Perovich, Donald K.] Dartmouth Coll, Thayer Sch Engn, Hanover, NH 03755 USA</t>
  </si>
  <si>
    <t>Polar Research Institute of China; Finnish Meteorological Institute; Helmholtz Association; Alfred Wegener Institute, Helmholtz Centre for Polar &amp; Marine Research; Wuhan University; Taiyuan University of Technology; Oregon State University; Zhejiang University; Dartmouth College</t>
  </si>
  <si>
    <t>Lei, RB (corresponding author), Polar Res Inst China, Key Lab Polar Sci MNR, Shanghai, Peoples R China.</t>
  </si>
  <si>
    <t>leiruibo@pric.org.cn</t>
  </si>
  <si>
    <t>Krumpen, Thomas/D-5163-2011; Rabe, Benjamin/G-2999-2011; Hoppmann, Mario/KFB-0363-2024; Hutchings, Jennifer K/P-6356-2017; Nicolaus, Marcel/A-3658-2013</t>
  </si>
  <si>
    <t>Krumpen, Thomas/0000-0001-6234-8756; Rabe, Benjamin/0000-0001-5794-9856; Hoppmann, Mario/0000-0003-1294-9531; Nicolaus, Marcel/0000-0003-0903-1746; Regnery, Julia/0000-0003-2704-7813</t>
  </si>
  <si>
    <t>National Key Research and Development Program [2018YFA0605903, 2016YFC1400303]; National Natural Science Foundation of China [41976219, 41722605]; German Federal Ministry of Education and Research (BMBF) through Alfred-Wegener-Institut HelmholtzZentrum fur Polar-und Meeresforschung (AWI); Polarstern expedition PS122 [N-2014-H060_Dethloff]; AWI; Helmholtz strategic investment Frontiers in Arctic Marine Monitoring (FRAM); European Union's Horizon 2020 research and innovation programme [727890-INTAROS]; Academy of Finland [317999]; AWI internal funds; US National Science Foundation Office of Polar Programs [1722729, 1724424, 1724540]; Directorate For Geosciences; Office of Polar Programs (OPP) [1722729, 1724424] Funding Source: National Science Foundation; Office of Polar Programs (OPP); Directorate For Geosciences [1724540] Funding Source: National Science Foundation</t>
  </si>
  <si>
    <t>National Key Research and Development Program; National Natural Science Foundation of China(National Natural Science Foundation of China (NSFC)); German Federal Ministry of Education and Research (BMBF) through Alfred-Wegener-Institut HelmholtzZentrum fur Polar-und Meeresforschung (AWI)(Federal Ministry of Education &amp; Research (BMBF)); Polarstern expedition PS122; AWI; Helmholtz strategic investment Frontiers in Arctic Marine Monitoring (FRAM); European Union's Horizon 2020 research and innovation programme(Horizon 2020); Academy of Finland(Research Council of Finland); AWI internal funds; US National Science Foundation Office of Polar Programs(National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</si>
  <si>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grants from the National Key Research and Development Program (2018YFA0605903 and 2016YFC1400303), the National Natural Science Foundation of China (41976219 and 41722605), the German Federal Ministry of Education and Research (BMBF) through financing the Alfred-Wegener-Institut HelmholtzZentrum fur Polar-und Meeresforschung (AWI) and the Polarstern expedition PS122 under the grant N-2014-H060_Dethloff, and the AWI through its projects: AWI_ROV, AWI_ICE, AWI_SNOW. The AWI buoy program was funded by the Helmholtz strategic investment Frontiers in Arctic Marine Monitoring (FRAM). BC was supported by the European Union's Horizon 2020 research and innovation programme (727890-INTAROS) and Academy of Finland under contract 317999. MH, JR, TK, BR, and MN were supported by AWI internal funds. JKH was supported by the US National Science Foundation Office of Polar Programs 1722729. DP was supported by US National Science Foundation Office of Polar Programs 1724424 and 1724540.</t>
  </si>
  <si>
    <t>UNIV CALIFORNIA PRESS</t>
  </si>
  <si>
    <t>OAKLAND</t>
  </si>
  <si>
    <t>155 GRAND AVE, SUITE 400, OAKLAND, CA 94612-3758 USA</t>
  </si>
  <si>
    <t>2325-1026</t>
  </si>
  <si>
    <t>ELEMENTA-SCI ANTHROP</t>
  </si>
  <si>
    <t>Elementa-Sci. Anthrop.</t>
  </si>
  <si>
    <t>JUL 12</t>
  </si>
  <si>
    <t>10.1525/elementa.2021.000089</t>
  </si>
  <si>
    <t>3O2KT</t>
  </si>
  <si>
    <t>WOS:000836667200001</t>
  </si>
  <si>
    <t>Hill, AM; Schild, KM; Campbell, SW; Child, SF</t>
  </si>
  <si>
    <t>Hill, Ann M.; Schild, Kristin M.; Campbell, Seth W.; Child, Sarah F.</t>
  </si>
  <si>
    <t>Recent changes in the MCMURDO ICE SHELF TRANSITION ZONE and Hut Point Peninsula, West Antarctica</t>
  </si>
  <si>
    <t>COLD REGIONS SCIENCE AND TECHNOLOGY</t>
  </si>
  <si>
    <t>Ice Shelf; Remote Sensing; Antarctica; McMurdo; Elevation Change</t>
  </si>
  <si>
    <t>MELTWATER; CLIMATE; THICKNESS; DYNAMICS; GLACIERS; REGION; ALASKA; FIRN; AREA</t>
  </si>
  <si>
    <t>McMurdo Ice Shelf (MIS) and Ross Island act as both lateral margins and pinning points for the Ross Ice Shelf, as well as logistic hubs for the United States and New Zealand Antarctic Programs. Recent thinning and retreat of MIS has motivated an evaluation of the future stability of this critical region and potential adaptation. If MIS were to collapse, it could initiate sizeable teleconnections across West Antarctica, as well as stifle Antarctic research that relies on MIS/Ross Island-based logistics. One logistics component already experiencing change is the Transition Zone (TZ) road, which connects MIS with the research stations on Hut Point Peninsula (HPP), Ross Island. Here we assess the vulnerability of the TZ road and a proposed rerouting location (TZ Hillside), by using a combination of in situ, remote sensing, and numerical modeling approaches. We evaluate overall elevation change by differencing late summer, WorldView-derived, DEMs (2011-2015), and evaluate the practicality of both a stable ice surface and bare earth road using a numerical ice volume flux model, informed by GPR and GPS measurements of ice thickness and velocity (2015-2016). Results show overall ice elevation change of up to 3 m, and 204 +/- 24 m(3) a(-1) of ice flux across the TZ Hillside. Combined, these results indicate that the TZ Hillside is unsuitable for either type of road, and point to MIS terminus retreat and TZ Hillside melt as a continuing risk for TZ stability, which could prelude broader changes.</t>
  </si>
  <si>
    <t>[Hill, Ann M.; Schild, Kristin M.; Campbell, Seth W.] Univ Maine, Sch Earth &amp; Climate Sci, Orono, ME 04469 USA; [Hill, Ann M.; Schild, Kristin M.; Campbell, Seth W.] Univ Maine, Climate Change Inst, Orono, ME USA; [Campbell, Seth W.] US Army, Cold Reg Res &amp; Engn Lab CRREL, Hanover, NH USA; [Child, Sarah F.] Univ Colorado, Cooperat Inst Res Environm Sci CIRES, Boulder, CO USA</t>
  </si>
  <si>
    <t>University of Maine System; University of Maine Orono; University of Maine System; University of Maine Orono; United States Department of Defense; United States Army; U.S. Army Corps of Engineers; U.S. Army Engineer Research &amp; Development Center (ERDC); Cold Regions Research &amp; Engineering Laboratory (CRREL); University of Colorado System; University of Colorado Boulder</t>
  </si>
  <si>
    <t>Schild, KM (corresponding author), Univ Maine, Sch Earth &amp; Climate Sci, Orono, ME 04469 USA.</t>
  </si>
  <si>
    <t>kristin.schild@maine.edu</t>
  </si>
  <si>
    <t>Hill, Ann Mahoney/0009-0000-6606-8460; Child, Sarah/0000-0003-0677-2119; Schild, Kristin/0000-0003-3953-5355</t>
  </si>
  <si>
    <t>NSF-OPP [EP-ANT-16-32]; Polar Geospatial Center under NSF-OPP [1543501, 1810976, 1542736, 1559691, 1043681, 1541332, 0753663, 1548562, 1238993]; NASA [NNX10AN61G]</t>
  </si>
  <si>
    <t>NSF-OPP(National Science Foundation (NSF)NSF - Directorate for Geosciences (GEO)); Polar Geospatial Center under NSF-OPP; NASA(National Aeronautics &amp; Space Administration (NASA))</t>
  </si>
  <si>
    <t>Financial support for fieldwork was provided by NSF-OPP to EPOLAR (at CRREL) award number EP-ANT-16-32, and the surface elevation data were supplied by the Byrd Polar, Climate Research Center, and the Polar Geospatial Center under NSF-OPP awards 1543501, 1810976, 1542736, 1559691, 1043681, 1541332, 0753663, 1548562, 1238993 and NASA award NNX10AN61G. We thank UNAVCO for providing GPS support, and those that assisted with fieldwork data collection and processing, including Nate Lamie, John Fegyveresi, Chris Simmons, Jim Mediatore, Evan Miller, John Stone, Perry Spector, and Trevor Hillebrand.</t>
  </si>
  <si>
    <t>0165-232X</t>
  </si>
  <si>
    <t>1872-7441</t>
  </si>
  <si>
    <t>COLD REG SCI TECHNOL</t>
  </si>
  <si>
    <t>Cold Reg. Sci. Tech.</t>
  </si>
  <si>
    <t>10.1016/j.coldregions.2022.103615</t>
  </si>
  <si>
    <t>3G7NG</t>
  </si>
  <si>
    <t>WOS:000831536000002</t>
  </si>
  <si>
    <t>Lewis, CL; Fitzgibbon, QP; Smith, GG; Elizur, A; Ventura, T</t>
  </si>
  <si>
    <t>Lewis, Courtney L.; Fitzgibbon, Quinn P.; Smith, Gregory G.; Elizur, Abigail; Ventura, Tomer</t>
  </si>
  <si>
    <t>Transcriptomic Analysis and Time to Hatch Visual Prediction of Embryo Development in the Ornate Spiny Lobster (Panulirus ornatus)</t>
  </si>
  <si>
    <t>Panulirus ornatus; transcriptomics; embryogenesis; gastrula; neuropeptides; hatch prediction</t>
  </si>
  <si>
    <t>EXPRESSION; GENE; TEMPERATURE; CRUSTACEA; IDENTIFICATION; PROFILES; MESODERM; DECAPODA; BEHAVIOR; PROTEIN</t>
  </si>
  <si>
    <t>The ability to conduct closed life-cycle culture of tropical spiny lobsters, Panulirus ornatus, at the Institute for Marine and Antarctic Studies (IMAS) provides a unique opportunity to investigate specific developmental stages during embryogenesis. The production of closed life-cycle lobsters provides access to embryos at defined time points, yet physical staging is challenging due to their small size and environmental factors impacting their development. A transcriptome comprising 11 distinct stages across the 30-day P. ornatus embryonal development period allowed the establishment of the most detailed transcriptomic library of embryogenesis across decapods. A series of key genes across the 11 stages of embryonal development were characterized. The expression of neuropeptides was reported across P. ornatus embryos, suggesting they are primarily active during the later stages of embryogenesis as the nervous system develops and the animal prepares to hatch. Gastrula-specific genes, nanos and brachyury, presented an expression profile indicating gastrulation occurs early in embryogenesis. In addition to the molecular tools used to characterize embryo development, certain developmental characteristics, such as eye spot development, provide a measurable indicator that can be visualised. Hatch prediction models based on visual characteristics were shown to be an accurate method to predict the timing of the hatch for P. ornatus embryos kept at 26 degrees C. The combination of morphological and visual measures with transcriptomics can be used to further define and establish the groundwork for future characterisation and staging of P. ornatus embryogenesis.</t>
  </si>
  <si>
    <t>[Lewis, Courtney L.; Elizur, Abigail; Ventura, Tomer] Univ Sunshine Coast, Ctr Bioinnovat, Maroochydore, Qld, Australia; [Lewis, Courtney L.; Ventura, Tomer] Univ Sunshine Coast, Sch Sci &amp; Engn, Maroochydore, Qld, Australia; [Fitzgibbon, Quinn P.; Smith, Gregory G.] Univ Tasmania, Inst Marine &amp; Antarctic Studies, Hobart, Tas, Australia</t>
  </si>
  <si>
    <t>Ventura, T (corresponding author), Univ Sunshine Coast, Ctr Bioinnovat, Maroochydore, Qld, Australia.;Ventura, T (corresponding author), Univ Sunshine Coast, Sch Sci &amp; Engn, Maroochydore, Qld, Australia.</t>
  </si>
  <si>
    <t>Ventura, T./H-9832-2019</t>
  </si>
  <si>
    <t>Ventura, T./0000-0002-0777-2367; Elizur, Abigail/0000-0002-2960-302X; Fitzgibbon, Quinn/0000-0002-1104-3052</t>
  </si>
  <si>
    <t>Australian Government; Australian Research Council Industrial Transformation Research Hub [IH190100014]; Australian Research Council [IH190100014] Funding Source: Australian Research Council</t>
  </si>
  <si>
    <t>Australian Government(Australian Government); Australian Research Council Industrial Transformation Research Hub(Australian Research Council); Australian Research Council(Australian Research Council)</t>
  </si>
  <si>
    <t>This work was supported by the Australian Government with funding from the Australian Research Council (http://www.arc.gov.au/) Industrial Transformation Research Hub (project number IH190100014). The views expressed herein are those of the authors and are not necessarily those of the Australian Government or Australian Research Council.</t>
  </si>
  <si>
    <t>10.3389/fmars.2022.889317</t>
  </si>
  <si>
    <t>3I8WX</t>
  </si>
  <si>
    <t>WOS:000832990600001</t>
  </si>
  <si>
    <t>Fearon, G; Herbette, S; Veitch, J; Cambon, G; Vichi, M</t>
  </si>
  <si>
    <t>Fearon, Giles; Herbette, Steven; Veitch, Jennifer; Cambon, Gildas; Vichi, Marcello</t>
  </si>
  <si>
    <t>The influence of the land-sea breeze on coastal upwelling systems: locally forced vs internal wave vertical mixing and implications for thermal fronts</t>
  </si>
  <si>
    <t>Land-sea breeze; Inertial oscillations; Internal waves; Vertical mixing; Critical latitude; Coastal upwelling</t>
  </si>
  <si>
    <t>INERTIAL OSCILLATIONS; BULK PARAMETERIZATION; CRITICAL LATITUDE; DIURNAL WINDS; CURRENTS; SURFACE; DRIVEN; MODEL; TEMPERATURE; VARIABILITY</t>
  </si>
  <si>
    <t>Land-sea breeze forcing near a land boundary drives both a locally forced response and an associated offshore propagating internal wave response, the effects of which can be difficult to separate. These processes enhance vertical mixing near the critical latitude for diurnal-inertial resonance (30? N/S), and are a feature of all four major eastern boundary upwelling systems. Here, we employ 1D-and 2D-vertical model configurations forced by a land-sea breeze to quantify the relative contributions of the locally forced and internal wave responses to surface currents and vertical mixing, and test sensitivity to latitude and bottom slope. We further include a sub-inertial alongshore wind to consider the role of the land-sea breeze in the context of upwelling systems. At the critical latitude, the internal waves generated via thermocline pumping near the land boundary are evanescent (in agreement with theory) and largely absent similar to 50 km offshore. The internal waves are shown to contribute to vertical mixing, which can be similar to 20% greater than that due to the forced response alone, further deepening the surface Ekman boundary layer. This deepening reduces the sub-inertial offshore advection of surface waters, thereby retaining the upwelling front closer to the land boundary and driving a net warming of the nearshore surface waters. Cross-shore horizontal oscillations of the upwelling front generated by the land-sea breeze drive strong diurnal variability in sea surface temperature, in agreement with observations from a cross-shore mooring array in the southern Benguela (similar to 32.3? S).</t>
  </si>
  <si>
    <t>[Fearon, Giles; Vichi, Marcello] Univ Cape Town, Dept Oceanog, Cape Town, South Africa; [Fearon, Giles; Veitch, Jennifer] South African Environm Observat Network, Cape Town, South Africa; [Herbette, Steven; Cambon, Gildas] Univ Brest, Lab Oceanog Phys &amp; Spatiale LOPS, IUEM, CNRS,IRD,Ifremer, Brest, France; [Veitch, Jennifer] Univ Cape Town, Marine Res Inst, Nansen Tutu Ctr, Dept Oceanog, Cape Town, South Africa; [Vichi, Marcello] Univ Cape Town, Marine &amp; Antarctic Res Ctr Innovat &amp; Sustainabil M, Dept Oceanog, Cape Town, South Africa</t>
  </si>
  <si>
    <t>University of Cape Town; National Research Foundation - South Africa; South African Environmental Observation Network (SAEON); Institut de Recherche pour le Developpement (IRD); Universite de Bretagne Occidentale; Institut Universitaire Europeen de la Mer (IUEM); Centre National de la Recherche Scientifique (CNRS); Ifremer; University of Cape Town; University of Cape Town</t>
  </si>
  <si>
    <t>Fearon, G (corresponding author), Univ Cape Town, Dept Oceanog, Cape Town, South Africa.</t>
  </si>
  <si>
    <t>gfearon11@gmail.com</t>
  </si>
  <si>
    <t>Vichi, Marcello/GLR-9823-2022; Herbette, Steven/L-4140-2015; Cambon, Gildas/A-1882-2016</t>
  </si>
  <si>
    <t>Vichi, Marcello/0000-0002-0686-9634; Herbette, Steven/0000-0002-7349-5572; Cambon, Gildas/0000-0002-3899-1204; Fearon, Giles/0000-0002-4658-2507</t>
  </si>
  <si>
    <t>South African Environmental Ob-servation Network (SAEON) [862923]; LabexMER; French Embassy in South Africa; Whales and Climate Research Program; European Union?s Horizon 2020 research and innovation programme</t>
  </si>
  <si>
    <t>South African Environmental Ob-servation Network (SAEON)(National Research Foundation - South Africa); LabexMER; French Embassy in South Africa; Whales and Climate Research Program; European Union?s Horizon 2020 research and innovation programme</t>
  </si>
  <si>
    <t>The financial assistance of the South African Environmental Ob-servation Network (SAEON) towards this research is acknowledged. Opinions expressed and conclusions arrived at are those of the author (s) and are not necessarily to be attributed to SEAON. GF further acknowl-edges grants from LabexMER and the French Embassy in South Africa which greatly facilitated this research. GF and MV received funding from an anonymous donor as part of the Whales and Climate Research Program (https:// www.whalesandclimate.org/) , as well as from the European Union?s Horizon 2020 research and innovation programme under grant agreement No 862923. We thank the Climate Systems Anal-ysis Group (CSAG) for the provision of their WRF atmospheric model output and the South African Navy Hydrographic Office (SANHO) for the provision of bathymetric data. The study benefitted from computa-tional facilities provided by the University of Cape Town?s ICTS High Performance Computing team (hpc.uct.ac.za) .</t>
  </si>
  <si>
    <t>10.1016/j.ocemod.2022.102069</t>
  </si>
  <si>
    <t>3D7RC</t>
  </si>
  <si>
    <t>WOS:000829494200001</t>
  </si>
  <si>
    <t>Jadhav, HS; Fulke, AB; Giripunje, MD</t>
  </si>
  <si>
    <t>Jadhav, H. S.; Fulke, A. B.; Giripunje, M. D.</t>
  </si>
  <si>
    <t>Recent global insight into mitigation of plastic pollutants, sustainable biodegradable alternatives, and recycling strategies</t>
  </si>
  <si>
    <t>INTERNATIONAL JOURNAL OF ENVIRONMENTAL SCIENCE AND TECHNOLOGY</t>
  </si>
  <si>
    <t>Biobased plastics; Plastics recycling; Polymer; Biological degradation; Chemical degradation</t>
  </si>
  <si>
    <t>METAL-ORGANIC FRAMEWORKS; PHOTOCATALYTIC DEGRADATION; AROMATIC-COMPOUNDS; ANTARCTIC KRILL; RHEOLOGICAL PROPERTIES; BARRIER PROPERTIES; EUPHAUSIA-SUPERBA; PHASE STRUCTURES; TOXIC-CHEMICALS; CELL-WALLS</t>
  </si>
  <si>
    <t>Plastics are organic polymers mainly derived from petrochemicals which can be flexibly molded into different shapes. Due to the many benefits of petroleum plastics, including their low cost, high durability, resistance to oxidation, flexibility, water resistance, and inertness, their demand continuously increases. Accumulation of plastic waste in nature is a serious concern. Small plastic particles which are highly resistant to biodegradation gather within organisms, leading to unknown health impacts. Here we present global efforts in diminishing plastic pollutants by identifying recent interdisciplinary contributions to plastic biodegradation and chemical degradation, suitable recycling strategies, and sustainable alternatives derived from biobased material.</t>
  </si>
  <si>
    <t>[Jadhav, H. S.; Fulke, A. B.] CSIR, Natl Inst Oceanog CSIR NIO, Reg Ctr, Lokhandwala Rd,4 Bungalows,Andheri West, Mumbai 400053, Maharashtra, India; [Jadhav, H. S.; Fulke, A. B.] Acad Sci &amp; Innovat Res AcSIR, Ghaziabad 201002, India; [Giripunje, M. D.] Sevadal Mahila Mahavidyalaya, Nagpur 440009, Maharashtra, India</t>
  </si>
  <si>
    <t>Council of Scientific &amp; Industrial Research (CSIR) - India; CSIR - National Institute of Oceanography (NIO); Academy of Scientific &amp; Innovative Research (AcSIR)</t>
  </si>
  <si>
    <t>Fulke, AB (corresponding author), CSIR, Natl Inst Oceanog CSIR NIO, Reg Ctr, Lokhandwala Rd,4 Bungalows,Andheri West, Mumbai 400053, Maharashtra, India.;Fulke, AB (corresponding author), Acad Sci &amp; Innovat Res AcSIR, Ghaziabad 201002, India.</t>
  </si>
  <si>
    <t>afulke@nio.org</t>
  </si>
  <si>
    <t>CSIR</t>
  </si>
  <si>
    <t>CSIR(Council of Scientific &amp; Industrial Research (CSIR) - India)</t>
  </si>
  <si>
    <t>Authors are grateful to the Director of CSIR-National Institute of Oceanography (CSIR-NIO), Goa, India, and Scientist-in-Charge at CSIR-NIO, Regional Centre, Mumbai, for their encouragement and support. HSJ is also thankful to CSIR for the JRF fellowship.</t>
  </si>
  <si>
    <t>1735-1472</t>
  </si>
  <si>
    <t>1735-2630</t>
  </si>
  <si>
    <t>INT J ENVIRON SCI TE</t>
  </si>
  <si>
    <t>Int. J. Environ. Sci. Technol.</t>
  </si>
  <si>
    <t>10.1007/s13762-022-04363-w</t>
  </si>
  <si>
    <t>I6LU8</t>
  </si>
  <si>
    <t>WOS:000825740900001</t>
  </si>
  <si>
    <t>Barceló, A; Sandoval-Castillo, J; Brauer, CJ; Bilgmann, K; Parra, GJ; Beheregaray, LB; Möller, LM</t>
  </si>
  <si>
    <t>Barcelo, Andrea; Sandoval-Castillo, Jonathan; Brauer, Chris J.; Bilgmann, Kerstin; Parra, Guido J.; Beheregaray, Luciano B.; Moller, Luciana M.</t>
  </si>
  <si>
    <t>Seascape genomics of common dolphins (Delphinus delphis) reveals adaptive diversity linked to regional and local oceanography</t>
  </si>
  <si>
    <t>BMC ECOLOGY AND EVOLUTION</t>
  </si>
  <si>
    <t>Delphinids; Adaptive resilience; ddRAD-seq; Landscape genomics; Conservation genomics</t>
  </si>
  <si>
    <t>POPULATION-STRUCTURE; LANDSCAPE GENETICS; LEEUWIN CURRENT; DE-NOVO; AUSTRALIA; ADAPTATION; CETACEANS; SOUTHERN; SHELF; EXPRESSION</t>
  </si>
  <si>
    <t>Background High levels of standing genomic variation in wide-ranging marine species may enhance prospects for their long-term persistence. Patterns of connectivity and adaptation in such species are often thought to be influenced by spatial factors, environmental heterogeneity, and oceanographic and geomorphological features. Population-level studies that analytically integrate genome-wide data with environmental information (i.e., seascape genomics) have the potential to inform the spatial distribution of adaptive diversity in wide-ranging marine species, such as many marine mammals. We assessed genotype-environment associations (GEAs) in 214 common dolphins (Delphinus delphis) along &gt; 3000 km of the southern coast of Australia. Results We identified 747 candidate adaptive SNPs out of a filtered panel of 17,327 SNPs, and five putatively locally-adapted populations with high levels of standing genomic variation were disclosed along environmentally heterogeneous coasts. Current velocity, sea surface temperature, salinity, and primary productivity were the key environmental variables associated with genomic variation. These environmental variables are in turn related to three main oceanographic phenomena that are likely affecting the dispersal of common dolphins: (1) regional oceanographic circulation, (2) localised and seasonal upwellings, and (3) seasonal on-shelf circulation in protected coastal habitats. Signals of selection at exonic gene regions suggest that adaptive divergence is related to important metabolic traits. Conclusion To the best of our knowledge, this represents the first seascape genomics study for common dolphins (genus Delphinus). Information from the associations between populations and their environment can assist population management in forecasting the adaptive capacity of common dolphins to climate change and other anthropogenic impacts.</t>
  </si>
  <si>
    <t>[Barcelo, Andrea; Sandoval-Castillo, Jonathan; Brauer, Chris J.; Bilgmann, Kerstin; Beheregaray, Luciano B.; Moller, Luciana M.] Flinders Univ S Australia, Coll Sci &amp; Engn, Mol Ecol Lab, Bedford Pk, SA, Australia; [Barcelo, Andrea; Bilgmann, Kerstin; Parra, Guido J.; Moller, Luciana M.] Flinders Univ S Australia, Coll Sci &amp; Engn, Cetacean Ecol Behav &amp; Evolut Lab, Bedford Pk, SA 5042, Australia; [Bilgmann, Kerstin] Macquarie Univ, Sch Nat Sci, Sydney, NSW, Australia</t>
  </si>
  <si>
    <t>Flinders University South Australia; Flinders University South Australia; Macquarie University</t>
  </si>
  <si>
    <t>Barceló, A (corresponding author), Flinders Univ S Australia, Coll Sci &amp; Engn, Mol Ecol Lab, Bedford Pk, SA, Australia.;Barceló, A (corresponding author), Flinders Univ S Australia, Coll Sci &amp; Engn, Cetacean Ecol Behav &amp; Evolut Lab, Bedford Pk, SA 5042, Australia.</t>
  </si>
  <si>
    <t>andrea.barcelo@flinders.edu.au</t>
  </si>
  <si>
    <t>Möller, Luciana M/A-6030-2008; Castillo, Jonathan Sandoval/AAE-4727-2022; Beheregaray, Luciano/A-8621-2008; Brauer, Chris/KBA-0970-2024</t>
  </si>
  <si>
    <t>Castillo, Jonathan Sandoval/0000-0002-8428-3495; Beheregaray, Luciano/0000-0003-0944-3003; Bilgmann, Kerstin/0000-0003-0681-2301; Brauer, Chris/0000-0003-2968-5915</t>
  </si>
  <si>
    <t>Australian Marine Mammal Centre (AMMC) Grants Program; Australian Antarctic Division (AAD) [2010/3]; Mexican National Council for Science and Technology [440689]; Flinders University</t>
  </si>
  <si>
    <t>Australian Marine Mammal Centre (AMMC) Grants Program; Australian Antarctic Division (AAD); Mexican National Council for Science and Technology(Consejo Nacional de Ciencia y Tecnologia (CONACyT)); Flinders University</t>
  </si>
  <si>
    <t>The Australian Marine Mammal Centre (AMMC) Grants Program, Australian Antarctic Division (AAD) (project number 2010/3, Luciana Moller, Guido J. Parra, Kerstin Bilgmann and Luciano Beheregaray). PhD scholarship from the Mexican National Council for Science and Technology (Grant No. 440689) to Andrea Barcelo, and Flinders University.</t>
  </si>
  <si>
    <t>2730-7182</t>
  </si>
  <si>
    <t>BMC ECOL EVOL</t>
  </si>
  <si>
    <t>BMC Ecol. Evol.</t>
  </si>
  <si>
    <t>10.1186/s12862-022-02038-1</t>
  </si>
  <si>
    <t>Ecology; Evolutionary Biology; Genetics &amp; Heredity</t>
  </si>
  <si>
    <t>Environmental Sciences &amp; Ecology; Evolutionary Biology; Genetics &amp; Heredity</t>
  </si>
  <si>
    <t>2X0JA</t>
  </si>
  <si>
    <t>WOS:000824899100001</t>
  </si>
  <si>
    <t>Jiang, Z; Savarino, J; Alexander, B; Erbland, J; Jaffrezo, JL; Geng, L</t>
  </si>
  <si>
    <t>Jiang, Zhuang; Savarino, Joel; Alexander, Becky; Erbland, Joseph; Jaffrezo, Jean-Luc; Geng, Lei</t>
  </si>
  <si>
    <t>Impacts of post-depositional processing on nitrate isotopes in the snow and the overlying atmosphere at Summit, Greenland</t>
  </si>
  <si>
    <t>EAST ANTARCTIC PLATEAU; DOME C; ICE CORES; SURFACE SNOW; TROPOSPHERIC OZONE; NOX EMISSIONS; AIR; NITROGEN; CONSTRAINTS; DEPOSITION</t>
  </si>
  <si>
    <t>The effect of post-depositional processing on the preservation of snow nitrate isotopes at Summit, Greenland, remains a subject of debate and is relevant to the quantitative interpretation of ice-core nitrate (isotopic) records at high snow accumulation sites. Here we present the first year-round observations of atmospheric nitrate and its isotopic compositions at Summit and compare them with published surface snow and snowpack observations. The atmospheric delta N-15(NO3-) remained negative throughout the year, ranging from -3.1 parts per thousand to -47.9 parts per thousand with a mean of (-14.8 +/- 7.3)parts per thousand (n = 54), and displayed minima in spring which are distinct from the observed spring delta N-15(NO3-) maxima in snowpack. The spring average atmospheric delta N-15(NO3-) was (-17.9 +/- 8.3) parts per thousand (n = 21), significantly depleted compared to the snowpack spring average of (4.6 +/- 2.1)parts per thousand, while the surface snow delta N-15(NO3-) of (-6.8 +/- 0.5)parts per thousand was in between the atmosphere and the snowpack. The differences in atmospheric, surface snow and snowpack delta N-15(NO3-) are best explained by the photo-driven post-depositional processing of snow nitrate, with potential contributions from fractionation during nitrate deposition. In contrast to delta N-15(NO3-) the atmospheric Delta O-1(7)(NO3-) was of a similar seasonal pattern and magnitude of change to that in the snowpack, suggesting little to no changes in Delta O-1(7)(NO3-) from photolysis, consistent with previous modeling results. The atmospheric delta O-18(NO3-) varied similarly to atmospheric Delta O-1(7)(NO3-), with summer low and winter high values. However, the difference between atmospheric and snow delta O-18(NO3-) was larger than that of Delta O-17(NO3-). We found a strong correlation between atmospheric delta O-18(NO3-) and Delta O-17(NO3-) that is very similar to previous measurements for surface snow at Summit, suggesting that atmospheric delta O-18(NO3-) versus Delta O-17(NO3-) relationships were conserved during deposition. However, we found the linear relationships between delta O-18 and Delta O-17(NO3-) were significantly different for snowpack compared to atmospheric samples. This likely suggests the oxygen isotopes are also affected before preservation in the snow at Summit, but the degree of change for delta O-18(NO3-) should be larger than that of Delta O-17(NO3-). This is because photolysis is a massdependent process that would directly affect delta O-18(NO3-) in snow but not Delta O-17(NO3-) as the latter is a mass-independent signal. Although there were uncertainties associated with the complied dataset, the results suggested that post-depositional processing at Summit can induce changes in nitrate isotopes, especially delta N-15(NO3-), consistent with a previous modeling study. This reinforces the importance of understanding the effects of post-depositional processing before ice-core nitrate isotope interpretation, even for sites with relatively high snow accumulation rates.</t>
  </si>
  <si>
    <t>[Jiang, Zhuang; Geng, Lei] Univ Sci &amp; Technol China, Sch Earth &amp; Space Sci, Hefei, Anhui, Peoples R China; [Savarino, Joel; Erbland, Joseph; Jaffrezo, Jean-Luc] Univ Grenoble Alpes, Inst Geosci Environm, G INP, CNRS,IRD, Grenoble, France; [Alexander, Becky] Univ Washington, Dept Atmospher Sci, Seattle, WA 98195 USA; [Geng, Lei] Pilot Natl Lab Marine Sci &amp; Technol Qingdao, Lab Ocean Dynam &amp; Climate, Qingdao, Shandong, Peoples R China; [Geng, Lei] Univ Sci &amp; Technol China, CAS Ctr Excellence Comparat Planetol, Hefei, Anhui, Peoples R China</t>
  </si>
  <si>
    <t>Chinese Academy of Sciences; University of Science &amp; Technology of China, CAS; Institut de Recherche pour le Developpement (IRD); Centre National de la Recherche Scientifique (CNRS); Communaute Universite Grenoble Alpes; Universite Grenoble Alpes (UGA); University of Washington; University of Washington Seattle; Laoshan Laboratory; Chinese Academy of Sciences; University of Science &amp; Technology of China, CAS</t>
  </si>
  <si>
    <t>Geng, L (corresponding author), Univ Sci &amp; Technol China, Sch Earth &amp; Space Sci, Hefei, Anhui, Peoples R China.;Geng, L (corresponding author), Pilot Natl Lab Marine Sci &amp; Technol Qingdao, Lab Ocean Dynam &amp; Climate, Qingdao, Shandong, Peoples R China.;Geng, L (corresponding author), Univ Sci &amp; Technol China, CAS Ctr Excellence Comparat Planetol, Hefei, Anhui, Peoples R China.</t>
  </si>
  <si>
    <t>genglei@ustc.edu.cn</t>
  </si>
  <si>
    <t>geng, lei/KEZ-8801-2024; jaffrezo, jean-luc/HIU-0016-2022; Alexander, Becky/N-7048-2013; savarino, joel/H-9730-2012</t>
  </si>
  <si>
    <t>Alexander, Becky/0000-0001-9915-4621; savarino, joel/0000-0002-6708-9623; jean-luc, jaffrezo/0000-0002-6921-5160; Jiang, Zhuang/0000-0001-5692-8308; Erbland, Joseph/0000-0002-1186-1370</t>
  </si>
  <si>
    <t>National Natural Science Foundation of China [41822605, 41871051, 41727901]; Fundamental Research Funds for Central Universities; Strategic Priority Research Program of Chinese Academy of Sciences [XDB 41000000]; National Key R&amp;D Program of China [2019YFC1509100]; French national programme LEFE/INSU; ANR [16-CE01-0011-01]; French Agence Nationale de la Recherche [ANR 16-CE01-0011-01]; National Science Foundation [PLR 1542723]</t>
  </si>
  <si>
    <t>National Natural Science Foundation of China(National Natural Science Foundation of China (NSFC)); Fundamental Research Funds for Central Universities(Fundamental Research Funds for the Central Universities); Strategic Priority Research Program of Chinese Academy of Sciences(Chinese Academy of Sciences); National Key R&amp;D Program of China; French national programme LEFE/INSU; ANR(Agence Nationale de la Recherche (ANR)); French Agence Nationale de la Recherche(Agence Nationale de la Recherche (ANR)); National Science Foundation(National Science Foundation (NSF))</t>
  </si>
  <si>
    <t>This research has been supported by the National Natural Science Foundation of China (grant nos. 41822605, 41871051 and 41727901), the Fundamental Research Funds for Central Universities, the Strategic Priority Research Program of Chinese Academy of Sciences (grant no. XDB 41000000), and the National Key R&amp;D Program of China (grant nos. 2019YFC1509100). Support for Joel Savarino and Joseph Erbland was provided by the French national programme LEFE/INSU and the ANR grants ANR-15-IDEX-02 (project IDEX Universite Grenoble Alpes) and ANR 16-CE01-0011-01 (EAIIST project) of the French Agence Nationale de la Recherche. Becky Alexander was supported by the National Science Foundation (grant no. PLR 1542723).</t>
  </si>
  <si>
    <t>10.5194/tc-16-2709-2022</t>
  </si>
  <si>
    <t>2U3JT</t>
  </si>
  <si>
    <t>WOS:000823057200001</t>
  </si>
  <si>
    <t>Robinson, SA</t>
  </si>
  <si>
    <t>Robinson, Sharon A.</t>
  </si>
  <si>
    <t>Climate change and extreme events are changing the biology of Polar Regions</t>
  </si>
  <si>
    <t>CHANGE IMPACTS; MARINE; RESPONSES; LIGHT</t>
  </si>
  <si>
    <t>Polar landscapes and their unique biodiversity are threatened by climate change. Wild reindeer are cultural and ecological keystone species, traversing across the northern Eurasian Arctic throughout the year (Wild reindeer in the sub-Arctic in Kuhmo, Finland. Photo: Antti Leinonen, Snowchange Cooperative. Used with permission). In contrast, Antarctic terrestrial biodiversity is found on islands in the ice (or ocean) which support unique assemblages of plants and animals (King George Island, South Shetlands; photo Andrew Netherwood. Used with permission). This VSI examines how the changing climate threatens these diverse marine and terrestrial habitats and the biodiversity that they support.</t>
  </si>
  <si>
    <t>[Robinson, Sharon A.] Univ Wollongong, Sch Earth Atmospher &amp; Life Sci, Securing Antarcticas Environm Future, Wollongong, NSW 2522, Australia</t>
  </si>
  <si>
    <t>University of Wollongong</t>
  </si>
  <si>
    <t>Robinson, SA (corresponding author), Univ Wollongong, Sch Earth Atmospher &amp; Life Sci, Securing Antarcticas Environm Future, Wollongong, NSW 2522, Australia.</t>
  </si>
  <si>
    <t>sharonr@uow.edu.au</t>
  </si>
  <si>
    <t>Robinson, Sharon/B-2683-2008</t>
  </si>
  <si>
    <t>Robinson, Sharon/0000-0002-7130-9617</t>
  </si>
  <si>
    <t>10.1111/gcb.16309</t>
  </si>
  <si>
    <t>WOS:000823270200001</t>
  </si>
  <si>
    <t>Jones, RS; Johnson, JS; Lin, YC; Mackintosh, AN; Sefton, JP; Smith, JA; Thomas, ER; Whitehouse, PL</t>
  </si>
  <si>
    <t>Jones, Richard S.; Johnson, Joanne S.; Lin, Yucheng; Mackintosh, Andrew N.; Sefton, Juliet P.; Smith, James A.; Thomas, Elizabeth R.; Whitehouse, Pippa L.</t>
  </si>
  <si>
    <t>Stability of the Antarctic Ice Sheet during the pre-industrial Holocene</t>
  </si>
  <si>
    <t>NATURE REVIEWS EARTH &amp; ENVIRONMENT</t>
  </si>
  <si>
    <t>RELATIVE SEA-LEVEL; GROUNDING-LINE RETREAT; LAST GLACIAL MAXIMUM; PINE ISLAND GLACIER; JAMES-ROSS-ISLAND; LUTZOW-HOLM BAY; EPICA DOME-C; WEDDELL SEA; DEGLACIAL HISTORY; EAST ANTARCTICA</t>
  </si>
  <si>
    <t>The rate and magnitude of the Antarctic Ice Sheet (AIS) contribution to global sea-level rise beyond 2100 ce remains highly uncertain. Past changes of the AIS, however, offer opportunities to understand contemporary and future ice sheet behaviour. In this Review, we outline how the AIS evolved through the pre-industrial Holocene, 11,700 years ago to 1850 ce. Three main phases of ice sheet behaviour are identified: a period of rapid ice volume loss across all sectors in the Early and Mid Holocene; a retreat inland of the present-day ice sheet margin in some sectors, followed by readvance; and continued ice volume loss in several sectors during the past few millennia, and in some areas up to and into the industrial era. Global sea levels rose by 2.4-12 m owing to the period of rapid Antarctic ice loss and possibly fell by 0.35-1.2 m owing to subsequent readvance. Changes in the AIS during the Holocene were likely driven by similar processes to those acting today and predicted for the future, which are associated with oceanic and atmospheric conditions as well as bed topography. Further work is required to better understand these processes and to quantify Antarctica's contribution to past sea-level change. The Antarctic Ice Sheet (AIS) underwent dramatic changes over the Holocene, impacting global sea levels. In this Review, Jones et al. discuss changes in this ice sheet during the pre-industrial Holocene. The drivers behind these past changes are explored, as well as their relevance for current and future changes in the AIS.</t>
  </si>
  <si>
    <t>[Jones, Richard S.; Mackintosh, Andrew N.] Monash Univ, Sch Earth Atmosphere &amp; Environm, Clayton, Vic, Australia; [Jones, Richard S.; Mackintosh, Andrew N.] Monash Univ, Securing Antarcticas Environm Future, Clayton, Vic, Australia; [Johnson, Joanne S.; Smith, James A.; Thomas, Elizabeth R.] British Antarctic Survey, Cambridge, England; [Lin, Yucheng; Whitehouse, Pippa L.] Univ Durham, Dept Geog, Durham, England; [Sefton, Juliet P.] Tufts Univ, Dept Earth &amp; Ocean Sci, Medford, MA 02155 USA</t>
  </si>
  <si>
    <t>Monash University; Monash University; UK Research &amp; Innovation (UKRI); Natural Environment Research Council (NERC); NERC British Antarctic Survey; Durham University; Tufts University</t>
  </si>
  <si>
    <t>Jones, RS (corresponding author), Monash Univ, Sch Earth Atmosphere &amp; Environm, Clayton, Vic, Australia.;Jones, RS (corresponding author), Monash Univ, Securing Antarcticas Environm Future, Clayton, Vic, Australia.</t>
  </si>
  <si>
    <t>richard.s.jones@monash.edu</t>
  </si>
  <si>
    <t>Thomas, Elizabeth Ruth/ADF-3660-2022; Jones, Richard Selwyn/AAJ-3949-2021</t>
  </si>
  <si>
    <t>Thomas, Elizabeth Ruth/0000-0002-3010-6493; Jones, Richard Selwyn/0000-0003-2988-0999; Smith, James/0000-0002-1333-2544; Whitehouse, Pippa/0000-0002-9092-3444; Sefton, Juliet/0000-0001-7063-6029; Lin, Yucheng/0000-0002-5556-4490; Mackintosh, Andrew/0000-0002-6430-4711</t>
  </si>
  <si>
    <t>Australian Research Council (ARC) [DE210101923]; Natural Environment Research Council (NERC) [NE/K012088/1, NE/S006710/1]; China Scholarship Council-Durham University joint scholarship; NERC [NE/M013081/1]; ARC SRIEAS Grant, Securing Antarctica's Environmental Future, Australia [SR200100005]; NERC, UK; Australian Research Council [DE210101923] Funding Source: Australian Research Council; NERC [NE/S006710/1, NE/K012088/1, NE/S006753/1, NE/K011278/1, NE/S00663X/1] Funding Source: UKRI</t>
  </si>
  <si>
    <t>Australian Research Council (ARC)(Australian Research Council); Natural Environment Research Council (NERC)(UK Research &amp; Innovation (UKRI)Natural Environment Research Council (NERC)); China Scholarship Council-Durham University joint scholarship; NERC(UK Research &amp; Innovation (UKRI)Natural Environment Research Council (NERC)); ARC SRIEAS Grant, Securing Antarctica's Environmental Future, Australia; NERC, UK(UK Research &amp; Innovation (UKRI)Natural Environment Research Council (NERC)); Australian Research Council(Australian Research Council); NERC(UK Research &amp; Innovation (UKRI)Natural Environment Research Council (NERC))</t>
  </si>
  <si>
    <t>R.S.J. is supported by the Australian Research Council (ARC) under grant number DE210101923. J.S.J. is supported by Natural Environment Research Council (NERC) grants NE/K012088/1 and NE/S006710/1. Y.L. is supported by China Scholarship Council-Durham University joint scholarship. J.A.S. is supported by NERC grant NE/M013081/1. This work was supported by ARC SRIEAS Grant SR200100005 Securing Antarctica's Environmental Future, Australia, and forms part of the British Antarctic Survey programme `Polar Science for Planet Earth' funded by the NERC, UK.</t>
  </si>
  <si>
    <t>2662-138X</t>
  </si>
  <si>
    <t>NAT REV EARTH ENV</t>
  </si>
  <si>
    <t>Nat. Rev. Earth Environ.</t>
  </si>
  <si>
    <t>10.1038/s43017-022-00309-5</t>
  </si>
  <si>
    <t>3Q2TE</t>
  </si>
  <si>
    <t>WOS:000823351800001</t>
  </si>
  <si>
    <t>Bollen, KE; Enderlin, EM; Muhlheim, R</t>
  </si>
  <si>
    <t>Bollen, Katherine E.; Enderlin, Ellyn M.; Muhlheim, Rebecca</t>
  </si>
  <si>
    <t>Dynamic mass loss from Greenland's marine-terminating peripheral glaciers (1985-2018)</t>
  </si>
  <si>
    <t>Glacier discharge; ice and climate; ice dynamics; remote sensing</t>
  </si>
  <si>
    <t>SEA-LEVEL RISE; ICE-SHEET; DISCHARGE; SURGE; VARIABILITY; BALANCE; CAPS</t>
  </si>
  <si>
    <t>Global glacier mass balance decreased rapidly over the last two decades, exceeding mass loss from the Greenland and Antarctic Ice Sheets. In Greenland, peripheral glaciers and ice caps (GICs) cover only similar to 5% of Greenland's area but contributed similar to 20% of the island's ice mass loss between 2000 and 2018. Although Greenland GIC mass loss due to surface meltwater runoff has been estimated using atmospheric models, mass lost to changes in ice discharge into oceans (i.e., dynamic mass loss) remains unquantified. We use the flux gate method to estimate discharge from Greenland's 585 marine-terminating peripheral glaciers between 1985 and 2018, and compute dynamic mass loss as the discharge anomaly relative to the 1985-98 period. Greenland GICs discharged between 2.94 +/- 0.23 and 4.03 +/- 0.23 Gt a(-1) from 1985 to 1998, depending on the gap-filling method, and abruptly increased to 5.10 +/- 0.21 Gt a(-1) from 1999 to 2018. The resultant similar to 1-2 Gt a(-1) dynamic mass loss was driven by synchronous widespread acceleration around Greenland. The mass loss came predominantly from the southeast region, which contains 39% of the glaciers. Although changes in discharge over time were small relative to surface mass-balance changes, our speed and discharge time series suggest these glaciers may quickly accelerate in response to changes in climate.</t>
  </si>
  <si>
    <t>[Bollen, Katherine E.; Enderlin, Ellyn M.] Boise State Univ, Dept Geosci, Boise, ID 83725 USA; [Muhlheim, Rebecca] Carleton Coll, Dept Geol, Northfield, MN 55057 USA</t>
  </si>
  <si>
    <t>Idaho; Boise State University; Carleton College</t>
  </si>
  <si>
    <t>Enderlin, EM (corresponding author), Boise State Univ, Dept Geosci, Boise, ID 83725 USA.</t>
  </si>
  <si>
    <t>ellynenderlin@boisestate.edu</t>
  </si>
  <si>
    <t>Bollen, Katherine/0000-0003-4345-0899; Enderlin, Ellyn/0000-0002-8266-7719</t>
  </si>
  <si>
    <t>NASA [80NSSC18K1228]; Polar Geospatial Center under NSF-OPP [1043681, 1559691, 1542736]</t>
  </si>
  <si>
    <t>NASA(National Aeronautics &amp; Space Administration (NASA)); Polar Geospatial Center under NSF-OPP</t>
  </si>
  <si>
    <t>This research is funded by NASA award 80NSSC18K1228. DEMs are provided by the Polar Geospatial Center under NSF-OPP awards 1043681, 1559691 and 1542736.</t>
  </si>
  <si>
    <t>10.1017/jog.2022.52</t>
  </si>
  <si>
    <t>H5AN0</t>
  </si>
  <si>
    <t>WOS:000822949200001</t>
  </si>
  <si>
    <t>White, WT; O'Neill, HL; Cleeland, J; Lamb, TD</t>
  </si>
  <si>
    <t>White, William T.; O'Neill, Helen L.; Cleeland, Jaimie; Lamb, Tim D.</t>
  </si>
  <si>
    <t>Further description of the Kerguelen sandpaper skate Bathyraja irrasa (Rajiformes: Arhynchobatidae) based on additional specimens, including egg cases and embryos</t>
  </si>
  <si>
    <t>JOURNAL OF FISH BIOLOGY</t>
  </si>
  <si>
    <t>Bathyraja; endemic; Heard and MacDonald Islands; Kerguelen plateau; oviparous; subantarctic</t>
  </si>
  <si>
    <t>DEEP-WATER SKATE; RAJOIDEI ARHYNCHOBATIDAE; CHONDRICHTHYES; RAJIDAE; PARMIFERA; GILBERT; PISCES</t>
  </si>
  <si>
    <t>Adult specimens, additional juvenile specimens, egg cases and embryos were used to provide a more detailed anatomical description of the Kerguelen sandpaper skate Bathyraja irrasa, a species of skate endemic to the Kerguelen Plateau and listed as Vulnerable by the IUCN Red List of Threatened Species. The morphological and meristic data reveal a relatively high level of intraspecific variation, mostly related to size. Egg cases are described for the first time and were shown to vary in colour and fouling depending on the length of time spent in the marine environment. Embryos removed from egg cases represent all stages of embryonic development in this species and include the largest embryo recorded for this species, i.e., 230 mm total length (L-T), which increases the range of size at hatching of B. irrasa to 178-230 mm L-T. A number of morphometric and meristic characters varied ontogenetically in B. irrasa, in particular relative tail length, number of tail thorns in the median row and the size of orbits. This study highlights the importance of describing intraspecific variation in species and the importance of egg cases to taxonomic and biological research on oviparous species.</t>
  </si>
  <si>
    <t>[White, William T.; O'Neill, Helen L.] CSIRO Natl Res Collect Australia, Australian Natl Fish Collect, GPO Box 1538, Hobart, Tas 7001, Australia; [Cleeland, Jaimie; Lamb, Tim D.] Australian Antarctic Div, Kingston, Tas, Australia</t>
  </si>
  <si>
    <t>Commonwealth Scientific &amp; Industrial Research Organisation (CSIRO); Australian Antarctic Division</t>
  </si>
  <si>
    <t>White, WT (corresponding author), CSIRO Natl Res Collect Australia, Australian Natl Fish Collect, GPO Box 1538, Hobart, Tas 7001, Australia.</t>
  </si>
  <si>
    <t>william.white@csiro.au</t>
  </si>
  <si>
    <t>White, William/B-9748-2009</t>
  </si>
  <si>
    <t>White, William/0000-0001-9705-2453; O'Neill, Helen/0000-0001-7096-687X</t>
  </si>
  <si>
    <t>Australian Antarctic Division; Commonwealth Scientific and Industrial Research Organisation</t>
  </si>
  <si>
    <t>Australian Antarctic Division; Commonwealth Scientific and Industrial Research Organisation(Commonwealth Scientific &amp; Industrial Research Organisation (CSIRO))</t>
  </si>
  <si>
    <t>0022-1112</t>
  </si>
  <si>
    <t>1095-8649</t>
  </si>
  <si>
    <t>J FISH BIOL</t>
  </si>
  <si>
    <t>J. Fish Biol.</t>
  </si>
  <si>
    <t>10.1111/jfb.15136</t>
  </si>
  <si>
    <t>4M1JL</t>
  </si>
  <si>
    <t>WOS:000822976500001</t>
  </si>
  <si>
    <t>Cardeñosa, D; Shea, SK; Zhang, HR; Fischer, GA; Simpfendorfer, CA; Chapman, DD</t>
  </si>
  <si>
    <t>Cardenosa, Diego; Shea, Stanley K.; Zhang, Huarong; Fischer, Gunter A.; Simpfendorfer, Colin A.; Chapman, Demian D.</t>
  </si>
  <si>
    <t>Two thirds of species in a global shark fin trade hub are threatened with extinction: Conservation potential of international trade regulations for coastal sharks</t>
  </si>
  <si>
    <t>CITES; governance; Hong Kong; international shark trade; management; shark conservation</t>
  </si>
  <si>
    <t>ECOLOGICAL ROLE; HONG-KONG; SUSTAINABILITY; FISHERIES; BYCATCH; MARINE; CATCH; RAYS</t>
  </si>
  <si>
    <t>One third of chondrichthyan species (sharks, rays, and chimeras) are threatened with extinction, mainly due to unsustainable fishing. Large accessible international markets for meat and luxury products like dried fins can help drive overfishing by encouraging targeted capture or retention of high-value export species. If this is common, then species in international trade could have heightened extinction risk. Here, we examined the species composition of the Hong Kong shark fin market from 2014 to 2018, finding that traded species disproportionately occur in threatened categories (70.9%) and all premium value species are threatened. A small number of cosmopolitan species dominate the trade, but noncosmopolitan coastal species are still traded at concerning levels given their limited distribution. These coastal species are not generally subject to retention prohibitions, fisheries management, or international trade regulations and without management many could become extinct. The conservation potential of international trade regulations alone for coastal chondrichthyans depends on the extent to which overfishing is driven by export markets; socioeconomic studies of coastal fishing communities are needed to make this determination. Nonetheless, adding international trade regulations for more coastal shark species that are in the fin trade could prompt broad engagement with overfishing in nations lacking effective management.</t>
  </si>
  <si>
    <t>[Cardenosa, Diego] Florida Int Univ, Dept Biol Sci, 3000 NE 151st St, North Miami, FL 33181 USA; [Shea, Stanley K.] ADMCF, Bloom Assoc, Hong Kong, Peoples R China; [Zhang, Huarong; Fischer, Gunter A.] Kadoorie Farm &amp; Bot Garden Corp, Hong Kong, Peoples R China; [Simpfendorfer, Colin A.] James Cook Univ, Coll Sci &amp; Engn, Douglas, Qld, Australia; [Simpfendorfer, Colin A.] Univ Tasmania, Inst Marine &amp; Antarctic Studies, Hobart, Tas, Australia; [Chapman, Demian D.] Mote Marine Lab, Ctr Shark Res, Sarasota, FL 34236 USA</t>
  </si>
  <si>
    <t>State University System of Florida; Florida International University; James Cook University; University of Tasmania; Mote Marine Laboratory &amp; Aquarium</t>
  </si>
  <si>
    <t>Cardeñosa, D (corresponding author), Florida Int Univ, Dept Biol Sci, 3000 NE 151st St, North Miami, FL 33181 USA.</t>
  </si>
  <si>
    <t>dcardeno@fiu.edu</t>
  </si>
  <si>
    <t>Simpfendorfer, Colin A/G-9681-2011</t>
  </si>
  <si>
    <t>Pew Charitable Trusts; Roe Foundation; Shark Conservation Fund</t>
  </si>
  <si>
    <t>We would like to thank Feng Yang for his support to the Kadoorie Farm and Botanic Garden's laboratory and the volunteers who helped us during the duration of this study. We also want to thank the reviewers and editors (especially N. Dulvy) for their valuable comments to improve the quality of this manuscript. This work was supported by the Pew Charitable Trusts, the Pew Fellowship Program, the Roe Foundation, and the Shark Conservation Fund (to D.D.C.).</t>
  </si>
  <si>
    <t>e12910</t>
  </si>
  <si>
    <t>10.1111/conl.12910</t>
  </si>
  <si>
    <t>WOS:000822723600001</t>
  </si>
  <si>
    <t>Constable, AJ; French, S; Karoblyte, V; Viner, D</t>
  </si>
  <si>
    <t>Constable, Andrew J.; French, Simon; Karoblyte, Vita; Viner, David</t>
  </si>
  <si>
    <t>Decision-Making for Managing Climate-Related Risks: Unpacking the Decision Process to Avoid Trial-and-Error Responses</t>
  </si>
  <si>
    <t>climate change; risk management; climate governance; cynefin; climate mitigation; climate adaptation; decision analysis</t>
  </si>
  <si>
    <t>EVIDENTIAL REASONING APPROACH; PROBLEM STRUCTURING METHODS; COST-BENEFIT-ANALYSIS; ADAPTATION PATHWAYS; DEEP UNCERTAINTY; CHANGE IMPACTS; MANAGEMENT; VULNERABILITY; OPTIMIZATION; ROBUSTNESS</t>
  </si>
  <si>
    <t>We provide an overview of decision support tools and methods that are available for managing climate-related risks and for delivering adaptation and resilience options and solutions. The importance of understanding political, socio-economic and cultural contexts and the decision processes that these tools support is emphasized. No tool or method is universally suited to all circumstances. Some decision processes are structured with formal governance requirements; while others are less so. In all cases, discussions and interactions with stakeholders and other players will have formal and informal aspects. We categorize decision support tools in several broad ways with the aim of helping decision makers and their advisors select tools that are appropriate to their culture, resources and other circumstances. The assessment examines the constraints and methodological assumptions that need be considered.</t>
  </si>
  <si>
    <t>[Constable, Andrew J.] Univ Tasmania, Ctr Marine Socioecol, Hobart, Tas, Australia; [Constable, Andrew J.] Univ Tasmania, Australian Antarctic Program Partnership, Hobart, Tas, Australia; [French, Simon] Alliance Manchester Business Sch, Manchester, England; [Viner, David] CGG, London, England</t>
  </si>
  <si>
    <t>University of Tasmania; University of Tasmania; University of Manchester; Alliance Manchester Business School</t>
  </si>
  <si>
    <t>Constable, AJ (corresponding author), Univ Tasmania, Ctr Marine Socioecol, Hobart, Tas, Australia.;Constable, AJ (corresponding author), Univ Tasmania, Australian Antarctic Program Partnership, Hobart, Tas, Australia.</t>
  </si>
  <si>
    <t>a.constable@utas.edu.au</t>
  </si>
  <si>
    <t>JUL 11</t>
  </si>
  <si>
    <t>10.3389/fclim.2022.754264</t>
  </si>
  <si>
    <t>K8ZA3</t>
  </si>
  <si>
    <t>WOS:001019252900001</t>
  </si>
  <si>
    <t>Guerrero-Murcia, LA; Helenes, J; di Pasquo, M; Martin, J</t>
  </si>
  <si>
    <t>Guerrero-Murcia, Luis-Andres; Helenes, Javier; di Pasquo, Mercedes; Martin, James</t>
  </si>
  <si>
    <t>Dinoflagellate cysts from the Upper Cretaceous (Campanian-Maastrichtian) from The Naze Peninsula, James Ross Island, Antarctica</t>
  </si>
  <si>
    <t>Dino flagellates cysts; Biostratigraphy; Paleoecology; Antarctic Peninsula; Paleoproductivity</t>
  </si>
  <si>
    <t>SEYMOUR-ISLAND; PALYNOLOGICAL EVIDENCE; SURFACE SEDIMENTS; CAPE LAMB; STRATIGRAPHY; QUATERNARY; VEGETATION; SALINITY; AREA; ICE</t>
  </si>
  <si>
    <t>We present the results of the quantitative and qualitative study of dinoflagellate cysts in outcrop samples from a section of the Snow Hill Island Formation (SHF) in James Ross Island, Antarctic. Dinoflagellate cysts assemblages are abundant and dominated by gonyaulacoid taxa. The last occurrence of the dino-flagellate cyst Kallosphaeridium? helbyi and Chatangiella granulifera, together with the first occurrence of Pterodinium cretaceum, indicates a probable late Campanian age (-76.4--72.1 Ma) for the lower strata. Whereas the first occurrence of Manumiella bertodano and the last occurrence of Odontochitina oper-culata, Xenascus ceratioides, and Stiphrosphaeridium anthophorum indicate an early Maastrichtian (-72.1--70.0 Ma) age for the upper strata. Our results, combined with paleobotanical and palynological published data, indicate medium-high continental and marine productivity with temperate paleo-climate free of glaciers for this interval. Lithological and paleontological data indicate mainly inner neritic marine depositional environments. The predominance of shales in the lower part of the lower Maas-trichtian interval indicates a slightly deeper environment. In contrast, in the middle part of the lower Maastrichtian, a shallower, transitional environment is marked by the presence of theropod dinosaurs and decapod crustaceans.&amp; COPY; 2022 Elsevier Ltd. All rights reserved.</t>
  </si>
  <si>
    <t>[Guerrero-Murcia, Luis-Andres; Helenes, Javier] Ctr Estudios Cient &amp; Educ Super Ensenada, Dept Geol, Carretera Ensenada Tijuana 3918, Ensenada 22860, BC, Mexico; [di Pasquo, Mercedes] Consejo Invest Cient &amp; Tecnol CONICET, Lab Palinoestratig &amp; Paleobot, CICyTTP CONICET, E3105BWA, Diamante, Entre Rios, Argentina; [Martin, James] Univ Louisiana, Sch Geosci, Lafayette, LA 70504 USA</t>
  </si>
  <si>
    <t>Consejo Nacional de Investigaciones Cientificas y Tecnicas (CONICET); University of Louisiana Lafayette</t>
  </si>
  <si>
    <t>Guerrero-Murcia, LA (corresponding author), Ctr Estudios Cient &amp; Educ Super Ensenada, Dept Geol, Carretera Ensenada Tijuana 3918, Ensenada 22860, BC, Mexico.</t>
  </si>
  <si>
    <t>lguerrero@cicese.edu.mx; jhelenes@cicese.mx; medipa@cicyttp.org.ar; jxm2118@louisiana.edu</t>
  </si>
  <si>
    <t>GUERRERO, LUIS/0000-0003-1751-0341</t>
  </si>
  <si>
    <t>10.1016/j.cretres.2022.105367</t>
  </si>
  <si>
    <t>L9TG8</t>
  </si>
  <si>
    <t>WOS:001026618300001</t>
  </si>
  <si>
    <t>Cramer, MD; Hedding, DW; Greve, M; Midgley, GF; Ripley, BS</t>
  </si>
  <si>
    <t>Cramer, Michael D.; Hedding, David W.; Greve, Michelle; Midgley, Guy F.; Ripley, Brad S.</t>
  </si>
  <si>
    <t>Plant specialisation may limit climate-induced vegetation change to within topographic and edaphic niches on a sub-Antarctic island</t>
  </si>
  <si>
    <t>FUNCTIONAL ECOLOGY</t>
  </si>
  <si>
    <t>climate change; Marion Island; niche specificity; range shift; species distribution models</t>
  </si>
  <si>
    <t>SOIL ORGANIC-MATTER; MARION-ISLAND; TERRESTRIAL HABITATS; ECOSYSTEM; RESOURCE; REGION; MICE; FLOW</t>
  </si>
  <si>
    <t>Extreme changes in temperature, rainfall and wind regimes have been correlated with plant species range expansion upslope on sub-Antarctic islands. Ongoing climatic changes are expected to continue driving changes in species distributions globally, but niche specialisations may limit the capacity for range shifts. We hypothesised that non-climatic characteristics of ecological niches of vascular plant species could limit climate induced range shifts. We determined the altitudinal ranges of vascular plant species (n = 13) on sub-Antarctic Marion Island and measured air temperature, topographic, foliar and soil properties along transects on geologically distinct substrates. Climatic and non-climatic associations were determined using multiple linear regression and boosted regression tree (BRT) analyses. The degree of niche specialisation was determined using outlying mean index analysis within the range of species on the island. Several species (7 of 13) exhibited niche-specialisation. Correlation analysis revealed that edaphic properties including soil depth, loss on ignition, the principal component of most soil nutrients (Mg, Cl, K, Ca, Cu, Zn, P, S), Si, Mn and clay dominated the BRT prediction of overall plant cover. Although air temperature was correlated with plant cover in linear models, model simplification dropped temperature in both BRT and linear models. As a consequence, multiple determinants, including temperature, climate, topography and soils control the distribution of vascular plant species on this sub-Antarctic island. Edaphic and topographic factors is likely to limit range-shifts of specialised vascular plant species and could limit their survival when climate change drives them beyond the extent of their particular ecological niches. Resilience of such species is likely poorly predicted by distribution models that depend heavily on climate rather than less labile non-climatic factors. Read the free Plain Language Summary for this article on the Journal blog.</t>
  </si>
  <si>
    <t>[Cramer, Michael D.] Univ Cape Town, Dept Biol Sci, Cape Town, South Africa; [Hedding, David W.] Univ South Africa, Dept Geog, Florida, South Africa; [Greve, Michelle] Univ Pretoria, Dept Plant &amp; Soil Sci, Pretoria, South Africa; [Midgley, Guy F.] Univ Stellenbosch, Dept Bot &amp; Zool, Stellenbosch, South Africa; [Ripley, Brad S.] Rhodes Univ, Dept Bot, Grahamstown, South Africa</t>
  </si>
  <si>
    <t>University of Cape Town; University of South Africa; University of Pretoria; Stellenbosch University; Rhodes University</t>
  </si>
  <si>
    <t>Cramer, MD (corresponding author), Univ Cape Town, Dept Biol Sci, Cape Town, South Africa.</t>
  </si>
  <si>
    <t>michael.cramer@uct.ac.za</t>
  </si>
  <si>
    <t>Midgley, Guy F./H-3585-2014; Cramer, Michael D/A-3213-2013; Hedding, David William/F-3044-2011</t>
  </si>
  <si>
    <t>Midgley, Guy F./0000-0001-8264-0869; Hedding, David William/0000-0002-9748-4499; Cramer, Michael/0000-0003-0989-3266; Greve, Michelle/0000-0002-6229-8506</t>
  </si>
  <si>
    <t>South African National Antarctic Programme [110734]</t>
  </si>
  <si>
    <t>South African National Antarctic Programme</t>
  </si>
  <si>
    <t>South African National Antarctic Programme, Grant/Award Number: 110734</t>
  </si>
  <si>
    <t>0269-8463</t>
  </si>
  <si>
    <t>1365-2435</t>
  </si>
  <si>
    <t>FUNCT ECOL</t>
  </si>
  <si>
    <t>Funct. Ecol.</t>
  </si>
  <si>
    <t>10.1111/1365-2435.14123</t>
  </si>
  <si>
    <t>5B5YV</t>
  </si>
  <si>
    <t>WOS:000822634400001</t>
  </si>
  <si>
    <t>Matskovsky, V; Roig, FA; Fuentes, M; Korneva, I; Araneo, D; Linderholm, HW; Aravena, JC</t>
  </si>
  <si>
    <t>Matskovsky, Vladimir; Roig, Fidel A.; Fuentes, Mauricio; Korneva, Irina; Araneo, Diego; Linderholm, Hans W.; Aravena, Juan Carlos</t>
  </si>
  <si>
    <t>Summer temperature changes in Tierra del Fuego since AD 1765: atmospheric drivers and tree-ring reconstruction from the southernmost forests of the world</t>
  </si>
  <si>
    <t>Southern Hemisphere; Nothofagus pumilio; Nothofagus betuloides; Dendroclimatology; Southern Atlantic; Partial least squares regression; Principal component regression</t>
  </si>
  <si>
    <t>LEAST-SQUARES REGRESSION; ANNULAR MODE; CLIMATE-CHANGE; CHRONOLOGY; IMPACT; GROWTH; BEECH; ENSO</t>
  </si>
  <si>
    <t>Proxy climate records, such as those derived from tree rings, are necessary to extend relatively short instrumental meteorological observations into the past. Tierra del Fuego is the most austral territory with forests in the world, situated close to the Antarctic Peninsula, which makes this region especially interesting for paleoclimatic research. However, high-quality, high-resolution summer temperature reconstruction are lacking in the region. In this study we used 63 tree-ring width chronologies of Nothofagus pumilio and Nothofagus betuloides and partial least squares regression (PLSR) to produce annually resolved December-to-February temperature reconstruction. The resulting reconstruction extends back to AD 1765 and explains 37-50% of instrumental temperature variability. We found that observed summer temperature variability in Tierra del Fuego is primarily driven by the fluctuations of atmospheric pressure systems both in the South Atlantic and South Pacific, while it is insignificantly correlated to major hemispheric modes: El Nino-Southern Oscillation and Southern Annular Mode. This fact makes our reconstruction important for climate modelling experiments, as it represents specific regional variability. Our reconstruction can be used for direct comparison with model outputs to better understand model limitations or to tune a model. The reconstruction can contribute to larger scale reconstructions based on paleoclimatic data assimilation. Moreover, we showed that PLSR has improved performance over principal component regression (PCR) in the case of multiple tree-ring predictors. According to these results, PLSR may be a preferable method over PCR for the use in automated tree-ring based reconstruction approaches, akin widely used point-by-point regression.</t>
  </si>
  <si>
    <t>[Matskovsky, Vladimir; Roig, Fidel A.; Araneo, Diego] Consejo Nacl Invest Cient &amp; Tecn, Inst Nivol Glaciol &amp; Environm Sci IANIGLA, Mendoza, Argentina; [Matskovsky, Vladimir; Korneva, Irina] Russian Acad Sci, Inst Geog, Moscow 119017, Russia; [Roig, Fidel A.] Univ Mayor, Fac Ciencias, Escuela Ingn Forestal, Hemera Ctr Observac La Tierra, Camino La Piramide 5750, Santiago, Chile; [Fuentes, Mauricio; Linderholm, Hans W.] Univ Gothenburg, Dept Earth Sci, Reg Climate Grp, Gothenburg, Sweden; [Aravena, Juan Carlos] Univ Magallanes, Gaia Antarct Res Ctr, Punta Arenas 6200000, Chile</t>
  </si>
  <si>
    <t>Consejo Nacional de Investigaciones Cientificas y Tecnicas (CONICET); Institute of Geography, Russian Academy of Sciences; Russian Academy of Sciences; Universidad Mayor; University of Gothenburg; Universidad de Magallanes</t>
  </si>
  <si>
    <t>Matskovsky, V (corresponding author), Consejo Nacl Invest Cient &amp; Tecn, Inst Nivol Glaciol &amp; Environm Sci IANIGLA, Mendoza, Argentina.;Matskovsky, V (corresponding author), Russian Acad Sci, Inst Geog, Moscow 119017, Russia.</t>
  </si>
  <si>
    <t>matskovsky@igras.ru</t>
  </si>
  <si>
    <t>Korneva, Irina/J-2245-2018; Linderholm, Hans W/N-1020-2013; Matskovsky, Vladimir/O-7929-2016</t>
  </si>
  <si>
    <t>Korneva, Irina/0000-0002-6453-8315; Matskovsky, Vladimir/0000-0002-3771-239X; Fuentes, Mauricio/0000-0003-1075-4749</t>
  </si>
  <si>
    <t>Russian Science Foundation [21-17-00264]; Ministry of Education and Science of the Russian Federation [FMGE-20190004, 075-15-2021-599]; Consejo Nacional de Investigaciones Cientificas y Tecnicas [PUE-0091/2016-CONICET]</t>
  </si>
  <si>
    <t>Russian Science Foundation(Russian Science Foundation (RSF)); Ministry of Education and Science of the Russian Federation(Ministry of Education and Science, Russian Federation); Consejo Nacional de Investigaciones Cientificas y Tecnicas(Consejo Nacional de Investigaciones Cientificas y Tecnicas (CONICET))</t>
  </si>
  <si>
    <t>The funding has been received from Russian Science Foundation with Grant no. 21-17-00264; Ministry of Education and Science of the Russian Federation with Grant no. FMGE-20190004;Mu Epsilon Gamma Alpha Gamma Rho Alpha Eta Tau(sync) with Grant no. 075-15-2021-599; Consejo Nacional de Investigaciones Cientificas y Tecnicas with Grant no. PUE-0091/2016-CONICET.</t>
  </si>
  <si>
    <t>10.1007/s00382-022-06384-0</t>
  </si>
  <si>
    <t>AG4F0</t>
  </si>
  <si>
    <t>WOS:000823370900001</t>
  </si>
  <si>
    <t>Ferderer, A; Davis, AR; Wong, MYL</t>
  </si>
  <si>
    <t>Ferderer, Aaron; Davis, Andrew R.; Wong, Marian Y. L.</t>
  </si>
  <si>
    <t>Temperature and body size influence personality and behavioural syndromes in an invasive crayfish</t>
  </si>
  <si>
    <t>ANIMAL BEHAVIOUR</t>
  </si>
  <si>
    <t>activity; animal personality; behaviour; crayfish; exploration; state dependence</t>
  </si>
  <si>
    <t>YABBY CHERAX-DESTRUCTOR; NEW-SOUTH-WALES; ANIMAL PERSONALITY; CLIMATE-CHANGE; LIFE-HISTORY; INDIVIDUAL-DIFFERENCES; INTRODUCED CRAYFISH; EASTERN DRAINAGES; TRAITS; GROWTH</t>
  </si>
  <si>
    <t>The presence of repeatable behaviours that vary between individuals (animal personality) and the mechanisms that underpin these behaviours are of significant ecological and evolutionary importance. With current climatic trends predicted to facilitate biological invasions, we sought to examine how personality and behavioural syndromes may influence invasion potential in the face of a changing climate. We assessed a population of an invasive crayfish, Cherax destructor, in a laboratory setting for (1) the presence of temporally and contextually repeatable behavioural differences between individuals along three axes: (i) activity, (ii) boldness/shyness and (iii) exploration/avoidance, (2) correlations between body size, sex and behavioural traits at the between-individual level, (3) the influence of predicted near-future increases in temperature on personality and (4) the presence of behavioural syndromes (between-individual correlations among behaviours). Individuals exhibited repeatable variation along the three behavioural axes, providing support for the presence of animal personality. Body size was negatively correlated with exploration and activity, but sex was unrelated to personality across the three axes. Exploration increased with temperature, whereas the effect of temperature on activity was dependent on the treatment order. Finally, activity and exploration were positively correlated, indicative of a behavioural syndrome. This study provides evidence of state-dependent personality and support for the existence of behavioural syndromes which may facilitate biological invasions. Our work also provides evidence to suggest that predicted future increases in temperature will promote exploratory behaviour in invasive populations of C. destructor. (c) 2022 The Association for the Study of Animal Behaviour. Published by Elsevier Ltd. All rights reserved.</t>
  </si>
  <si>
    <t>[Ferderer, Aaron; Davis, Andrew R.; Wong, Marian Y. L.] Univ Wollongong, Ctr Sustainable Ecosyst Solut, Sch Earth Atmospher &amp; Life Sci, Wollongong, NSW, Australia; [Ferderer, Aaron] Univ Tasmania, Inst Marine &amp; Antarctic Studies, Sch Ecol &amp; Biodivers, Hobart, Tas, Australia</t>
  </si>
  <si>
    <t>University of Wollongong; University of Tasmania</t>
  </si>
  <si>
    <t>Ferderer, A (corresponding author), Univ Wollongong, Ctr Sustainable Ecosyst Solut, Sch Earth Atmospher &amp; Life Sci, Wollongong, NSW, Australia.</t>
  </si>
  <si>
    <t>aaron.ferderer@utas.edu.au</t>
  </si>
  <si>
    <t>Wong, Marian YL/H-1871-2013</t>
  </si>
  <si>
    <t>Ferderer, Aaron/0000-0002-2191-515X</t>
  </si>
  <si>
    <t>0003-3472</t>
  </si>
  <si>
    <t>1095-8282</t>
  </si>
  <si>
    <t>ANIM BEHAV</t>
  </si>
  <si>
    <t>Anim. Behav.</t>
  </si>
  <si>
    <t>10.1016/j.anbehav.2022.06.009</t>
  </si>
  <si>
    <t>Behavioral Sciences; Zoology</t>
  </si>
  <si>
    <t>3U5DU</t>
  </si>
  <si>
    <t>WOS:000840992000003</t>
  </si>
  <si>
    <t>Arpi, B; McGee, J</t>
  </si>
  <si>
    <t>Arpi, Bruno; McGee, Jeffrey</t>
  </si>
  <si>
    <t>Fishing around the South Georgia Islands and the 'Question of the Falklands/Malvinas': Unprecedented challenges for the Antarctic Treaty System</t>
  </si>
  <si>
    <t>Antarctic Treaty System; CCAMLR; Argentina; United Kingdom; Chairman's Statement</t>
  </si>
  <si>
    <t>Despite lying outside the Antarctic Treaty area, the longstanding sovereignty dispute between Argentina and the United Kingdom over the Falklands/Malvinas, South Georgias, and the South Sandwich Islands (collectively known as the 'Question of Falklands/Malvinas') has significant implications for Antarctic governance. The South Georgias and South Sandwich Islands are within the CCAMLR Area and sites of significant fishing interest. Over the last four decades, CCAMLR has been able to avoid any confrontation between Argentina and the UK over regulation of fishing activities in waters surrounding these archipelagos. But at the 2021 CCAMLR meeting, Russia controversially blocked renewal of an existing conservation measure for international management of fishing for Patagonian toothfish in waters surrounding the South Georgias. Under the CCALMR regime, a provision known as the 'Chairman's Statement' allows member states to use national law to regulate fishing in waters surrounding islands within the CCAMLR Area over which state sovereignty is recognised by all Contracting Parties. However, there are differing interpretations on whether the Chairman's Statement allows a CCAMLR state to unilaterally use national law to allow fishing in waters surrounding islands which are under territorial dispute. While CCAMLR has so far avoided addressing this issue, as third parties' interests are involved, it will likely need to take a more active role in the near future. This article therefore assesses the serious challenges this issue raises for CCAMLR and the wider ATS and concludes by presenting paths that the Antarctic community could explore to reduce the present tensions.</t>
  </si>
  <si>
    <t>[Arpi, Bruno; McGee, Jeffrey] Univ Tasmania, Inst Marine &amp; Antarctic Studies, Private Bag 129, Hobart, Tas 7001, Australia; [Arpi, Bruno; McGee, Jeffrey] Univ Tasmania, Fac Law, Private Bag 89, Hobart, Tas 7001, Australia</t>
  </si>
  <si>
    <t>Arpi, B (corresponding author), Univ Tasmania, Inst Marine &amp; Antarctic Studies, Private Bag 129, Hobart, Tas 7001, Australia.</t>
  </si>
  <si>
    <t>bruno.arpi@utas.edu.au; Jeffrey.McGee@utas.edu.au</t>
  </si>
  <si>
    <t>McGee, Jeffrey s/K-7322-2015</t>
  </si>
  <si>
    <t>Arpi, Bruno/0000-0003-4714-7918</t>
  </si>
  <si>
    <t>Australian Research Council [DP190101214]</t>
  </si>
  <si>
    <t>Australian Research Council(Australian Research Council)</t>
  </si>
  <si>
    <t>This research was supported by the Australian Research Council Discovery Grant DP190101214 titled 'Geopolitical Change and the Antarctic Treaty System'.</t>
  </si>
  <si>
    <t>10.1016/j.marpol.2022.105201</t>
  </si>
  <si>
    <t>3B7ST</t>
  </si>
  <si>
    <t>WOS:000828137300008</t>
  </si>
  <si>
    <t>Manco, F; Lang, SDJ; Trathan, PN</t>
  </si>
  <si>
    <t>Manco, Fabrizio; Lang, Stephen D. J.; Trathan, Philip N.</t>
  </si>
  <si>
    <t>Predicting foraging dive outcomes in chinstrap penguins using biologging and animal-borne cameras</t>
  </si>
  <si>
    <t>BEHAVIORAL ECOLOGY</t>
  </si>
  <si>
    <t>biologging; chinstrap penguins; foraging ecology; movement ecology; Pygoscelis antarcticus; random forest</t>
  </si>
  <si>
    <t>KRILL EUPHAUSIA-SUPERBA; SOUTH SHETLAND ISLANDS; DIVING BEHAVIOR; ADELIE; PREY; TRACKING; GENTOO; ACCELEROMETERS; TEMPERATURE; COEXISTENCE</t>
  </si>
  <si>
    <t>Direct observation of foraging behavior is not always possible, especially for marine species that hunt underwater. However, biologging and tracking devices have provided detailed information about how various species use their habitat. From these indirect observations, researchers have inferred behaviors to address a variety of research questions, including the definition of ecological niches. In this study, we deployed video cameras with GPS and time-depth recorders on 16 chinstrap penguins (Pygoscelis antarcticus) during the brood phase of the 2018-2019 breeding season on Signy (South Orkney Islands). More than 57 h of footage covering 770 dives were scrutinized by two observers. The outcome of each dive was classified as either no krill encounter, individual krill or krill swarm encounter and the number of prey items caught per dive was estimated. Other variables derived from the logging devices or from the environment were used to train a machine-learning algorithm to predict the outcome of each dive. Our results show that despite some limitations, the data collected from the footage was reliable. We also demonstrate that it was possible to accurately predict the outcome of each dive from dive and horizontal movement variables in a manner that has not been used for penguins previously. For example, our models show that a fast dive ascent rate and a high density of dives are good indicators of krill and especially of swarm encounter. Finally, we discuss how video footage can help build accurate habitat models to provide wider knowledge about predator behavior or prey distribution. Animal-borne cameras offer a penguin's-eye view of foraging dives, allowing the prediction of successful prey encounter. Deploying both video cameras and tracking devices on the same individuals provides unique data about the foraging behavior of this marine predator. From the footage, we are able to use both the vertical and horizontal movement of the animals to train a machine-learning model that can accurately predict the outcome of each foraging dive.</t>
  </si>
  <si>
    <t>[Manco, Fabrizio; Lang, Stephen D. J.] Anglia Ruskin Univ, Sch Life Sci, East Rd, Cambridge CB1 1PT, England; [Trathan, Philip N.] NERC, British Antarctic Survey, Madingley Rd, Cambridge CB3 0ET, England; [Lang, Stephen D. J.] Univ Exeter, Ctr Ecol &amp; Conservat, Exeter, Devon, England</t>
  </si>
  <si>
    <t>Anglia Ruskin University; UK Research &amp; Innovation (UKRI); Natural Environment Research Council (NERC); NERC British Antarctic Survey; University of Exeter</t>
  </si>
  <si>
    <t>Manco, F (corresponding author), Anglia Ruskin Univ, Sch Life Sci, East Rd, Cambridge CB1 1PT, England.</t>
  </si>
  <si>
    <t>fabrizio.manco@aru.ac.uk</t>
  </si>
  <si>
    <t>Lang, Stephen/0000-0001-5820-4346</t>
  </si>
  <si>
    <t>NERC/BAS [NEB1017, NEB1087]</t>
  </si>
  <si>
    <t>NERC/BAS(UK Research &amp; Innovation (UKRI)Natural Environment Research Council (NERC))</t>
  </si>
  <si>
    <t>This work was supported by NERC/BAS (NEB1017, NEB1087).</t>
  </si>
  <si>
    <t>1045-2249</t>
  </si>
  <si>
    <t>1465-7279</t>
  </si>
  <si>
    <t>BEHAV ECOL</t>
  </si>
  <si>
    <t>Behav. Ecol.</t>
  </si>
  <si>
    <t>NOV 7</t>
  </si>
  <si>
    <t>10.1093/beheco/arac066</t>
  </si>
  <si>
    <t>Behavioral Sciences; Biology; Ecology; Zoology</t>
  </si>
  <si>
    <t>Behavioral Sciences; Life Sciences &amp; Biomedicine - Other Topics; Environmental Sciences &amp; Ecology; Zoology</t>
  </si>
  <si>
    <t>5Y8KB</t>
  </si>
  <si>
    <t>WOS:000822434100001</t>
  </si>
  <si>
    <t>Mayk, D; Peck, LS; Backeljau, T; Harper, EM</t>
  </si>
  <si>
    <t>Mayk, Dennis; Peck, Lloyd S.; Backeljau, Thierry; Harper, Elizabeth M.</t>
  </si>
  <si>
    <t>Shell thickness of Nucella lapillus in the North Sea increased over the last 130 years despite ocean acidification</t>
  </si>
  <si>
    <t>MARINE FOULING COMMUNITIES; CARBONATE CHEMISTRY; DOG-WHELK; WATER TEMPERATURE; MYTILUS-EDULIS; BALTIC SEA; GLOBAL CHANGE; COASTAL ZONE; PEARL OYSTER; GROWTH</t>
  </si>
  <si>
    <t>Ocean acidification and global climate change are predicted to negatively impact marine calcifiers, with species inhabiting the intertidal zone being especially vulnerable. Current predictions of organism responses to projected changes are largely based on relatively short to medium term experiments over periods of a few days to a few years. Here we look at responses over a longer time span and present a 130-year shell shape and shell thickness record from archival museum collections of the marine intertidal predatory gastropod Nucella lapillus. We used multivariate ecological models to identify significant morphological trends through time and along environmental gradients and show that, contrary to global predictions, local N. lapillus populations built continuously thicker shells while maintaining a consistent shell shape throughout the last century. Marine gastropod shells have thickened over the past 130 years on the southern North Sea coast as local environmental conditions counteracted global ocean acidification, suggest analyses of a 130-year record of dog whelk morphology.</t>
  </si>
  <si>
    <t>[Mayk, Dennis; Peck, Lloyd S.; Harper, Elizabeth M.] Univ Cambridge, Dept Earth Sci, Downing St, Cambridge CB2 3EQ, England; [Mayk, Dennis; Harper, Elizabeth M.] British Antarctic Survey, Madingley Rd, Cambridge CB3 0ET, England; [Backeljau, Thierry] Royal Belgian Inst Nat Sci, Brussels, Belgium; [Backeljau, Thierry] Univ Antwerp, Evolutionary Ecol Grp, Antwerp, Belgium</t>
  </si>
  <si>
    <t>University of Cambridge; UK Research &amp; Innovation (UKRI); Natural Environment Research Council (NERC); NERC British Antarctic Survey; Royal Belgian Institute of Natural Sciences; University of Antwerp</t>
  </si>
  <si>
    <t>Mayk, D (corresponding author), Univ Cambridge, Dept Earth Sci, Downing St, Cambridge CB2 3EQ, England.;Mayk, D (corresponding author), British Antarctic Survey, Madingley Rd, Cambridge CB3 0ET, England.</t>
  </si>
  <si>
    <t>dm807@cam.ac.uk</t>
  </si>
  <si>
    <t>Harper, Elizabeth M/B-3890-2008</t>
  </si>
  <si>
    <t>Mayk, Dennis/0000-0002-5017-1495</t>
  </si>
  <si>
    <t>NERC [NE/L002507/1]</t>
  </si>
  <si>
    <t>We are indebted to Dr. Yves Samyn, curator of the invertebrate collections of RBINS for allowing us to study the archival Nucella lapillus material under his care. We thank three anonymous reviewers for their constructive assessment of an earlier version of this work which has greatly helped to improve this paper. This study was supported by a NERC studentship awarded to D.M. (NE/L002507/1).</t>
  </si>
  <si>
    <t>JUL 9</t>
  </si>
  <si>
    <t>10.1038/s43247-022-00486-7</t>
  </si>
  <si>
    <t>2T5BT</t>
  </si>
  <si>
    <t>Green Published, gold, Green Submitted, Green Accepted</t>
  </si>
  <si>
    <t>WOS:000822490700001</t>
  </si>
  <si>
    <t>Valjarevic, A; Milanovic, M; Gultepe, I; Filipovic, D; Lukic, T</t>
  </si>
  <si>
    <t>Valjarevic, Aleksandar; Milanovic, Misko; Gultepe, Ismail; Filipovic, Dejan; Lukic, Tin</t>
  </si>
  <si>
    <t>Updated Trewartha climate classification with four climate change scenarios</t>
  </si>
  <si>
    <t>climate scenarios; GIS; IPSL-CM6A-LR; MIROC6; updated Trewartha climate classification</t>
  </si>
  <si>
    <t>CARBON-DIOXIDE CONCENTRATIONS; GLOBAL CLIMATE; WORLD MAP; SURFACES; IMPACT; REGION; GIS</t>
  </si>
  <si>
    <t>The Updated Trewartha climate classification (TWCC) at global level shows the changes that are expected as a consequence of global temperature increase and imbalance of precipitation. This type of classification is more precise than the Koppen climate classification. Predictions included the increase in global temperature (T in degrees C) and change in the amount of precipitation (PA in mm). Two climate models MIROC6 and IPSL-CM6A- LR were used, along with 4261 meteorological stations from which the data on temperature and precipitation were taken. These climate models were used because they represent the most extreme models in the CMIP6 database. Four scenarios of climate change and their territories were analysed in accordance with the TWCC classification. Four scenarios of representative concentration pathway (RCP) by 2.6, 4.5, 6.0 and 8.5 W/m(2) follow the increase of temperature between 0.3 degrees C and 4.3 degrees C in relation to precipitation and are being analysed for the periods 2021-2040, 2041-2060, 2061-2080 and 2081-2100. The biggest extremes are shown in the last grid for the period 2081-2100, reflecting the increase of T up to 4.3 degrees C. With the help of GIS (geographical information systems) and spatial analyses, it is possible to estimate the changes in climate zones as well as their movement. Australia and South East Asia will suffer the biggest changes of biomes, followed by South America and North America. Climate belts to undergo the biggest change due to such temperature according to TWCC are Ar, Am, Aw and BS, BW, E, Ft and Fi. The Antarctic will lose 11.5% of the territory under Fi and Ft climates within the period between 2081 and 2100. The conclusion is that the climates BW, Bwh and Bwk, which represent the deserts, will increase by 119.8% with the increase of T by 4.3 degrees C.</t>
  </si>
  <si>
    <t>[Valjarevic, Aleksandar; Milanovic, Misko; Filipovic, Dejan] Univ Belgrade, Fac Geog, Dept Geospatial &amp; Environm Sci, Belgrade, Serbia; [Gultepe, Ismail] ECCC, Meteorol Res Div, Toronto, ON, Canada; [Gultepe, Ismail] Ontario Tech Univ, Engn &amp; Appl Sci, Oshawa, ON, Canada; [Gultepe, Ismail] Istinye Univ, Fac Engn, Istanbul, Turkey; [Lukic, Tin] Univ Novi Sad, Fac Sci, Dept Geog Tourism &amp; Hotel Management, Novi Sad, Serbia</t>
  </si>
  <si>
    <t>University of Belgrade; Istinye University; University of Novi Sad</t>
  </si>
  <si>
    <t>Valjarevic, A (corresponding author), Univ Belgrade, Fac Geog, Dept Geospatial &amp; Environm Sci, Belgrade, Serbia.</t>
  </si>
  <si>
    <t>aleksandar.valjarevic@gef.bg.ac.rs</t>
  </si>
  <si>
    <t>Valjarevic, Aleksandar/AAD-9359-2020</t>
  </si>
  <si>
    <t>Valjarevic, Aleksandar/0000-0003-2997-2164</t>
  </si>
  <si>
    <t>H2020 WIDESPREAD-05-2020-Twinning: ExtremeClimTwin from the European Union's Horizon 2020 research and innovation program [952384]</t>
  </si>
  <si>
    <t>H2020 WIDESPREAD-05-2020-Twinning: ExtremeClimTwin from the European Union's Horizon 2020 research and innovation program</t>
  </si>
  <si>
    <t>This research was supported by the H2020 WIDESPREAD-05-2020-Twinning: ExtremeClimTwin which has received funding from the European Union's Horizon 2020 research and innovation program under grant agreement No 952384. The authors acknowledge the support and constructive comments provided by Prof. Dr. Robert L. Wilby from the Department of Geography and Environment, Loughborough University, United Kingdom. The authors of this research are very grateful to the anonymous reviewers whose comments and suggestions significantly improved the overall quality of the manuscript.</t>
  </si>
  <si>
    <t>10.1111/geoj.12458</t>
  </si>
  <si>
    <t>6F9AS</t>
  </si>
  <si>
    <t>WOS:000822359900001</t>
  </si>
  <si>
    <t>Wirtz, A; Mazumder, D; Carter, CG; Codabaccus, MB; Fitzgibbon, QP; Smith, GG</t>
  </si>
  <si>
    <t>Wirtz, Andrea; Mazumder, Debashish; Carter, Chris G.; Codabaccus, M. Basseer; Fitzgibbon, Quinn P.; Smith, Gregory G.</t>
  </si>
  <si>
    <t>Application of stable isotope analysis to evaluate the assimilation of protein sources in juvenile slipper lobsters (Thenus australiensis)</t>
  </si>
  <si>
    <t>Protein sources; Stable isotope analysis; Growth performance; Assimilation proportion; Discrimination factor</t>
  </si>
  <si>
    <t>SOUTHERN ROCK LOBSTER; SPINY LOBSTER; DISCRIMINATION FACTORS; RELATIVE CONTRIBUTION; PANULIRUS-ORNATUS; LIPID EXTRACTION; DIETARY-PROTEIN; NUTRITIONAL CONDITION; GROWTH-PERFORMANCE; CARBON ISOTOPES</t>
  </si>
  <si>
    <t>Stable carbon and nitrogen isotope analyses were used to evaluate the contribution of five protein sources to the growth of juvenile slipper lobster Thenus australiensis. Protein sources tested were fish meal, krill meal, lupin meal, soybean meal and a squid by-product meal. A commercial in confidence basal mix was utilised to produce five experimental feeds containing 30% of each protein source. Juvenile lobsters were fed daily at 5% of their body weight for 12 weeks. Lobster performance was assessed by survival, feed intake and growth performance, and the effects of protein source on nutrient assimilation and discrimination factor were determined. The squid by-product meal, soybean meal, and krill meal produced better growth performance and survival. The specific growth rate on lupin meal was significantly (p &lt; 0.05) lower than all the other protein sources. Apparent feed intake was significantly (p &lt; 0.001) higher in squid by-product meal than lupin meal but with no significant differences in feed efficiency ratio. Protein source assimilation proportion in lobster ranged from 7% for soybean meal to 32% for squid by-product meal, whereby squid by-product meal and fish meal (29%) were the only protein sources assimilated at approximately their dietary inclusion level (30%). Overall, squid by-product meal had the best growth performance, high survival, and the highest assimilation into growth. This study demonstrated the potential of stable isotopic analysis to screen protein sources, evaluate the nutritional performance of the experimental feeds, and provide a deeper insight into ingredient utilisation. This study also provides the first whole-body isotopic discrimination factors for juvenile lobster, which can determine ingredient contribution to growth in future studies.</t>
  </si>
  <si>
    <t>[Wirtz, Andrea; Carter, Chris G.; Codabaccus, M. Basseer; Fitzgibbon, Quinn P.; Smith, Gregory G.] Univ Tasmania, Inst Marine &amp; Antarctic Studies IMAS, Private Bag 49, Hobart, Tas, Australia; [Mazumder, Debashish] Australian Nucl Sci &amp; Technol Org, Locked Bag 2001, Kirrawee DC, NSW 2232, Australia</t>
  </si>
  <si>
    <t>University of Tasmania; Australian Nuclear Science &amp; Technology Organisation</t>
  </si>
  <si>
    <t>Wirtz, A (corresponding author), Univ Tasmania, Inst Marine &amp; Antarctic Studies IMAS, Private Bag 49, Hobart, Tas, Australia.</t>
  </si>
  <si>
    <t>andrea.wirtz@utas.edu.au</t>
  </si>
  <si>
    <t>Carter, Chris Guy/A-3438-2008; Smith, Gregory/C-9263-2013</t>
  </si>
  <si>
    <t>Carter, Chris Guy/0000-0001-5210-1282; Fitzgibbon, Quinn/0000-0002-1104-3052; Williamson, Andrea/0000-0002-2498-8135; Smith, Gregory/0000-0002-8677-1230; codabaccus, mohamed/0000-0001-5108-373X</t>
  </si>
  <si>
    <t>Australian Research Council Industrial Transformation Hub for Sustainable Onshore Lobster Aquaculture [IH190100014]</t>
  </si>
  <si>
    <t>Australian Research Council Industrial Transformation Hub for Sustainable Onshore Lobster Aquaculture(Australian Research Council)</t>
  </si>
  <si>
    <t>This research was conducted by the Australian Research Council Industrial Transformation Hub for Sustainable Onshore Lobster Aquaculture (project number IH190100014). The views expressed herein are those of the authors and are not necessarily those of the Australian Government or Australian Research Council. We acknowledge and thank the Australian Nuclear and Technology Organisation staff for their assistance with equipment set-up and sample analyses. A special thank you to Jennifer van Holst (ANSTO) for helping to process and analyse the samples for stable isotopes.</t>
  </si>
  <si>
    <t>10.1016/j.aquaculture.2022.738570</t>
  </si>
  <si>
    <t>6M1WS</t>
  </si>
  <si>
    <t>WOS:000888667100012</t>
  </si>
  <si>
    <t>Ibanez, AE; Mills, WF; Bustamante, P; McGill, RAR; Morales, LM; Palacio, FX; Torres, DS; Haidr, NS; Mariano-Jelicich, R; Phillips, RA; Montalti, D</t>
  </si>
  <si>
    <t>Ibanez, A. E.; Mills, W. F.; Bustamante, P.; McGill, R. A. R.; Morales, L. M.; Palacio, F. X.; Torres, D. S.; Haidr, N. S.; Mariano-Jelicich, R.; Phillips, R. A.; Montalti, D.</t>
  </si>
  <si>
    <t>Variation in blood mercury concentrations in brown skuas (Stercorarius antarcticus) is related to trophic ecology but not breeding success or adult body condition</t>
  </si>
  <si>
    <t>Pollution; Top predator; Seabirds; Stable isotopes; Reproduction; Antarctica</t>
  </si>
  <si>
    <t>PERSISTENT ORGANIC POLLUTANTS; STABLE-ISOTOPE SIGNATURES; MIGRATION STRATEGIES; HABITAT PREFERENCES; DIET COMPOSITION; CATHARACTA-SKUA; FORAGING AREAS; SEABIRD; EXPOSURE; CONTAMINATION</t>
  </si>
  <si>
    <t>Mercury is a pervasive environmental contaminant that can negatively impact seabirds. Here, we measure total mercury (THg) concentrations in red blood cells (RBCs) from breeding brown skuas (Stercorarius antarcticus) (n = 49) at Esperanza/Hope Bay, Antarctic Peninsula. The aims of this study were to: (i) analyse RBCs THg con-centrations in relation to sex, year and stable isotope values of carbon (delta C-13) and nitrogen (delta N-15); and (ii) examine correlations between THg, body condition and breeding success. RBC THg concentrations were posi-tively correlated with delta N-15, which is a proxy of trophic position, and hence likely reflects the biomagnification process. Levels of Hg contamination differed between our study years, which is likely related to changes in diet and distribution. RBC THg concentrations were not related to body condition or breeding success, suggesting that Hg contamination is currently not a major conservation concern for this population.</t>
  </si>
  <si>
    <t>[Ibanez, A. E.; Morales, L. M.; Palacio, F. X.; Torres, D. S.; Montalti, D.] Div Zool Vert Museo la Plata FCNyM UNLP CONICET, Secc Ornitol, La Plata, Buenos Aires, Argentina; [Mills, W. F.; Phillips, R. A.] NERC, British Antarctic Survey, Cambridge CB3 0ET, England; [Bustamante, P.] La Rochelle Univ, Littoral Environm &amp; Soc LIENSs, UMR 7266, CNRS, 2 Rue Olympe Gouges, F-17000 La Rochelle, France; [Bustamante, P.] Inst Univ France IUF, 1 Rue Descartes, F-75005 Paris, France; [McGill, R. A. R.] Scottish Univ Environm, Stable Isotope Ecol Lab, Nat Environm Isotope Facil, Res Ctr, East Kibride G75 0QF, England; [Haidr, N. S.] Unidad Ejecutora Lillo CONICET FML, San Miguel De Tucuman, Tucuman, Argentina; [Mariano-Jelicich, R.] Univ Nacl Mar Plata, Inst Invest Marinas &amp; Costeras IIMyC, UNMdP CONICET, Mar Del Plata, Argentina; [Montalti, D.] Inst Antart Argentino, San Martin, Buenos Aires, Argentina; [Ibanez, A. E.] Div Zool Vert Museo La Plata FCNyM UNLP, Secc Ornitol, Paseo Bosque S-N,B1900FWA, RA-1900 La Plata, Buenos Aires, Argentina</t>
  </si>
  <si>
    <t>UK Research &amp; Innovation (UKRI); Natural Environment Research Council (NERC); NERC British Antarctic Survey; Centre National de la Recherche Scientifique (CNRS); CNRS - Institute of Ecology &amp; Environment (INEE); Institut Universitaire de France; National University of Mar del Plata; Consejo Nacional de Investigaciones Cientificas y Tecnicas (CONICET); Instituto Antartico Argentino</t>
  </si>
  <si>
    <t>Ibanez, AE (corresponding author), Div Zool Vert Museo la Plata FCNyM UNLP CONICET, Secc Ornitol, La Plata, Buenos Aires, Argentina.;Ibanez, AE (corresponding author), Div Zool Vert Museo La Plata FCNyM UNLP, Secc Ornitol, Paseo Bosque S-N,B1900FWA, RA-1900 La Plata, Buenos Aires, Argentina.</t>
  </si>
  <si>
    <t>aeibanez@fcnym.unlp.edu.ar</t>
  </si>
  <si>
    <t>Bustamante, Paco/G-5833-2011; Mills, William F/AAV-5737-2020; McGill, Rona/JAC-6969-2023</t>
  </si>
  <si>
    <t>Bustamante, Paco/0000-0003-3877-9390; Mills, William F/0000-0001-7170-5794;</t>
  </si>
  <si>
    <t>Instituto Antartico Argentino (IAA); CONICET; Agencia Nacional de Promocion Cientifica y Tecnologica (ANPCyT) [0158, PICT-2014-3323]; Natural Environmental Isotope Facility [2325.0920]; CPER (Contrat de Projet Etat- Region); FEDER (Fonds Europeen de Developpement Regional); Institut Universitaire de France (IUF); Direccion Nacional del Antartico (DNA)</t>
  </si>
  <si>
    <t>Instituto Antartico Argentino (IAA); CONICET(Consejo Nacional de Investigaciones Cientificas y Tecnicas (CONICET)); Agencia Nacional de Promocion Cientifica y Tecnologica (ANPCyT)(ANPCyTSpanish Government); Natural Environmental Isotope Facility; CPER (Contrat de Projet Etat- Region); FEDER (Fonds Europeen de Developpement Regional)(European Union (EU)); Institut Universitaire de France (IUF); Direccion Nacional del Antartico (DNA)</t>
  </si>
  <si>
    <t>The authors are grateful to the Direccion Nacional del Antartico (DNA) and Instituto Antartico Argentino (IAA) for the support of the field-work activities and logistics in the Antarctic. Thanks to CONICET and Agencia Nacional de Promocion Cientifica y Tecnologica (ANPCyT) for the financial support of this project (PIP- CONICET no. 0158 to DM; PICT-2014-3323 to AEI). Stable isotope analyses were funded by the Natural Environmental Isotope Facility (grant no. 2325.0920). The authors are grateful to Maud Brault-Favrou for her assistance with Hg analyses. Thanks are also due to the CPER (Contrat de Projet Etat- Region) and the FEDER (Fonds Europeen de Developpement Regional) for funding the AMA of LIENSs laboratory. The Institut Universitaire de France (IUF) is acknowledged for its support to P. Bustamante as a Senior Member</t>
  </si>
  <si>
    <t>10.1016/j.marpolbul.2022.113919</t>
  </si>
  <si>
    <t>6I3JV</t>
  </si>
  <si>
    <t>WOS:000886025600007</t>
  </si>
  <si>
    <t>Chastel, O; Fort, J; Ackerman, JT; Albert, C; Angelier, F; Basu, N; Blevin, P; Brault-Favrou, M; Bustnes, JO; Bustamante, P; Danielsen, J; Descamps, S; Dietz, R; Erikstad, KE; Eulaers, I; Ezhov, A; Fleishman, AB; Gabrielsen, GW; Gavrilo, M; Gilchrist, G; Gilg, O; Gislason, S; Golubova, E; Goutte, A; Gremillet, D; Hallgrimsson, GT; Hansen, ES; Hanssen, SA; Hatch, S; Huffeldt, NP; Jakubas, D; Jonsson, JE; Kitaysky, AS; Kolbeinsson, Y; Krasnov, Y; Letcher, RJ; Linnebjerg, JF; Mallory, M; Merkel, FR; Moe, B; Montevecchi, WJ; Mosbech, A; Olsen, B; Orben, RA; Provencher, JF; Ragnarsdottir, SB; Reiertsen, TK; Rojek, N; Romano, M; Sondergaard, J; Strom, H; Takahashi, A; Tartu, S; Thorarinsson, TL; Thiebot, JB; Will, AP; Wilson, S; Wojczulanis-Jakubas, K; Yannic, G</t>
  </si>
  <si>
    <t>Chastel, Olivier; Fort, Jerome; Ackerman, Joshua T.; Albert, Celine; Angelier, Frederic; Basu, Niladri; Blevin, Pierre; Brault-Favrou, Maud; Bustnes, Jan Ove; Bustamante, Paco; Danielsen, Johannis; Descamps, Sebastien; Dietz, Rune; Erikstad, Kjell Einar; Eulaers, Igor; Ezhov, Alexey; Fleishman, Abram B.; Gabrielsen, Geir W.; Gavrilo, Maria; Gilchrist, Grant; Gilg, Olivier; Gislason, Sindri; Golubova, Elena; Goutte, Aurelie; Gremillet, David; Hallgrimsson, Gunnar T.; Hansen, Erpur S.; Hanssen, Sveinn Are; Hatch, Scott; Huffeldt, Nicholas P.; Jakubas, Dariusz; Jonsson, Jon Einar; Kitaysky, Alexander S.; Kolbeinsson, Yann; Krasnov, Yuri; Letcher, Robert J.; Linnebjerg, Jannie F.; Mallory, Mark; Merkel, Flemming Ravn; Moe, Borge; Montevecchi, William J.; Mosbech, Anders; Olsen, Bergur; Orben, Rachael A.; Provencher, Jennifer F.; Ragnarsdottir, Sunna B.; Reiertsen, Tone K.; Rojek, Nora; Romano, Marc; Sondergaard, Jens; Strom, Hallvard; Takahashi, Akinori; Tartu, Sabrina; Thorarinsson, Thorkell L.; Thiebot, Jean-Baptiste; Will, Alexis P.; Wilson, Simon; Wojczulanis-Jakubas, Katarzyna; Yannic, Glenn</t>
  </si>
  <si>
    <t>Mercury contamination and potential health risks to Arctic seabirds and shorebirds</t>
  </si>
  <si>
    <t>Mercury; Arctic; Birds; Toxicitybenchmarks; Toxicologicaleffects</t>
  </si>
  <si>
    <t>PERSISTENT ORGANIC POLLUTANTS; THYROID-HORMONE STATUS; DOUBLE-STRAND BREAKS; MARINE FOOD-WEB; OXIDATIVE STRESS; TEMPORAL TRENDS; CLIMATE-CHANGE; TRACE-ELEMENTS; BODY CONDITION; ANTIPARASITE TREATMENT</t>
  </si>
  <si>
    <t>Since the last Arctic Monitoring and Assessment Programme (AMAP) effort to review biological effects of mercury (Hg) on Arctic biota in 2011 and 2018, there has been a considerable number of new Arctic bird studies. This review article provides contemporary Hg exposure and potential health risk for 36 Arctic seabird and shorebird species, rep-resenting a larger portion of the Arctic than during previous AMAP assessments now also including parts of the Russian Arctic. To assess risk to birds, we used Hg toxicity benchmarks established for blood and converted to egg, liver, and feather tissues. Several Arctic seabird populations showed Hg concentrations that exceeded toxicity benchmarks, with 50 % of individual birds exceeding the no adverse health effect level. In particular, 5 % of all studied birds were con-sidered to be at moderate or higher risk to Hg toxicity. However, most seabirds (95 %) were generally at lower risk to Hg toxicity. The highest Hg contamination was observed in seabirds breeding in the western Atlantic and Pacific Oceans. Most Arctic shorebirds exhibited low Hg concentrations, with approximately 45 % of individuals categorized at no risk, 2.5 % at high risk category, and no individual at severe risk. Although the majority Arctic-breeding seabirds and shorebirds appeared at lower risk to Hg toxicity, recent studies have reported deleterious effects of Hg on some pituitary hormones, genotoxicity, and reproductive performance. Adult survival appeared unaffected by Hg exposure, although long-term banding studies incorporating Hg are still limited. Although Hg contamination across the Arctic is considered low for most bird species, Hg in combination with other stressors, including other contaminants, diseases, parasites, and climate change, may still cause adverse effects. Future investigations on the global impact of Hg on Arc-tic birds should be conducted within a multi-stressor framework. This information helps to address Article 22 (Effec-tiveness Evaluation) of the Minamata Convention on Mercury as a global pollutant.</t>
  </si>
  <si>
    <t>[Chastel, Olivier; Angelier, Frederic; Tartu, Sabrina] La Rochelle Univ, Ctr Etud Biol Chize CEBC, UMR CNRS 7372, F-79360 Villiers En Bois, France; [Fort, Jerome; Albert, Celine; Brault-Favrou, Maud; Bustamante, Paco] La Rochelle Univ, Littoral Environm &amp; Soc LIENSs, UMR CNRS 7266, F-17000 La Rochelle, France; [Ackerman, Joshua T.] US Geol Survey, Western Ecol Res Ctr, Dixon Field Stn, 800 Business Pk Dr,Suite D, Dixon, CA 95620 USA; [Basu, Niladri] McGill Univ, Fac Agr &amp; Environm Sci, Montreal, PQ H9X 3V9, Canada; [Blevin, Pierre] Akvaplan Niva AS, FRAM Ctr, N-9296 Tromso, Norway; [Bustnes, Jan Ove; Erikstad, Kjell Einar; Reiertsen, Tone K.] Norwegian Inst Nat Res, FRAM Ctr, N-9296 Tromso, Norway; [Bustamante, Paco] Inst Univ France IUF, F-75005 Paris, France; [Danielsen, Johannis] Faroe Marine Res Inst, Torshavn 100, Faroe Islands; [Descamps, Sebastien; Eulaers, Igor; Gabrielsen, Geir W.; Strom, Hallvard] Norwegian Polar Res Inst, Fram Ctr, N-9296 Tromso, Norway; [Dietz, Rune; Eulaers, Igor; Huffeldt, Nicholas P.; Linnebjerg, Jannie F.; Merkel, Flemming Ravn; Mosbech, Anders; Sondergaard, Jens] Aarhus Univ, Dept Ecosci, DK-4000 Roskilde, Denmark; [Ezhov, Alexey; Krasnov, Yuri] Russian Acad Sci, Murmansk Marine Biol Inst, Vladimirskaya str 17, Murmansk 183010, Russia; [Fleishman, Abram B.] Conservat Metr Inc, Santa Cruz, CA USA; [Gavrilo, Maria] Arctic &amp; Antarctic Res Inst, St Petersburg 199397, Russia; [Gilchrist, Grant; Letcher, Robert J.] Carleton Univ, Natl Wildlife Res Ctr, Environm &amp; Climate Change Canada, 1125 Colonel Dr,Raven Rd, Ottawa, ON K1A 0H3, Canada; [Gilg, Olivier] Univ Bourgogne Franche Comte, Lab Chrono Environm, UMR 6249, F-25000 Besancon, France; [Gilg, Olivier] Grp Rech Ecol Arctique, 16 Rue Vernot, F-21440 Francheville, France; [Gislason, Sindri] Southwest Iceland Nat Res Ctr, Gardvegur 1, IS-245 Sudurnesjabaer, Iceland; [Golubova, Elena] Inst Biol Problems North, Lab Ornithol, Portovaya Str 18, RU-685000 Magadan, Russia; [Goutte, Aurelie] PSL Res Univ, EPHE, UMR METIS 7619, F-75005 Paris, France; [Gremillet, David] Univ Montpellier, Ctr Ecol Fonct &amp; Evolut CEFE, CNRS, EPHE,IRD,UMR 5175, Montpellier, France; [Gremillet, David] Univ Cape Town, Percy FitzPatrick Inst African Ornithol, Rondebosch, South Africa; [Hallgrimsson, Gunnar T.] Univ Iceland, Dept Life &amp; Environm Sci, IS-102 Reykjavik, Iceland; [Hansen, Erpur S.] South Iceland Nat Res Ctr, AEgisgata 2, IS-900 Vestmannaeyjar, Iceland; [Hanssen, Sveinn Are] Norwegian Inst Nat Res, N-0855 Oslo, Norway; [Hatch, Scott] Inst Seabird Res &amp; Conservat, Anchorage, AK 99516 USA; [Huffeldt, Nicholas P.; Merkel, Flemming Ravn] Greenland Inst Nat Resources, Nuuk 3900, Greenland; [Jakubas, Dariusz; Wojczulanis-Jakubas, Katarzyna] Univ Gdansk, Dept Vertebrate Ecol &amp; Zool, PL-80308 Gdansk, Poland; [Jonsson, Jon Einar] Univ Icelands, Res Ctr Snaefellsnes, IS-340 Stykkisholmur, Iceland; [Kitaysky, Alexander S.; Will, Alexis P.] Univ Alaska Fairbanks, Inst Arctic Biol, Dept Biol &amp; Wildlife, Fairbanks, AK 99775 USA; [Kolbeinsson, Yann; Thorarinsson, Thorkell L.] Northeast Iceland Nat Res Ctr, IS-640 Husavik, Iceland; [Mallory, Mark] Acadia Univ Wolfville, Biol, Wolfville, NS B4P 2R6, Canada; [Moe, Borge] Norwegian Inst Nat Res, N-7485 Trondheim, Norway; [Montevecchi, William J.] Mem Univeris Newfoundland &amp; Labrador, St John, NF A1C 3X9, Canada; [Olsen, Bergur] Faroe Marine Res Inst, Noatun 1, FO-110 Torshavn, Faroe Islands; [Orben, Rachael A.] Oregon State Univ, Hatfield Marine Sci Ctr, Dept Fisheries Wildlife &amp; Conservat Sci, Newport, OR USA; [Provencher, Jennifer F.] Environm &amp; Climate Change Canada, Sci &amp; Technol Branch, Ottawa, ON K1A 0H3, Canada; [Ragnarsdottir, Sunna B.] Iceland Inst Nat Hist, IS-600 Akureyri, Iceland; [Rojek, Nora; Romano, Marc] US Fish &amp; Wildlife Serv, Alaska Maritime Wildlife Refuge, Homer, AK USA; [Takahashi, Akinori; Thiebot, Jean-Baptiste; Will, Alexis P.] Natl Inst Polar Res, 10-3 Midori Cho, Tachikawa, Tokyo 1908518, Japan; [Wilson, Simon] Arctic Monitoring &amp; Assessment Programme AMAP Secr, Fram Ctr, Box 6606, N-9296 Tromso, Norway; [Yannic, Glenn] Univ Savoie Mont Blanc, Univ Grenoble Alpes, CNRS, LECA, F-38000 Grenoble, France</t>
  </si>
  <si>
    <t>United States Department of the Interior; United States Geological Survey; McGill University; Akvaplan-niva; Norwegian Institute Nature Research; Institut Universitaire de France; Faroe Marine Research Institute (FAMRI); Norwegian Polar Institute; Aarhus University; Russian Academy of Sciences; Arctic &amp; Antarctic Research Institute; Carleton University; Environment &amp; Climate Change Canada; Canadian Wildlife Service; National Wildlife Research Centre - Canada; Universite de Franche-Comte; Centre National de la Recherche Scientifique (CNRS); CNRS - Institute of Ecology &amp; Environment (INEE); Centre National de la Recherche Scientifique (CNRS); CNRS - Institute of Ecology &amp; Environment (INEE); Universite PSL; Ecole Pratique des Hautes Etudes (EPHE);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University of Cape Town; University of Iceland; Norwegian Institute Nature Research; Greenland Institute of Natural Resources; Fahrenheit Universities; University of Gdansk; University of Alaska System; University of Alaska Fairbanks; Norwegian Institute Nature Research; Faroe Marine Research Institute (FAMRI); Oregon State University; Environment &amp; Climate Change Canada; United States Department of the Interior; US Fish &amp; Wildlife Service; Research Organization of Information &amp; Systems (ROIS); National Institute of Polar Research (NIPR) - Japan; Universite Gustave-Eiffel; Communaute Universite Grenoble Alpes; Universite Grenoble Alpes (UGA); Centre National de la Recherche Scientifique (CNRS); Universite Savoie Mont Blanc</t>
  </si>
  <si>
    <t>Chastel, O (corresponding author), La Rochelle Univ, Ctr Etud Biol Chize CEBC, UMR CNRS 7372, F-79360 Villiers En Bois, France.;Fort, J (corresponding author), La Rochelle Univ, Littoral Environm &amp; Soc LIENSs, UMR CNRS 7266, F-17000 La Rochelle, France.;Ackerman, JT (corresponding author), US Geol Survey, Western Ecol Res Ctr, Dixon Field Stn, 800 Business Pk Dr,Suite D, Dixon, CA 95620 USA.</t>
  </si>
  <si>
    <t>olivier.chastel@cebc.cnrs.fr; jerome.fort@univ-lr.fr; jackerman@usgs.gov</t>
  </si>
  <si>
    <t>Hanssen, Sveinn Are/C-9989-2009; Hallgrimsson, Gunnar Thor T/M-3105-2015; Mallory, Mark L/A-1952-2017; Merkel, Flemming R/J-7409-2013; YANNIC, Glenn/HDO-0551-2022; Gremillet, David/W-1946-2018; Søndergaard, Jens/AAZ-1079-2020; Wojczulanis-Jakubas, Katarzyna/AAO-4126-2021; Provencher, Jennifer F/J-2839-2016; Hansen, Erpur Snær/V-1858-2018; Bustamante, Paco/G-5833-2011; GILG, Olivier/C-2588-2008; Jakubas, Dariusz/N-3680-2019; Huffeldt, Nicholas Per/AEX-3232-2022; Golubova, Elena/JWA-3087-2024; Eulaers, Igor/AAJ-5912-2020; Gabrielsen, Geir Wing/JDC-6415-2023; Jónsson, Jón Einar/K-7482-2015; Ackerman, Joshua T/AAF-9503-2019; Tartu, Sabrina/Q-4062-2018; Orben, Rachael A./H-9460-2019; Moe, Børge/P-2946-2015; Goutte, Aurelie/JZT-6808-2024; Mosbech, Anders/J-6591-2013</t>
  </si>
  <si>
    <t>Hanssen, Sveinn Are/0000-0003-1792-435X; YANNIC, Glenn/0000-0002-6477-2312; Søndergaard, Jens/0000-0001-7680-9920; Wojczulanis-Jakubas, Katarzyna/0000-0001-6230-0509; Hansen, Erpur Snær/0000-0001-6899-2817; Bustamante, Paco/0000-0003-3877-9390; Jakubas, Dariusz/0000-0002-1879-4342; Huffeldt, Nicholas Per/0000-0002-0154-2536; Golubova, Elena/0009-0002-8909-253X; Eulaers, Igor/0000-0002-7130-9932; Jónsson, Jón Einar/0000-0003-1198-786X; Ackerman, Joshua T/0000-0002-3074-8322; Orben, Rachael A./0000-0002-0802-407X; Merkel, Flemming Ravn/0000-0003-3779-8012; Thorarinsson, Thorkell Lindberg/0000-0002-1638-2555; albert, celine/0000-0001-8220-0476; Hallgrimsson, Gunnar Thor/0000-0002-3697-9148; Mosbech, Anders/0000-0002-7581-7037; Linnebjerg, Jannie Fries/0000-0003-4043-0606; Danielsen, Johannis/0000-0002-9775-4786; Gislason, Sindri/0000-0002-6325-672X; Basu, Niladri/0000-0002-2695-1037</t>
  </si>
  <si>
    <t>French National Agency for Scientific Research; French Arctic Initiative -CNRS (PARCS project); European Commission; USGS Ecosystem Mission Area's Environmental Health Program (Toxic Substances Hydrology and Contaminant Biology); Norwegian Polar Institute; French Polar Institute [ANR-16-TERC-0004, 388, ANR-20-CE34-0006]; ANR ILETOP; program SEAPOP through the Norwegian Research Council [FP7-CIG 631203]; region Nouvelle Aquitaine; Fram Center; North Pacific Research Board [330, 192141]; Japan Society for the Promotion of Science (KAKENHI) [388]; Arctic Challenge for Sustainability (ArCS) program of the Japan Ministry of Education, Culture, Sports, Science and Technology (MEXT) [ANR-16-CE34-0005]; CPER; FEDER; DANCEA (Danish Cooperation for Environment in the Arctic) program [1612-8]; [JP16H02705]; Agence Nationale de la Recherche (ANR) [ANR-16-CE34-0005, ANR-16-TERC-0004] Funding Source: Agence Nationale de la Recherche (ANR)</t>
  </si>
  <si>
    <t>French National Agency for Scientific Research; French Arctic Initiative -CNRS (PARCS project); European Commission(European Union (EU)European Commission Joint Research Centre); USGS Ecosystem Mission Area's Environmental Health Program (Toxic Substances Hydrology and Contaminant Biology); Norwegian Polar Institute; French Polar Institute; ANR ILETOP(Agence Nationale de la Recherche (ANR)); program SEAPOP through the Norwegian Research Council(Research Council of Norway); region Nouvelle Aquitaine(Region Nouvelle-Aquitaine); Fram Center; North Pacific Research Board; Japan Society for the Promotion of Science (KAKENHI)(Ministry of Education, Culture, Sports, Science and Technology, Japan (MEXT)Japan Society for the Promotion of ScienceGrants-in-Aid for Scientific Research (KAKENHI)); Arctic Challenge for Sustainability (ArCS) program of the Japan Ministry of Education, Culture, Sports, Science and Technology (MEXT); CPER; FEDER(European Union (EU)Spanish Government); DANCEA (Danish Cooperation for Environment in the Arctic) program; ; Agence Nationale de la Recherche (ANR)(Agence Nationale de la Recherche (ANR))</t>
  </si>
  <si>
    <t>This review is a result of efforts led by the Arctic Monitoring and Assessment Programme (AMAP) and the AMAP Mercury Expert Group to produce the 2021 AMAP Mercury Assessment. We thank assessment leads Rune Dietz (Aarhus University), John Chetelat (Environment and Climate Change Canada), and Simon Wilson (AMAP) for their guidance, support, and technical insights. We also thank Kyle Elliott, Michelle Fitzsimmons, Morten Frederiksen, Sarah Leclaire, Erlend Lorentzen, Benjamin Merkel, Allison Patterson, Isabeau Pratte, Kjetil Sagerup, Halfdan Helgason, Heather Renner, Gregory Robertson, Elena Tolmacheva and Grigori Tertiski for collecting and providing seabird samples. The ARCTOX programme is greatly acknowledged for providing unpublished data. ARCTOX has been funded by the French National Agency for Scientific Research (projects MAMBA ANR-16-TERC-0004, ILETOP ANR-16-CE34-0005 and ARCTIC STRESSORS ANR-20-CE34-0006), the French Arctic Initiative -CNRS (PARCS project), and the European Commission (FP7-CIG 631203 ARCTOX). JTA was funded by the USGS Ecosystem Mission Area's Environmental Health Program (Toxic Substances Hydrology and Contaminant Biology). Studies in Svalbard were supported by the Norwegian Polar Institute and the French Polar Institute (ORNITHO-ENDOCRINO project no 330, O. Chastel), the ANR ILETOP (ANR-16-CE34-0005) and the program SEAPOP (http://www.seapop.no/en/) through the Norwegian Research Council grant number 192141. We also thank the French Polar Institute for long-term support to the ADACLIM program (No 388). This is a contribution to the Excellence Chair ECOMM funded by the region Nouvelle Aquitaine. Additional funding was provided by the Fram Center for fieldwork (Multiple Stressor seabird project), the North Pacific Research Board (NPRB # 1612-8), the Japan Society for the Promotion of Science (KAKENHI, grant number JP16H02705), and the Arctic Challenge for Sustainability (ArCS) program of the Japan Ministry of Education, Culture, Sports, Science and Technology (MEXT). The authors thank the CPER and the FEDER for funding the AMA and IR-MS devices; K. Sagerup, S. Nilsen, A. Ask, T. Nordstad, C. Clement-Chastel, and M. Toolie for their help in fieldwork, C. Churlaud and M. Brault-Favrou for their assistance in Hg analyses. The Institut Universitaire de France (IUF) is acknowledged for its support to P. Bustamante as a Senior Member. Support was provided for the Danish participation of AMAP Assessment work by the DANCEA (Danish Cooperation for Environment in the Arctic) program. The use of trade, product, or firm names in the publication is for descriptive purposes and does not imply endorsement by the U.S. Government.</t>
  </si>
  <si>
    <t>10.1016/j.scitotenv.2022.156944</t>
  </si>
  <si>
    <t>3D7FL</t>
  </si>
  <si>
    <t>WOS:000829463100004</t>
  </si>
  <si>
    <t>Pedler, RL; Harris, JO; Thomson, NL; Buss, JJ; Stone, DAJ; Handlinger, JH</t>
  </si>
  <si>
    <t>Pedler, R. L.; Harris, J. O.; Thomson, N. L.; Buss, J. J.; Stone, D. A. J.; Handlinger, J. H.</t>
  </si>
  <si>
    <t>Development of a semi-quantitative scoring protocol for gill lesion assessment in greenlip abalone Haliotis laevigata held at elevated water temperature</t>
  </si>
  <si>
    <t>DISEASES OF AQUATIC ORGANISMS</t>
  </si>
  <si>
    <t>Hemocytes; Abalone; Gill histopathology; Summer mortality; Scoring protocol</t>
  </si>
  <si>
    <t>VIBRIO-HARVEYI; DISSEMINATED NEOPLASIA; OXIDATIVE STRESS; IMMUNE-RESPONSE; EUROPEAN ABALONE; DISSOLVED-OXYGEN; RED ABALONE; HISTOPATHOLOGY; TUBERCULATA; EXPOSURE</t>
  </si>
  <si>
    <t>Water temperatures that exceed thermal optimal ranges (similar to 19 to 22 degrees C for greenlip abalone Haliotis laevigata, depending on stock genetics) can be associated with abalone mortalities. We assessed histopathological changes in H. laevigata gills held in control (22 degrees C) or elevated (25 degrees C) water temperature conditions for 47 d by developing a new scoring protocol that incorporates histopathological descriptions and relative score summary. Lesions were allocated to 1 of 3 reaction patterns, (1) epithelial, (2) circulatory or (3) inflammatory, and scored based on their prevalence in gill leaflets. Indices for each reaction pattern were calculated and combined to provide an overall gill index. H. laevigata held in 25 degrees C water temperature had significantly more epithelial lifting and hemolymph channel enlargement and significantly higher gill and circulatory reaction pattern indices than H. laevigata held in 22 degrees C water temperature. One H. laevigata had a proliferation of unidentified cells in the v-shaped skeletal rod of a gill leaflet. The unidentified cells contained enlarged nuclei, a greater nucleus:cytoplasm ratio and, in some cases, mitotic figures. This cell population could represent a region of hematopoiesis in response to hemocyte loss or migration to a lesion. Without thorough diagnostic testing, the origin of these larger cells cannot be confirmed. The new scoring protocol developed will allow the standard quantification of gill lesions for H. laevigata, specifically for heat-related conditions, and could further be adapted for other Haliotis spp.</t>
  </si>
  <si>
    <t>[Pedler, R. L.; Harris, J. O.; Buss, J. J.; Stone, D. A. J.] Flinders Univ S Australia, Coll Sci &amp; Engn, Bedford Pk, SA 5042, Australia; [Harris, J. O.; Stone, D. A. J.] Marine Innovat Southern Australia, West Beach, SA 5024, Australia; [Thomson, N. L.; Stone, D. A. J.] Univ Adelaide, Sch Anim &amp; Vet Sci, Roseworthy, SA 5371, Australia; [Buss, J. J.] Dept Primary Ind &amp; Reg Fisheries &amp; Aquaculture, West Beach, SA 5024, Australia; [Stone, D. A. J.] South Australian Res &amp; Dev Inst, West Beach, SA 5024, Australia; [Handlinger, J. H.] Univ Tasmania, Inst Marine &amp; Antarctic Studies, Hobart, Tas 7001, Australia</t>
  </si>
  <si>
    <t>Flinders University South Australia; University of Adelaide; South Australian Research &amp; Development Institute (SARDI); University of Tasmania</t>
  </si>
  <si>
    <t>Harris, JO (corresponding author), Flinders Univ S Australia, Coll Sci &amp; Engn, Bedford Pk, SA 5042, Australia.;Harris, JO (corresponding author), Marine Innovat Southern Australia, West Beach, SA 5024, Australia.</t>
  </si>
  <si>
    <t>james.harris@flinders.edu.au</t>
  </si>
  <si>
    <t>Harris, James/C-8653-2009</t>
  </si>
  <si>
    <t>Harris, James/0000-0002-0997-3015</t>
  </si>
  <si>
    <t>South Australian Government; South Australian Research and Development Institute (SARDI); Marine Innovation Southern Australia (MISA); Australian Abalone Growers' Association; Aqua Feeds Australia; Eyre Peninsula Aquafeed (EPA)</t>
  </si>
  <si>
    <t>This research forms part of a larger South Australian Government funded Food Focus Program project entitled 'Thriving Abalone' and was supported by the South Australian Research and Development Institute (SARDI) and Marine Innovation Southern Australia (MISA), the Australian Abalone Growers' Association, Aqua Feeds Australia and Eyre Peninsula Aquafeed (EPA). We thank Mr Joel Scanlon of Aqua Feeds Australia Pty. Ltd. and Dr Thomas Coote and Mr Kym Heidenreich of EPA who provided ingredients and helped manufacture the diets. We also thank students from Flinders University and the University of Adelaide for their technical assistance during this study, including Dr Matthew Bansemer, Ms Krishna-Lee Currie, Mrs Elise Schaefer, Dr Georgia Mercer, Dr Hanru Wang, Dr James Forwood, Dr Duong Duong, Dr Thanh Hoang, Dr Ben Crowe, Mr Justin Sellars, Mr Rhys Johnson, Ms Sharni Lans, Mr Robert O'Reilly and Dr Maziidah Ab Rahman.</t>
  </si>
  <si>
    <t>0177-5103</t>
  </si>
  <si>
    <t>1616-1580</t>
  </si>
  <si>
    <t>DIS AQUAT ORGAN</t>
  </si>
  <si>
    <t>Dis. Aquat. Org.</t>
  </si>
  <si>
    <t>JUL 7</t>
  </si>
  <si>
    <t>10.3354/dao03673</t>
  </si>
  <si>
    <t>Fisheries; Veterinary Sciences</t>
  </si>
  <si>
    <t>4P0IF</t>
  </si>
  <si>
    <t>WOS:000855076000004</t>
  </si>
  <si>
    <t>Sun, TR; Hu, L; Zhang, SB; Li, XY; Meng, KL; Wu, XF; Wang, LF; Castro-Tirado, AJ</t>
  </si>
  <si>
    <t>Sun, Tianrui; Hu, Lei; Zhang, Songbo; Li, Xiaoyan; Meng, Kelai; Wu, Xuefeng; Wang, Lifan; Castro-Tirado, A. J.</t>
  </si>
  <si>
    <t>Pipeline for the Antarctic Survey Telescope 3-3 in Yaoan, Yunnan</t>
  </si>
  <si>
    <t>data analysis-astrometry-instrumentation; image processing; photometric-(stars); transient detection; convolutional neural networks-CNN</t>
  </si>
  <si>
    <t>IMAGE; REPRESENTATIONS; SOFTWARE</t>
  </si>
  <si>
    <t>AST3-3 is the third robotic facility of the Antarctic Survey Telescopes (AST3) for transient surveys to be deployed at Dome A, Antarctica. Due to the current pandemic, the telescope has been currently deployed at the Yaoan Observation Station in China, starting the commissioning observation and a transient survey. This article presented a fully automatic data processing system for AST3-3 observations. The transient detection pipeline uses state-of-the-art image subtraction techniques optimized for GPU devices. Image reduction and transient photometry are accelerated by concurrent task methods. Our Python-based system allows for transient detection from wide-field data in a real-time and accurate way. A ResNet-based rotational-invariant neural network was employed to classify the transient candidates. As a result, the system enables the auto-generation of transients and their light curves.</t>
  </si>
  <si>
    <t>[Sun, Tianrui; Hu, Lei; Zhang, Songbo; Meng, Kelai; Wu, Xuefeng] Chinese Acad Sci, Purple Mt Observ, Nanjing, Peoples R China; [Sun, Tianrui; Wu, Xuefeng] Univ Sci &amp; Technol China, Sch Astron &amp; Space Sci, Hefei, Peoples R China; [Li, Xiaoyan] Chinese Acad Sci, Nanjing Inst Astron Opt Instruments, Nanjing, Peoples R China; [Wang, Lifan] Texas A&amp;M Univ, George P &amp; Cynthia Woods Mitchell Inst Fundamental, Dept Phys &amp; Astron, College Stn, TX USA; [Castro-Tirado, A. J.] Inst Astrofis Andalucia, Stellar Phys Dept, Granada, Spain</t>
  </si>
  <si>
    <t>Chinese Academy of Sciences; Nanjing Institute of Astronomical Optics &amp; Technology, NAOC, CAS; Purple Mountain Observatory, CAS; Chinese Academy of Sciences; University of Science &amp; Technology of China, CAS; Chinese Academy of Sciences; Texas A&amp;M University System; Texas A&amp;M University College Station; Consejo Superior de Investigaciones Cientificas (CSIC); CSIC - Instituto de Astrofisica de Andalucia (IAA)</t>
  </si>
  <si>
    <t>Wu, XF (corresponding author), Chinese Acad Sci, Purple Mt Observ, Nanjing, Peoples R China.;Wu, XF (corresponding author), Univ Sci &amp; Technol China, Sch Astron &amp; Space Sci, Hefei, Peoples R China.</t>
  </si>
  <si>
    <t>xfwu@pmo.ac.cn</t>
  </si>
  <si>
    <t>Castro-Tirado, Alberto J./I-5039-2015</t>
  </si>
  <si>
    <t>Castro-Tirado, Alberto J./0000-0003-2999-3563</t>
  </si>
  <si>
    <t>National Natural Science Foundation of China [11725314, 12041306]; Major Science and Technology Project of Qinghai Province [2019-ZJ-A10]; ACAMAR Postdoctoral Fellow; China Postdoctoral Science Foundation [2020M681758]; Natural Science Foundation of Jiangsu Province [BK20210998]; State Agency for Research of the Spanish MCIU through the Center of Excellence Severo Ochoa [SEV-2017-0709]; China Scholarship Council (CSC) [202006340174]</t>
  </si>
  <si>
    <t>National Natural Science Foundation of China(National Natural Science Foundation of China (NSFC)); Major Science and Technology Project of Qinghai Province; ACAMAR Postdoctoral Fellow; China Postdoctoral Science Foundation(China Postdoctoral Science Foundation); Natural Science Foundation of Jiangsu Province(Natural Science Foundation of Jiangsu Province); State Agency for Research of the Spanish MCIU through the Center of Excellence Severo Ochoa(Spanish Government); China Scholarship Council (CSC)(China Scholarship Council)</t>
  </si>
  <si>
    <t>This work is partially supported by the National Natural Science Foundation of China (Grant Nos. 11725314 and 12041306), the Major Science and Technology Project of Qinghai Province (2019-ZJ-A10), the ACAMAR Postdoctoral Fellow, the China Postdoctoral Science Foundation (Grant No. 2020M681758) and the Natural Science Foundation of Jiangsu Province (grant No. BK20210998). TS and AC also acknowledge financial support from the State Agency for Research of the Spanish MCIU through the Center of Excellence Severo Ochoa award to the Instituto de Astrofisica de Andalucia (SEV-2017-0709). TS acknowledges the China Scholarship Council (CSC) for funding his PhD scholarship (202006340174).</t>
  </si>
  <si>
    <t>10.3389/fspas.2022.897100</t>
  </si>
  <si>
    <t>3E0FZ</t>
  </si>
  <si>
    <t>WOS:000829669500001</t>
  </si>
  <si>
    <t>Yung, CK; Morrison, AK; Hogg, AM</t>
  </si>
  <si>
    <t>Yung, Claire K.; Morrison, Adele K.; Hogg, Andrew McC</t>
  </si>
  <si>
    <t>Topographic Hotspots of Southern Ocean Eddy Upwelling</t>
  </si>
  <si>
    <t>upwelling; topography; energy conversion; baroclinic instability; eddy kinetic energy; Southern Ocean</t>
  </si>
  <si>
    <t>GLOBAL OVERTURNING CIRCULATION; KINETIC-ENERGY; DEEP; TRANSPORT; EDDIES; HEAT; PATHWAYS; DYNAMICS; CLOSURE; MODEL</t>
  </si>
  <si>
    <t>The upwelling of cold water from the depths of the Southern Ocean to its surface closes the global overturning circulation and facilitates uptake of anthropogenic heat and carbon. Upwelling is often conceptualised in a zonally averaged framework as the result of isopycnal flattening via baroclinic eddies. However, upwelling is zonally non-uniform and occurs in discrete hotspots near topographic features. The mechanisms that facilitate topographically confined eddy upwelling remain poorly understood and thus limit the accuracy of parameterisations in coarse-resolution climate models.Using a high-resolution global ocean sea-ice model, we calculate spatial distributions of upwelling transport and energy conversions associated with barotropic and baroclinic instability, derived from a thickness-weighted energetics framework. We find that five major topographic hotspots of upwelling, covering less than 30% of the circumpolar longitude range, account for up to 76% of the southward eddy upwelling transport. The conversion of energy into eddies via baroclinic instability is highly spatially correlated with upwelling transport, unlike the barotropic energy conversion, which is also an order of magnitude smaller than the baroclinic conversion. This result suggests that eddy parameterisations that quantify baroclinic energy conversions could be used to improve the simulation of upwelling hotspots in climate models. We also find that eddy kinetic energy maxima are found on average 110 km downstream of upwelling hotspots in accordance with sparse observations. Our findings demonstrate the importance of localised mechanisms to Southern Ocean dynamics.</t>
  </si>
  <si>
    <t>[Yung, Claire K.; Morrison, Adele K.; Hogg, Andrew McC] Australian Natl Univ, Res Sch Earth Sci, Canberra, ACT, Australia; [Yung, Claire K.; Hogg, Andrew McC] Australian Natl Univ, Australian Res Council, Ctr Excellence Climate Extremes, Canberra, ACT, Australia; [Morrison, Adele K.] Australian Natl Univ, Australian Ctr Excellence Antarctic Sci, Canberra, ACT, Australia</t>
  </si>
  <si>
    <t>Australian National University; Australian National University; Australian National University</t>
  </si>
  <si>
    <t>Yung, CK (corresponding author), Australian Natl Univ, Res Sch Earth Sci, Canberra, ACT, Australia.;Yung, CK (corresponding author), Australian Natl Univ, Australian Res Council, Ctr Excellence Climate Extremes, Canberra, ACT, Australia.</t>
  </si>
  <si>
    <t>claire.yung7@gmail.com</t>
  </si>
  <si>
    <t>Morrison, Adele K/C-1774-2012; Hogg, Andy McC./A-7553-2011</t>
  </si>
  <si>
    <t>Hogg, Andy McC./0000-0001-5898-7635; Yung, Claire/0000-0002-0052-7668</t>
  </si>
  <si>
    <t>Australian Research Council (ARC) DECRA Fellowship [DE170100184]; Australian National University National University Scholarship; ARC Centre of Excellence for Climate Extremes Honours Scholarship</t>
  </si>
  <si>
    <t>Australian Research Council (ARC) DECRA Fellowship(Australian Research Council); Australian National University National University Scholarship; ARC Centre of Excellence for Climate Extremes Honours Scholarship</t>
  </si>
  <si>
    <t>AM was supported by the Australian Research Council (ARC) DECRA Fellowship DE170100184. CY was supported by the Australian National University National University Scholarship, and the ARC Centre of Excellence for Climate Extremes Honours Scholarship.</t>
  </si>
  <si>
    <t>10.3389/fmars.2022.855785</t>
  </si>
  <si>
    <t>3E7OF</t>
  </si>
  <si>
    <t>WOS:000830169500001</t>
  </si>
  <si>
    <t>Millan, GCL; Veras, F; Stincone, P; Paillie-Jimenez, ME; Brandelli, A</t>
  </si>
  <si>
    <t>Millan, Gersi Cristina Lunar; Veras, FlavioFonseca; Stincone, Paolo; Paillie-Jimenez, Maria Elisa; Brandelli, Adriano</t>
  </si>
  <si>
    <t>Biological activities of whey protein hydrolysate produced by protease from the Antarctic bacterium Lysobacter sp. A03</t>
  </si>
  <si>
    <t>BIOCATALYSIS AND AGRICULTURAL BIOTECHNOLOGY</t>
  </si>
  <si>
    <t>Whey; Coldactiveprotease; Proteinhydrolysate; Bioactivepeptide; Antioxidantactivity; Antihypertensiveactivity</t>
  </si>
  <si>
    <t>ANGIOTENSIN-CONVERTING ENZYME; ACE-INHIBITORY-ACTIVITY; WATER-SOLUBLE EXTRACTS; BIOACTIVE PEPTIDES; CHEESE WHEY; ANTIOXIDANT ACTIVITY; OVINE; IDENTIFICATION; MECHANISMS</t>
  </si>
  <si>
    <t>Several biological activities have been related to peptides derived from food proteins. Short pep-tides encrypted within the original protein sequence can be released by the action of proteolytic enzymes, exerting several biological activities that can be useful in food preservation and as nu-traceutical compounds. In this study, bovine whey hydrolysates were produced using the pro-tease from Lysobacter sp. A03, a psychrotolerant bacterium from Antarctica. The antioxidant ac-tivity increased during whey protein hydrolysis, reaching radical scavenging values around 47% and 11% for ABTS (2,2 '-azinobis (3-ethylbenzothiazoline-6-sulfonic acid)) and DPPH (2,2-diphenyl-1-picryl-hydrazyl), respectively. The iron chelating capacity and TBARS values were high for non-hydrolyzed whey (about 69% and 87%, respectively), with no clear relationship with the hydrolysis time. A significant increase of antihypertensive activity, estimated by inhibi-tion of the angiotensin-I-converting enzyme (ACE), was recorded in 2 h reaching values about 91%. Bioactive peptides were predicted by in silico hydrolysis of major whey proteins using the BIOPEP-UWM database and de novo annotation after mass spectrometry analysis. This study indi-cates the potential of Lysobacter A03 protease to produce protein hydrolysates with antioxidant and antihypertensive activity.</t>
  </si>
  <si>
    <t>[Millan, Gersi Cristina Lunar; Veras, FlavioFonseca; Stincone, Paolo; Paillie-Jimenez, Maria Elisa; Brandelli, Adriano] Univ Fed Rio Grande, Lab Bioquim &amp; Microbiol Aplicada, Inst Ciencia &amp; Tecnol Alimentos, BR-91501970 Porto Alegre, Brazil; [Stincone, Paolo] Univ Tubingen, Interfac Inst Microbiol &amp; Med, CMFI Cluster Excellence, D-72076 Tubingen, Germany; [Brandelli, Adriano] ICTA UFRGS, Ave Bento Goncalves 9500, BR-91501970 Porto Alegre, Brazil</t>
  </si>
  <si>
    <t>Universidade Federal do Rio Grande; Eberhard Karls University of Tubingen; Universidade Federal do Rio Grande do Sul</t>
  </si>
  <si>
    <t>Brandelli, A (corresponding author), ICTA UFRGS, Ave Bento Goncalves 9500, BR-91501970 Porto Alegre, Brazil.</t>
  </si>
  <si>
    <t>abrand@ufrgs.br</t>
  </si>
  <si>
    <t>Fonseca Veras, Flavio/0000-0001-9194-1639; Stincone, Paolo/0000-0002-2214-6655; Brandelli, Adriano/0000-0002-9307-6471</t>
  </si>
  <si>
    <t>CNPq [306036/2017-8]; CAPES</t>
  </si>
  <si>
    <t>CNPq(Conselho Nacional de Desenvolvimento Cientifico e Tecnologico (CNPQ)); CAPES(Coordenacao de Aperfeicoamento de Pessoal de Nivel Superior (CAPES))</t>
  </si>
  <si>
    <t>Acknowledgments Authors thank the financial support of CNPq (grant 306036/2017-8) and CAPES for the scholarship for GCLM.</t>
  </si>
  <si>
    <t>1878-8181</t>
  </si>
  <si>
    <t>BIOCATAL AGR BIOTECH</t>
  </si>
  <si>
    <t>Biocatal. Agric. Biotechnol.</t>
  </si>
  <si>
    <t>10.1016/j.bcab.2022.102415</t>
  </si>
  <si>
    <t>3C4DN</t>
  </si>
  <si>
    <t>WOS:000828575300004</t>
  </si>
  <si>
    <t>Kürzinger, V; Diehl, A; Pereira, SI; Strauss, H; Bohrmann, G; Bach, W</t>
  </si>
  <si>
    <t>Kuerzinger, Victoria; Diehl, Alexander; Pereira, Samuel I.; Strauss, Harald; Bohrmann, Gerhard; Bach, Wolfgang</t>
  </si>
  <si>
    <t>Sulfur formation associated with coexisting sulfide minerals in the Kemp Caldera hydrothermal system, Scotia Sea</t>
  </si>
  <si>
    <t>SouthSandwicharc; KempCalderahydrothermalsystem; Elementalsulfur; ElevatedpH; Synproportionation</t>
  </si>
  <si>
    <t>SOUTH SANDWICH ARC; EASTERN MANUS BASIN; SUBMARINE VOLCANO; MANTLE FLOW; HOT-SPRINGS; ISLAND-ARC; FLUIDS; GEOCHEMISTRY; RIDGE; CHALCOPYRITE</t>
  </si>
  <si>
    <t>The Kemp Caldera is a submarine caldera located in the southernmost part of the intra-oceanic South Sandwich arc, Scotia Sea. The caldera comprises a unique hydrothermal system in which elemental sulfur (S0) coexists with sulfide minerals at unusually high pH-values (pH25 ???C 80 m apart. At Great Wall, sulfur is fine-crystalline, while at Toxic Castle S0 occurs in liquid form, forming amorphous and globular structures. Here, tabular plates of covellite are found as inclusions in the quenched sulfur. The fluids from both sites have pH-values of about 5.4 to 5.7 (at 25 ???C) and show a relatively wide temperature range from 63 to 200 ???C. The isotope values of sulfide and elemental sulfur range from 4.6 to 5.8 ???, while sulfate concentrations at Great Wall are lower than in seawater. Elemental sulfur in submarine arc/back-arc systems is commonly believed to form by disproportionation of SO2. It generally shows negative ??34S values and precipitates from acid-sulfate type hydrothermal fluids with pHvalues as low as &lt; 1. This formation mechanism, however, cannot explain the high pH and low sulfate concentration of the Great Wall fluid alongside high ??34S values of elemental sulfur and massive sulfides found at Kemp. Instead, we suggest that S0 formation at Kemp Caldera can be attributed to synproportionation of SO2 and H2S. This formation mechanism is thermodynamically feasible but has not been demonstrated to actually take place in hydrothermal systems. The association of elemental sulfur with covellite is also uncommon, but not unexpected in magmatic-hydrothermal systems. The uncommonly high pH-value is likely responsible for the precipitation of the metal sulfides, which are unusual for known acid-sulfate systems studied to date. Our study shows that the geochemical behavior of sulfur in arc/back-arc hydrothermal systems is more diverse than previously recognized.</t>
  </si>
  <si>
    <t>[Kuerzinger, Victoria; Diehl, Alexander; Bohrmann, Gerhard; Bach, Wolfgang] Univ Bremen, MARUM Ctr Marine Environm Sci, Leobener Str 8, D-28359 Bremen, Germany; [Kuerzinger, Victoria; Diehl, Alexander; Bohrmann, Gerhard; Bach, Wolfgang] Univ Bremen, Fac Geosci, Klagenfurter Str 2-4, D-28359 Bremen, Germany; [Pereira, Samuel I.] Univ Bergen, Dept Earth Sci, Realfagbygget, Allegaten 41, N-5007 Bergen, Norway; [Pereira, Samuel I.] Univ Bergen, Ctr Deep Sea Res, Realfagbygget, Allegaten 41, N-5007 Bergen, Norway; [Strauss, Harald] WWU Munster, Inst Geol &amp; Palaontol, Corrensstr 24, D-48149 Munster, Germany</t>
  </si>
  <si>
    <t>University of Bremen; University of Bremen; University of Bergen; University of Bergen; University of Munster</t>
  </si>
  <si>
    <t>Kürzinger, V (corresponding author), Univ Bremen, MARUM Ctr Marine Environm Sci, Leobener Str 8, D-28359 Bremen, Germany.</t>
  </si>
  <si>
    <t>vkuerzinger@marum.de</t>
  </si>
  <si>
    <t>Bach, Wolfgang/D-3713-2017; Diehl, Alexander/GZK-2552-2022; Bohrmann, Gerhard/D-4474-2017</t>
  </si>
  <si>
    <t>Bach, Wolfgang/0000-0002-3099-7142; Diehl, Alexander/0000-0001-8875-8796; Pereira, Samuel/0000-0001-6834-1459; Bohrmann, Gerhard/0000-0001-9976-4948</t>
  </si>
  <si>
    <t>German Federal Ministry of Education and Research [03G0880A]; German Research Foundation (Deutsche Forschungsgemeinschaft, DFG) within the Cluster of Excellence (EXC-2077) at MARUM - Center for Marine and Environmental Sciences, University of Bremen [390741603]</t>
  </si>
  <si>
    <t>German Federal Ministry of Education and Research(Federal Ministry of Education &amp; Research (BMBF)); German Research Foundation (Deutsche Forschungsgemeinschaft, DFG) within the Cluster of Excellence (EXC-2077) at MARUM - Center for Marine and Environmental Sciences, University of Bremen</t>
  </si>
  <si>
    <t>We thank Captain Moritz Langhinrichs and his crew from the R/V Polarstern for their support and excellent cooperation with the ROV MARUM QUEST 4000 team on cruise PS119, which was responsible for the sampling. Special thanks go to K. Linse (British Antarctic Survey, UK) and A. Lichtschlag (National Oceanography Centre, UK) for their support and planning during the ROV dives. Our thanks also go to Prof. Dr. Jill McDermott, Lehigh University, USA, who provided us IGT samplers. The PS119 expedition was funded by the German Federal Ministry of Education and Research (grant number 03G0880A) and by the German Research Foundation (Deutsche Forschungsgemeinschaft, DFG) within the Cluster of Excellence (EXC-2077, project number 390741603 ?The Ocean Floor - Earth?s Uncharted Interface?) at MARUM - Center for Marine and Environmental Sciences, University of Bremen.</t>
  </si>
  <si>
    <t>10.1016/j.chemgeo.2022.120927</t>
  </si>
  <si>
    <t>2W7JD</t>
  </si>
  <si>
    <t>WOS:000824695700002</t>
  </si>
  <si>
    <t>Herr, H; Viquerat, S; Devas, F; Lees, A; Wells, L; Gregory, B; Giffords, T; Beecham, D; Meyer, B</t>
  </si>
  <si>
    <t>Herr, Helena; Viquerat, Sacha; Devas, Fredi; Lees, Abigail; Wells, Lucy; Gregory, Bertie; Giffords, Ted; Beecham, Dan; Meyer, Bettina</t>
  </si>
  <si>
    <t>Return of large fin whale feeding aggregations to historical whaling grounds in the Southern Ocean</t>
  </si>
  <si>
    <t>WESTERN MEDITERRANEAN SEA; KRILL EUPHAUSIA-SUPERBA; BALAENOPTERA-PHYSALUS; ANTARCTIC PENINSULA; BALEEN WHALES; MEGAPTERA-NOVAEANGLIAE; SPATIAL MODELS; ABUNDANCE; ECOSYSTEM; HUMPBACK</t>
  </si>
  <si>
    <t>Fin whales (Balaenoptera physalus quoyi) of the Southern Hemisphere were brought to near extinction by twentieth century industrial whaling. For decades, they had all but disappeared from previously highly frequented feeding grounds in Antarctic waters. Our dedicated surveys now confirm their return to ancestral feeding grounds, gathering at the Antarctic Peninsula in large aggregations to feed. We report on the results of an abundance survey and present the first scientific documentation of large fin whale feeding aggregations at Elephant Island, Antarctica, including the first ever video documentation. We interpret high densities, re-establishment of historical behaviours and the return to ancestral feeding grounds as signs for a recovering population. Recovery of a large whale population has the potential to augment primary productivity at their feeding grounds through the effects of nutrient recycling, known as 'the whale pump'. The recovery of fin whales in that area could thus restore ecosystem functions crucial for atmospheric carbon regulation in the world's most important ocean region for the uptake of anthropogenic CO2.</t>
  </si>
  <si>
    <t>[Herr, Helena; Viquerat, Sacha] Univ Hamburg, Ctr Earth Syst Res &amp; Sustainabil, Inst Marine Ecosyst &amp; Fishery Sci, Grosse Elbstr 133, D-22767 Hamburg, Germany; [Herr, Helena; Viquerat, Sacha; Meyer, Bettina] Helmholtz Ctr Polar &amp; Marine Res, Alfred Wegener Inst, Handelshafen 12, D-27570 Bremerhaven, Germany; [Devas, Fredi; Lees, Abigail; Wells, Lucy; Gregory, Bertie; Giffords, Ted; Beecham, Dan] BBC Studios, Nat Hist Unit, Bridgewaterhouse, Bristol, Avon, England; [Meyer, Bettina] Carl von Ossietzky Univ Oldenburg, Inst Chem &amp; Biol Marine Environm, Carl von Ossietzky Str 9-11, D-26111 Oldenburg, Germany; [Meyer, Bettina] Univ Oldenburg HIFMB, Helmholtz Inst Funct Marine Biodivers, Ammerlander Heerstr 231, D-26129 Oldenburg, Germany</t>
  </si>
  <si>
    <t>University of Hamburg; Helmholtz Association; Alfred Wegener Institute, Helmholtz Centre for Polar &amp; Marine Research; Carl von Ossietzky Universitat Oldenburg</t>
  </si>
  <si>
    <t>Herr, H (corresponding author), Univ Hamburg, Ctr Earth Syst Res &amp; Sustainabil, Inst Marine Ecosyst &amp; Fishery Sci, Grosse Elbstr 133, D-22767 Hamburg, Germany.;Herr, H (corresponding author), Helmholtz Ctr Polar &amp; Marine Res, Alfred Wegener Inst, Handelshafen 12, D-27570 Bremerhaven, Germany.</t>
  </si>
  <si>
    <t>Herr, Helena/0000-0002-5028-2419; Viquerat, Sacha/0000-0002-2519-7319; Meyer, Bettina/0000-0001-6804-9896</t>
  </si>
  <si>
    <t>10.1038/s41598-022-13798-7</t>
  </si>
  <si>
    <t>2S8XG</t>
  </si>
  <si>
    <t>WOS:000822069800007</t>
  </si>
  <si>
    <t>Wolff, EW; Fischer, H; van Ommen, T; Hodell, DA</t>
  </si>
  <si>
    <t>Wolff, Eric W.; Fischer, Hubertus; van Ommen, Tas; Hodell, David A.</t>
  </si>
  <si>
    <t>Stratigraphic templates for ice core records of the past 1.5 Myr</t>
  </si>
  <si>
    <t>CLIMATE VARIABILITY; MILLENNIAL-SCALE; TEMPERATURE RECONSTRUCTION; OCEAN TEMPERATURE; ANTARCTIC CLIMATE; WATER ISOTOPES; MIS 19; VOLUME; DUST; EVOLUTION</t>
  </si>
  <si>
    <t>The international ice core community has a target to obtain continuous ice cores stretching back as far as 1.5 Myr. This would provide vital data (including a CO2 profile) allowing us to assess ideas about the cause of the Mid-Pleistocene Transition (MPT). The European Beyond EPICA project and the Australian Million Year Ice Core project each plan to drill such a core in the region known as Little Dome C. Dating the cores will be challenging, and one approach will be to match some of the records obtained with existing marine sediment datasets, informed by similarities in the existing 800 kyr period. Water isotopes in Antarctica have been shown to closely mirror deepwater temperature, estimated from Mg/Ca ratios of benthic foraminifera, in a marine core on the Chatham Rise near to New Zealand. The dust record in ice cores resembles very closely a South Atlantic marine record of iron accumulation rate. By assuming these relationships continue beyond 800 ka, our ice core record could be synchronised to dated marine sediments. This could be supplemented, and allow synchronisation at higher resolution, by the identification of rapid millennial-scale events that are observed both in Antarctic methane records and in emerging records of planktic oxygen isotopes and alkenone sea surface temperature (SST) from the Portuguese Margin. Although published data remain quite sparse, it should also be possible to match Be-10 from ice cores to records of geomagnetic palaeo-intensity and authigenic Be-10/(9) Be in marine sediments. However, there are a number of issues that have to be resolved before the ice core Be-10 record can be used. The approach of matching records to a template will be most successful if the new core is in stratigraphic order but should also provide constraints on disordered records if used in combination with absolute radiogenic ages.</t>
  </si>
  <si>
    <t>[Wolff, Eric W.; Hodell, David A.] Univ Cambridge, Dept Earth Sci, Cambridge, England; [Fischer, Hubertus] Univ Bern, Phys Inst &amp; Oeschger Ctr Climate Change Res, Climate &amp; Environm Phys, Bern, Switzerland; [van Ommen, Tas] Univ Tasmania, Australian Antarct Div, Hobart, Australia; [van Ommen, Tas] Univ Tasmania, Australian Antarct Program Partnership, Hobart, Australia</t>
  </si>
  <si>
    <t>University of Cambridge; University of Bern; Australian Antarctic Division; University of Tasmania; University of Tasmania</t>
  </si>
  <si>
    <t>Wolff, EW (corresponding author), Univ Cambridge, Dept Earth Sci, Cambridge, England.</t>
  </si>
  <si>
    <t>ew428@cam.ac.uk</t>
  </si>
  <si>
    <t>Wolff, Eric W/D-7925-2014; van Ommen, Tas/B-5020-2012; Fischer, Hubertus/A-1211-2014</t>
  </si>
  <si>
    <t>Wolff, Eric W/0000-0002-5914-8531; van Ommen, Tas/0000-0002-2463-1718; Fischer, Hubertus/0000-0002-2787-4221</t>
  </si>
  <si>
    <t>Horizon 2020 (Beyond EPICA) [815384]; Australian Government Department of Industry, Science, Energy and Resources [ASCI000002]; Royal Society Professorship [n180003]</t>
  </si>
  <si>
    <t>Horizon 2020 (Beyond EPICA)(Horizon 2020); Australian Government Department of Industry, Science, Energy and Resources; Royal Society Professorship(Royal Society)</t>
  </si>
  <si>
    <t>This research has been supported by the Horizon 2020 (Beyond EPICA (grant no. 815384)), by the Australian Government Department of Industry, Science, Energy and Resources (grant no. ASCI000002), and by the Royal Society Professorship (grant no. RP nR n180003).</t>
  </si>
  <si>
    <t>10.5194/cp-18-1563-2022</t>
  </si>
  <si>
    <t>2S2CO</t>
  </si>
  <si>
    <t>WOS:000821606000001</t>
  </si>
  <si>
    <t>Kittel, C; Amory, C; Hofer, S; Agosta, C; Jourdain, NC; Gilbert, E; Le Toumelin, L; Vignon, É; Gallée, H; Fettweis, X</t>
  </si>
  <si>
    <t>Kittel, Christoph; Amory, Charles; Hofer, Stefan; Agosta, Cecile; Jourdain, Nicolas C.; Gilbert, Ella; Le Toumelin, Louis; Vignon, Etienne; Gallee, Hubert; Fettweis, Xavier</t>
  </si>
  <si>
    <t>Clouds drive differences in future surface melt over the Antarctic ice shelves</t>
  </si>
  <si>
    <t>MASS-BALANCE; RADIATIVE PROPERTIES; ENERGY BALANCE; ACCURATE PARAMETERIZATION; SATELLITE-OBSERVATIONS; AMUNDSEN SECTOR; DRIFTING-SNOW; CIRRUS CLOUDS; ADELIE LAND; CLIMATE</t>
  </si>
  <si>
    <t>Recent warm atmospheric conditions have damaged the ice shelves of the Antarctic Peninsula through surface melt and hydrofracturing and could potentially initiate future collapse of other Antarctic ice shelves. However, model projections with similar greenhouse gas scenarios suggest large differences in cumulative 21st-century surface melting. So far it remains unclear whether these differences are due to variations in warming rates in individual models or whether local feedback mechanisms of the surface energy budget could also play a notable role. Here we use the polar-oriented regional climate model MAR (Modele Atmospherique Regional) to study the physical mechanisms that would control future surface melt over the Antarctic ice shelves in high-emission scenarios RCP8.5 and SSP5-8.5. We show that clouds enhance future surface melt by increasing the atmospheric emissivity and longwave radiation towards the surface. Furthermore, we highlight that differences in meltwater production for the same climate warming rate depend on cloud properties and particularly cloud phase. Clouds containing a larger amount of supercooled liquid water lead to stronger melt, subsequently favouring the absorption of solar radiation due to the snowmelt-albedo feedback. As liquid-containing clouds are projected to increase the melt spread associated with a given warming rate, they could bea major source of uncertainties in projections of the future Antarctic contribution to sea level rise.</t>
  </si>
  <si>
    <t>[Kittel, Christoph; Fettweis, Xavier] Univ Liege, Dept Geog, UR SPHERES, Liege, Belgium; [Kittel, Christoph; Amory, Charles; Jourdain, Nicolas C.; Gallee, Hubert] Univ Grenoble Alpes, Inst Geosci Environm IGE, IRD G INP, CNRS, Grenoble, France; [Hofer, Stefan] Univ Oslo, Dept Geosci, Oslo, Norway; [Agosta, Cecile] Univ Paris Saclay, CEA CNRS UVSQ, LSCE IPSL, Lab Sci Climat &amp; Environm, Gif Sur Yvette, France; [Gilbert, Ella] British Antarctic Survey, Madingley Rd, Cambridge CB3 0ET, England; [Le Toumelin, Louis] Univ Grenoble Alpes, Univ Toulouse, Meteo France, CNRS,CNRM,Ctr Etud Neige, Grenoble, France; [Vignon, Etienne] Sorbone Univ, Lab Meteorol Dynam, IPSL, Ecole Polytech,CNRS,UMR 8539, Paris, France</t>
  </si>
  <si>
    <t>University of Liege; Communaute Universite Grenoble Alpes; Universite Grenoble Alpes (UGA); Centre National de la Recherche Scientifique (CNRS); University of Oslo; CEA; Centre National de la Recherche Scientifique (CNRS); Universite Paris Saclay; Universite Paris Cite; UK Research &amp; Innovation (UKRI); Natural Environment Research Council (NERC); NERC British Antarctic Survey; Centre National de la Recherche Scientifique (CNRS); Communaute Universite Grenoble Alpes; Universite Grenoble Alpes (UGA); Meteo France; Universite Paris Cite; Centre National de la Recherche Scientifique (CNRS); CNRS - National Institute for Earth Sciences &amp; Astronomy (INSU); Sorbonne Universite</t>
  </si>
  <si>
    <t>Kittel, C (corresponding author), Univ Liege, Dept Geog, UR SPHERES, Liege, Belgium.;Kittel, C (corresponding author), Univ Grenoble Alpes, Inst Geosci Environm IGE, IRD G INP, CNRS, Grenoble, France.</t>
  </si>
  <si>
    <t>ckittel@uliege.be</t>
  </si>
  <si>
    <t>Agosta, Cécile/HLQ-5577-2023; Agosta, Cecile/B-9625-2013; Jourdain, Nicolas/B-6899-2015</t>
  </si>
  <si>
    <t>Hofer, Stefan/0000-0002-5249-1249; VIGNON, Etienne/0000-0003-3801-9367; Le Toumelin, Louis/0000-0002-9542-8733; Fettweis, Xavier/0000-0002-4140-3813; Agosta, Cecile/0000-0003-4091-1653; Gilbert, Ella/0000-0001-5272-8894; Jourdain, Nicolas/0000-0002-1372-2235; Amory, Charles/0000-0002-5906-4303</t>
  </si>
  <si>
    <t>Fonds De La Recherche Scientifique (FNRS); Fonds Wetenschappelijk Onderzoek-Vlaanderen (FWO) [O0100718F, T.0002.16]; Fonds de la Recherche Scientifique de Belgique (F.R.S. -FNRS) [2.5020.11]; Tier-1 supercomputer (Zenobe) of the Federation Wallonie Bruxelles infrastructure - Walloon Region [1117545]; European Union [101003826]</t>
  </si>
  <si>
    <t>Fonds De La Recherche Scientifique (FNRS)(Fonds de la Recherche Scientifique - FNRS); Fonds Wetenschappelijk Onderzoek-Vlaanderen (FWO)(FWO); Fonds de la Recherche Scientifique de Belgique (F.R.S. -FNRS)(Fonds de la Recherche Scientifique - FNRS); Tier-1 supercomputer (Zenobe) of the Federation Wallonie Bruxelles infrastructure - Walloon Region; European Union(European Union (EU))</t>
  </si>
  <si>
    <t>This research has been supported by the Fonds De La Recherche Scientifique (FNRS) and the Fonds Wetenschappelijk Onderzoek-Vlaanderen (FWO) (under the EOS project no. O0100718F and grant no. T.0002.16). Computational resources have been provided by the Consortium des Equipements de Cal-cul Intensif (CECI), funded by the Fonds de la Recherche Scientifique de Belgique (F.R.S. -FNRS) under grant no. 2.5020.11, and the Tier-1 supercomputer (Zenobe) of the Federation Wallonie Bruxelles infrastructure, funded by the Walloon Region under grant agreement no. 1117545. Christoph Kittel and Nicolas C. Jourdain have received funding from the European Union's Horizon 2020 research and innovation programme under grant agreement no. 101003826 via the CRiceS (Climate Relevant interactions and feedbacks: the key role of sea ice and Snow in the polar and global climate system) project.</t>
  </si>
  <si>
    <t>10.5194/tc-16-2655-2022</t>
  </si>
  <si>
    <t>2S1GU</t>
  </si>
  <si>
    <t>Green Submitted, Green Accepted, Green Published, gold</t>
  </si>
  <si>
    <t>WOS:000821549000001</t>
  </si>
  <si>
    <t>Cranswick, AS; Constantine, R; Hendriks, H; Carroll, EL</t>
  </si>
  <si>
    <t>Cranswick, Annabelle S.; Constantine, Rochelle; Hendriks, Hannah; Carroll, Emma L.</t>
  </si>
  <si>
    <t>Social media and citizen science records are important for the management of rarely sighted whales</t>
  </si>
  <si>
    <t>OCEAN &amp; COASTAL MANAGEMENT</t>
  </si>
  <si>
    <t>Social networking sites; Spatio-temporal distribution; Southern right whale; Sightings data; New Zealand</t>
  </si>
  <si>
    <t>SOUTHERN RIGHT WHALES; BIODIVERSITY; INFORMATION; THREATS</t>
  </si>
  <si>
    <t>Social media content is increasingly being validated and used as a valuable source of data within conservation science. Metadata obtained from social networking sites (SNS) can supplement knowledge and data gaps in traditional ecological monitoring programs by increasing the spatiotemporal extent of sampling. Here we consider SNS in the context of rare and threatened species, which are difficult to monitor due to their often-inaccessible habitat, or elusive and unpredictable occurrences. We focus on a recovering large whale population, as charismatic megafauna often appear on SNS and are ideal for public outreach sightings data. Southern right whales (Eubalaena australis, SRW) were once abundant throughout New Zealand waters. However, following widespread population decline during whaling, no SRW was reported around the mainland for 35 years, with the remnant population persisting only in the remote subantarctic islands. By using sightings data from 2011 to 2021 in the New Zealand Department of Conservation's (DOC) Marine Mammal Database and supplementing with crowd-sourced sightings reports made on SNS (Facebook and iNaturalist), we present evidence that SRWs are continuing to recover slowly around the mainland compared to their subantarctic breeding grounds. All sightings' data were categorised based on confidence of accuracy, for example, accompanying genetic or photographic confirmation of species identity. Sightings remain rare with only 116 sightings from both DOC and SNS sources reported over the 11-year research period (2011-2021), hindering efforts to identify key habitats and implement conservation measures. SNS sightings increased the overall number and quality of sightings. Specifically, as SNS sightings were all accompanied by images permitting confident species ID, they increased the overall quality of the dataset and provided new information on the fine-scale movement and residency times of SRW. Although opportunistic data such as these have limitations, our work suggests that the recolonisation of SRWs around mainland New Zealand has not increased in the past decade. This could reflect historic loss of matrilineal knowledge of the mainland, or it could also be an artifact of very few whales, resulting in less social aggregations frequenting the region. Citizen science and the use of SNS data are important for the continued monitoring of the New Zealand SRW population, with SNS data creating further opportunities to monitor similarly rare and data deficient populations.</t>
  </si>
  <si>
    <t>[Cranswick, Annabelle S.; Constantine, Rochelle] Univ Auckland Waipapa Taumata Rau, Inst Marine Sci, Private Bag 92019, Auckland 1142, New Zealand; [Constantine, Rochelle; Carroll, Emma L.] Univ Auckland Waipapa Taumata Rau, Sch Biol Sci, Private Bag 92019, Auckland 1142, New Zealand; [Hendriks, Hannah] New Zealand Dept Conservat, POB 10420, Wellington 6140, New Zealand</t>
  </si>
  <si>
    <t>Carroll, EL (corresponding author), Univ Auckland, Sch Biol Sci, Private Bag 92109, Auckland 1142, New Zealand.</t>
  </si>
  <si>
    <t>Carroll, Emma/U-9133-2019</t>
  </si>
  <si>
    <t>Carroll, Emma/0000-0003-3193-7288; Cranswick, Annabelle/0000-0002-8322-1815; Hendriks, Hannah/0000-0002-8817-8211</t>
  </si>
  <si>
    <t>University of Auckland Research Masters scholarship; New Zealand Post Antarctic scholarship; Trans-Antarctic Association Byrd Trust fund; Royal Society of New Zealand - Te Aparangi Hutton Fund; Rutherford Discovery Fellowship from the Royal Society of New Zealand</t>
  </si>
  <si>
    <t>University of Auckland Research Masters scholarship; New Zealand Post Antarctic scholarship; Trans-Antarctic Association Byrd Trust fund; Royal Society of New Zealand - Te Aparangi Hutton Fund; Rutherford Discovery Fellowship from the Royal Society of New Zealand(Royal Society of New Zealand)</t>
  </si>
  <si>
    <t>We thank everyone who took the time to submit their sightings to the Department of Conservation -Te Papa Atawhai marine mammal database and to the various social networking sites. Many thanks to Mike Ogle (DOC) for support with database mining. This research was supported by the University of Auckland Research Masters scholarship, the New Zealand Post Antarctic scholarship, the Trans-Antarctic Association Byrd Trust fund, and the Royal Society of New Zealand -Te Aparangi Hutton Fund to AC. EC is supported by a Rutherford Discovery Fellowship from the Royal Society of New Zealand -Te Aparangi.</t>
  </si>
  <si>
    <t>0964-5691</t>
  </si>
  <si>
    <t>1873-524X</t>
  </si>
  <si>
    <t>OCEAN COAST MANAGE</t>
  </si>
  <si>
    <t>Ocean Coastal Manage.</t>
  </si>
  <si>
    <t>JUL 1</t>
  </si>
  <si>
    <t>10.1016/j.ocecoaman.2022.106271</t>
  </si>
  <si>
    <t>Oceanography; Water Resources</t>
  </si>
  <si>
    <t>3T4SO</t>
  </si>
  <si>
    <t>WOS:000840266200002</t>
  </si>
  <si>
    <t>Chen, YJ; Chen, M; Chen, JX; Fan, LF; Zheng, MF; Qiu, YS</t>
  </si>
  <si>
    <t>Chen, Yangjun; Chen, Min; Chen, Jinxu; Fan, Lingfang; Zheng, Mingfang; Qiu, Yusheng</t>
  </si>
  <si>
    <t>Dual isotopes of nitrite in the Amundsen Sea in summer</t>
  </si>
  <si>
    <t>Isotope; Nitrite; ammonia oxidation; Isotope exchange; Nitrogen cycle; Southern Ocean</t>
  </si>
  <si>
    <t>TROPICAL SOUTH-PACIFIC; NITROUS-OXIDE; MIXED-LAYER; NORTH PACIFIC; NITRATE; OXYGEN; NITRIFICATION; FRACTIONATION; MAXIMUM; OCEAN</t>
  </si>
  <si>
    <t>Nitrite (NO2-) is a key intermediate in the nitrogen (N) cycle, and its transformation is accomplished by microbial communities. However, due to few studies on the nitrite cycle, a clear assessment of the contribution to the marine biogeochemical cycle is missing. Here, we present data on nitrogen and oxygen isotopic composition of NO2- in the Amundsen Sea in summer, and explore the biogeochemical processes that influence the NO2 - cycle. Extremely low 815NNO2 and abnormally high 818ONO2 were found in the upper waters of the Amundsen Sea, with 815NNO2 as low as -58.4 parts per thousand and 818ONO2 as high as 44.4 parts per thousand. Enzymatic isotopic exchange reactions between nitrate and nitrite have been proposed to be responsible for these isotopic anomalies. The mirror-symmetrical variation between 815NNO2 and 818ONO2 suggests that the isotopic fractionation effects of nitrogen and oxygen are opposite in isotope exchange reactions. Dual isotopes of nitrite indicate that ammonia oxidation is the main source of nitrite, thus nitrification plays an important role in the formation of primary nitrite maximum in the upper Amundsen Sea. The nitrogen and oxygen isotopic compositions of nitrite provide support for clarifying multiple processes of marine nitrogen cycle.</t>
  </si>
  <si>
    <t>[Chen, Yangjun; Chen, Min; Chen, Jinxu; Fan, Lingfang; Zheng, Mingfang; Qiu, Yusheng] Xiamen Univ, Coll Ocean &amp; Earth Sci, Xiamen 361102, Peoples R China</t>
  </si>
  <si>
    <t>Xiamen University</t>
  </si>
  <si>
    <t>Chen, M (corresponding author), Xiamen Univ, Coll Ocean &amp; Earth Sci, Xiamen 361102, Peoples R China.</t>
  </si>
  <si>
    <t>mchen@xmu.edu.cn</t>
  </si>
  <si>
    <t>Li, Shiyu/KHE-1376-2024; Zhang, Zhipeng/KHY-2239-2024; Chen, Yangjun/GQP-4649-2022</t>
  </si>
  <si>
    <t>Chen, Yangjun/0000-0002-7488-9338</t>
  </si>
  <si>
    <t>Impact and Response of Antarctic Seas to Climate Change - Ministry of Natural Resources of the People's Republic of China and Chinese Arctic and Antarctic Administration [IRASCC 02-01-01, IRASCC 01-01-02C]; National Natural Science Foundation of China [41721005]; China Ocean Mineral Resources R &amp;D Association Program [DY135-13-E2-03]; China Ocean Mineral Resources R &amp;D Association Program</t>
  </si>
  <si>
    <t>Impact and Response of Antarctic Seas to Climate Change - Ministry of Natural Resources of the People's Republic of China and Chinese Arctic and Antarctic Administration; National Natural Science Foundation of China(National Natural Science Foundation of China (NSFC)); China Ocean Mineral Resources R &amp;D Association Program; China Ocean Mineral Resources R &amp;D Association Program</t>
  </si>
  <si>
    <t>We thank Hermann Bange, Preston Kemeny and Xuefeng Peng for their insightful comments and thoughtful suggestions on our manuscript. This work was supported by Impact and Response of Antarctic Seas to Climate Change (No. IRASCC 02-01-01, and No. IRASCC 01-01-02C) funded by Ministry of Natural Resources of the People's Republic of China and Chinese Arctic and Antarctic Administration, National Natural Science Foundation of China (No. 41721005) , and China Ocean Mineral Resources R &amp;D Association Program (No. DY135-13-E2-03) . We sincerely thank the editor and two anonymous reviewers for their contribution to the manuscript.</t>
  </si>
  <si>
    <t>10.1016/j.scitotenv.2022.157055</t>
  </si>
  <si>
    <t>3D5HI</t>
  </si>
  <si>
    <t>WOS:000829332500005</t>
  </si>
  <si>
    <t>Paxman, GJG; Austermann, J; Hollyday, A</t>
  </si>
  <si>
    <t>Paxman, Guy J. G.; Austermann, Jacqueline; Hollyday, Andrew</t>
  </si>
  <si>
    <t>Total isostatic response to the complete unloading of the Greenland and Antarctic Ice Sheets</t>
  </si>
  <si>
    <t>EFFECTIVE ELASTIC THICKNESS; RELATIVE SEA-LEVEL; LITHOSPHERIC STRENGTH; MODEL; DEGLACIATION; BENEATH; ORIGIN; UPLIFT</t>
  </si>
  <si>
    <t>The land surface beneath the Greenland and Antarctic Ice Sheets is isostatically suppressed by the mass of the overlying ice. Accurate computation of the land elevation in the absence of ice is important when considering, for example, regional geodynamics, geomorphology, and ice sheet behaviour. Here, we use contemporary compilations of ice thickness and lithospheric effective elastic thickness to calculate the fully re-equilibrated isostatic response of the solid Earth to the complete removal of the Greenland and Antarctic Ice Sheets. We use an elastic plate flexure model to compute the isostatic response to the unloading of the modern ice sheet loads, and a self-gravitating viscoelastic Earth model to make an adjustment for the remaining isostatic disequilibrium driven by ice mass loss since the Last Glacial Maximum. Feedbacks arising from water loading in areas situated below sea level after ice sheet removal are also taken into account. In addition, we quantify the uncertainties in the total isostatic response associated with a range of elastic and viscoelastic Earth properties. We find that the maximum change in bed elevation following full re-equilibration occurs over the centre of the landmasses and is +783 m in Greenland and +936 m in Antarctica. By contrast, areas around the ice margins experience up to 123 m of lowering due to a combination of sea level rise, peripheral bulge collapse, and water loading. The computed isostatic response fields are openly accessible and have a number of applications for studying regional geodynamics, landscape evolution, cryosphere dynamics, and relative sea level change.</t>
  </si>
  <si>
    <t>[Paxman, Guy J. G.; Austermann, Jacqueline; Hollyday, Andrew] Columbia Univ, Lamont Doherty Earth Observ, Palisades, NY 10964 USA; [Paxman, Guy J. G.] Univ Durham, Dept Geog, Durham DH1 3LE, England</t>
  </si>
  <si>
    <t>Columbia University; Durham University</t>
  </si>
  <si>
    <t>Paxman, GJG (corresponding author), Columbia Univ, Lamont Doherty Earth Observ, Palisades, NY 10964 USA.;Paxman, GJG (corresponding author), Univ Durham, Dept Geog, Durham DH1 3LE, England.</t>
  </si>
  <si>
    <t>guy.j.paxman@durham.ac.uk</t>
  </si>
  <si>
    <t>Paxman, Guy/0000-0003-1787-7442; Austermann, Jacqueline/0000-0003-3754-5082</t>
  </si>
  <si>
    <t>U.S. National Science Foundation [ICER 19-28146, version740,41]</t>
  </si>
  <si>
    <t>The BedMachine datasets used in this paper were accessed via the National Snow and Ice Data Center (Greenland: https://doi.org/10.5067/VLJ5YXKCNGXO; Antarctica: https://doi.org/10.5067/E1QL9HFQ7A8M).Effective elastic thickness datasets were obtained via the publications cited in the main text. The isostatic calculations were performed using MATLAB R2021a. We would like to extend thanks to the two anonymous reviewers, whose constructive feedback greatly improved the final manuscript and data product. This research was supported by the U.S. National Science Foundation (Navigating the New Arctic; grant number: ICER 19-28146). Figures were prepared using the Generic Mapping Tools (GMT) version 6 software-package18 and Scientific Colour Maps version740,41.</t>
  </si>
  <si>
    <t>JUL 6</t>
  </si>
  <si>
    <t>10.1038/s41598-022-15440-y</t>
  </si>
  <si>
    <t>2Y1IQ</t>
  </si>
  <si>
    <t>gold, Green Accepted, Green Published</t>
  </si>
  <si>
    <t>WOS:000825646400035</t>
  </si>
  <si>
    <t>Rad, NN; Bekker, A; Arashi, M</t>
  </si>
  <si>
    <t>Rad, Najmeh Nakhaei; Bekker, Andriette; Arashi, Mohammad</t>
  </si>
  <si>
    <t>Enhancing wind direction prediction of South Africa wind energy hotspots with Bayesian mixture modeling</t>
  </si>
  <si>
    <t>VON MISES DISTRIBUTIONS; GLOBAL OPTIMIZATION; POWER; SPEED; INFERENCE; LOCATION</t>
  </si>
  <si>
    <t>Wind energy production depends not only on wind speed but also on wind direction. Thus, predicting and estimating the wind direction for sites accurately will enhance measuring the wind energy potential. The uncertain nature of wind direction can be presented through probability distributions and Bayesian analysis can improve the modeling of the wind direction using the contribution of the prior knowledge to update the empirical shreds of evidence. This must align with the nature of the empirical evidence as to whether the data are skew or multimodal or not. So far mixtures of von Mises within the directional statistics domain, are used for modeling wind direction to capture the multimodality nature present in the data. In this paper, due to the skewed and multimodal patterns of wind direction on different sites of the locations understudy, a mixture of multimodal skewed von Mises is proposed for wind direction. Furthermore, a Bayesian analysis is presented to take into account the uncertainty inherent in the proposed wind direction model. A simulation study is conducted to evaluate the performance of the proposed Bayesian model. This proposed model is fitted to datasets of wind direction of Marion island and two wind farms in South Africa and show the superiority of the approach. The posterior predictive distribution is applied to forecast the wind direction on a wind farm. It is concluded that the proposed model offers an accurate prediction by means of credible intervals. The mean wind direction of Marion island in 2017 obtained from 1079 observations was 5.0242 (in radian) while using our proposed method the predicted mean wind direction and its corresponding 95% credible interval based on 100 generated samples from the posterior predictive distribution are obtained 5.0171 and (4.7442, 5.2900). Therefore, our results open a new approach for accurate prediction of wind direction implementing a Bayesian approach via mixture of skew circular distributions.</t>
  </si>
  <si>
    <t>[Rad, Najmeh Nakhaei; Bekker, Andriette; Arashi, Mohammad] Univ Pretoria, Dept Stat, ZA-0002 Pretoria, South Africa; [Rad, Najmeh Nakhaei] DSI NRF Ctr Excellence Math &amp; Stat Sci CoE MaSS, Pretoria, South Africa; [Arashi, Mohammad] Ferdowsi Univ Mashhad, Fac Math Sci, Dept Stat, Mashhad, Razavi Khorasan, Iran</t>
  </si>
  <si>
    <t>University of Pretoria; Ferdowsi University Mashhad</t>
  </si>
  <si>
    <t>Rad, NN (corresponding author), Univ Pretoria, Dept Stat, ZA-0002 Pretoria, South Africa.;Rad, NN (corresponding author), DSI NRF Ctr Excellence Math &amp; Stat Sci CoE MaSS, Pretoria, South Africa.</t>
  </si>
  <si>
    <t>najmeh.nakhaeirad@up.ac.za</t>
  </si>
  <si>
    <t>Bekker, Andriette/C-6625-2008; Nakhaeirad, Najmeh/HLG-7159-2023</t>
  </si>
  <si>
    <t>Bekker, Andriette/0000-0003-4793-5674; nakhaeirad, Najmeh/0000-0002-7831-5614; Arashi, Mohammad/0000-0002-5881-9241</t>
  </si>
  <si>
    <t>Visiting Professor Programme, University of Pretoria; National Research Foundation (NRF) of South Africa; SARChI Research Chair [71199, IFR170227223754, 109214, SRUG190308422768, 120839]; South African DST-NRF-MRC SARChI Research Chair in Biostatistics [114613]; STATOMET at the Department of Statistics at the University of Pretoria; DSI-NRF Centre of Excellence in Mathematical and Statistical Sciences (CoE-MaSS), South Africa; Ferdowsi University of Mashhad [2/56073]</t>
  </si>
  <si>
    <t>Visiting Professor Programme, University of Pretoria; National Research Foundation (NRF) of South Africa(National Research Foundation - South Africa); SARChI Research Chair; South African DST-NRF-MRC SARChI Research Chair in Biostatistics; STATOMET at the Department of Statistics at the University of Pretoria; DSI-NRF Centre of Excellence in Mathematical and Statistical Sciences (CoE-MaSS), South Africa; Ferdowsi University of Mashhad</t>
  </si>
  <si>
    <t>We would like to thank two anonymous reviewers for the constructive comments that significantly improved the presentation. Also, we would like to thank Mr. Lourens Snyman (Department of Geography, Geoinformatics and Meteorology at the University of Pretoria), Ms. Ria Olivier (Department of Botany and Zoology, Stellenbosch University) and Antarctic Legacy of South Africa for providingFig. 1. This work was based upon research supported in part by the Visiting Professor Programme, University of Pretoria and the National Research Foundation (NRF) of South Africa, SARChI Research Chair UID: 71199; Ref.: IFR170227223754 Grant No. 109214; Ref.: SRUG190308422768 Grant No. 120839, the South African DST-NRF-MRC SARChI Research Chair in Biostatistics (Grant No. 114613), STATOMET at the Department of Statistics at the University of Pretoria and DSI-NRF Centre of Excellence in Mathematical and Statistical Sciences (CoE-MaSS), South Africa. The research of the third author (M. Arashi) is supported by a grant from Ferdowsi University of Mashhad (N.2/56073). The opinions expressed and conclusions arrived at are those of the authors and are not necessarily to be attributed to the CoE-MaSS or the NRF.</t>
  </si>
  <si>
    <t>10.1038/s41598-022-14383-8</t>
  </si>
  <si>
    <t>WOS:000825646400062</t>
  </si>
  <si>
    <t>Urso, I; Biscontin, A; Corso, D; Bertolucci, C; Romualdi, C; De Pittà, C; Meyer, B; Sales, G</t>
  </si>
  <si>
    <t>Urso, Ilenia; Biscontin, Alberto; Corso, Davide; Bertolucci, Cristiano; Romualdi, Chiara; De Pitta, Cristiano; Meyer, Bettina; Sales, Gabriele</t>
  </si>
  <si>
    <t>A thorough annotation of the krill transcriptome offers new insights for the study of physiological processes</t>
  </si>
  <si>
    <t>EUPHAUSIA-SUPERBA TRANSCRIPTOME; ANTARCTIC KRILL; OPSIN REPERTOIRE; GENOME; DIVERSITY; RESOURCE; SWARMS; GENES</t>
  </si>
  <si>
    <t>The krill species Euphausia superba plays a critical role in the food chain of the Antarctic ecosystem. Significant changes in climate conditions observed in the Antarctic Peninsula region in the last decades have already altered the distribution of krill and its reproductive dynamics. A deeper understanding of the adaptation capabilities of this species is urgently needed. The availability of a large body of RNA-seq assays allowed us to extend the current knowledge of the krill transcriptome. Our study covered the entire developmental process providing information of central relevance for ecological studies. Here we identified a series of genes involved in different steps of the krill moulting cycle, in the reproductive process and in sexual maturation in accordance with what was already described in previous works. Furthermore, the new transcriptome highlighted the presence of differentially expressed genes previously unknown, playing important roles in cuticle development as well as in energy storage during the krill life cycle. The discovery of new opsin sequences, specifically rhabdomeric opsins, one onychopsin, and one non-visual arthropsin, expands our knowledge of the krill opsin repertoire. We have collected all these results into the KrillDB(2) database, a resource combining the latest annotation of the krill transcriptome with a series of analyses targeting genes relevant to krill physiology. KrillDB(2) provides in a single resource a comprehensive catalog of krill genes; an atlas of their expression profiles over all RNA-seq datasets publicly available; a study of differential expression across multiple conditions. Finally, it provides initial indications about the expression of microRNA precursors, whose contribution to krill physiology has never been reported before.</t>
  </si>
  <si>
    <t>[Urso, Ilenia; Biscontin, Alberto; Corso, Davide; Romualdi, Chiara; De Pitta, Cristiano; Sales, Gabriele] Univ Padua, Dept Biol, Via U Bassi 58-B, I-35131 Padua, PD, Italy; [Bertolucci, Cristiano] Univ Ferrara, Dept Life Sci &amp; Biotechnol, Via Luigi Borsari 46, I-44121 Ferrara, FE, Italy; [Bertolucci, Cristiano] Stn Zool Anton Dohrn Napoli, Biol &amp; Evolut Marine Organisms, I-80121 Naples, Italy; [Meyer, Bettina] Helmholtz Ctr Polar &amp; Marine Res, Alfred Wegener Inst, Handelshafen 12, D-27570 Bremerhaven, Germany; [Meyer, Bettina] Carl von Ossietzky Univ Oldenburg, Inst Chem &amp; Biol Marine Environm ICBM, Carl von Ossietzky Str 9-11, D-26111 Oldenburg, Germany; [Meyer, Bettina] Carl von Ossietzky Univ Oldenburg, Helmholtz Inst Funct Marine Biodivers HIFMB, D-26111 Oldenburg, Germany</t>
  </si>
  <si>
    <t>University of Padua; University of Ferrara; Stazione Zoologica Anton Dohrn di Napoli; Helmholtz Association; Alfred Wegener Institute, Helmholtz Centre for Polar &amp; Marine Research; Carl von Ossietzky Universitat Oldenburg; Carl von Ossietzky Universitat Oldenburg</t>
  </si>
  <si>
    <t>Sales, G (corresponding author), Univ Padua, Dept Biol, Via U Bassi 58-B, I-35131 Padua, PD, Italy.;Meyer, B (corresponding author), Helmholtz Ctr Polar &amp; Marine Res, Alfred Wegener Inst, Handelshafen 12, D-27570 Bremerhaven, Germany.;Meyer, B (corresponding author), Carl von Ossietzky Univ Oldenburg, Inst Chem &amp; Biol Marine Environm ICBM, Carl von Ossietzky Str 9-11, D-26111 Oldenburg, Germany.;Meyer, B (corresponding author), Carl von Ossietzky Univ Oldenburg, Helmholtz Inst Funct Marine Biodivers HIFMB, D-26111 Oldenburg, Germany.</t>
  </si>
  <si>
    <t>bettina.meyer@awi.de; gabriele.sales@unipd.it</t>
  </si>
  <si>
    <t>Bertolucci, Cristiano/H-1916-2015; Romualdi, Chiara/K-1132-2016; De Pitta, Cristiano/AAY-7302-2020</t>
  </si>
  <si>
    <t>Bertolucci, Cristiano/0000-0003-0252-3107; De Pitta, Cristiano/0000-0001-8013-8162; Urso, Ilenia/0000-0002-6439-6943; Biscontin, Alberto/0000-0003-1492-7715</t>
  </si>
  <si>
    <t>Helmholtz Virtual Institute PolarTime: Biological timing in a changing marine environment-clocks and rhythms in polar pelagic organisms [VH-VI-500]; Programma Nazionale di Ricerche in Antartide - PNRA [2016_00225]; Promega Corporation 2019 Real-Time PCR Grant Program; University of Ferrara</t>
  </si>
  <si>
    <t>Helmholtz Virtual Institute PolarTime: Biological timing in a changing marine environment-clocks and rhythms in polar pelagic organisms; Programma Nazionale di Ricerche in Antartide - PNRA; Promega Corporation 2019 Real-Time PCR Grant Program; University of Ferrara</t>
  </si>
  <si>
    <t>The position of Ilenia Urso was supported by the Helmholtz Virtual Institute PolarTime: Biological timing in a changing marine environment-clocks and rhythms in polar pelagic organisms (VH-VI-500), headed by Bettina Meyer. Alberto Biscontin was funded by the Programma Nazionale di Ricerche in Antartide - PNRA (grant 2016_00225) and by the Promega Corporation 2019 Real-Time PCR Grant Program. We would also like to acknowledge the CAPRI initiative (Calcolo ad Alte Prestazioni per la Ricerca e l'Innovazione, University of Padova Strategic Research Infrastructure Grant 2017) for the technical support and the HPC resources we have used for the analyses. Cristiano Bertolucci was supported by the Programma Nazionale di Ricerche in Antartide - PNRA (grant 2016_00225) and by the University of Ferrara research grant (FIR2020 and FAR2021).</t>
  </si>
  <si>
    <t>10.1038/s41598-022-15320-5</t>
  </si>
  <si>
    <t>WOS:000825646400039</t>
  </si>
  <si>
    <t>Su, ZQ; Zhang, ZR; Zhu, YW; Zhou, M</t>
  </si>
  <si>
    <t>Su, Zhiqiang; Zhang, Zhaoru; Zhu, Yiwu; Zhou, Meng</t>
  </si>
  <si>
    <t>Long-Term Warm-Cold Phase Shifts in the Gerlache Strait, Western Antarctic Peninsula</t>
  </si>
  <si>
    <t>Gerlache Strait; mean currents; currents ellipses; antarctic ecosystem; warm-cold phase shifts</t>
  </si>
  <si>
    <t>EUPHAUSIA-SUPERBA; MARINE ECOSYSTEM; SURFACE CURRENTS; AUSTRAL FALL; BRANSFIELD; CIRCULATION; SHELF; REGION; DYNAMICS; MODEL</t>
  </si>
  <si>
    <t>The Gerlache Strait plays an important role for the transports of heat, nutrients, and primary producers between the northern West Antarctic Peninsula (WAP) and the continental shelf in the southern WAP. The means, seasonal variations, and long-term trends of currents in the Gerlache Strait are analyzed based on Acoustic Doppler Current Profiler (ADCP) data between 1999 and 2016 available from the Joint Archive for Shipboard ADCP (JASADCP) dataset. The results revealed that the mean currents between the sea surface and 300 m in the Gerlache Strait (known as the Gerlache Strait Current) were predominantly northeastward, associated with the northeastward intrusion of Modified Circumpolar Deep Water (MCDW). The variance ellipses of currents were in parallel to the principal axis of the strait. The currents reached the maximum during austral spring and summer and were minimum during austral winter. The long-term trends revealed that the mean currents were southwestward during austral fall or winter before 2005, and the northeastward currents increased between 1999 and 2011, weakened, and reversed between 2011 and 2016. The long-term shifts between warm and cold phases in the Gerlache Strait were associated with shifts between the dominance of northeastward and southwestward currents in the strait, which are respectively associated with the intrusion of warm MCDW in the south and the transport of cold water from the Bransfield Strait in the north.</t>
  </si>
  <si>
    <t>[Su, Zhiqiang; Zhang, Zhaoru; Zhu, Yiwu; Zhou, Meng] Shanghai Jiao Tong Univ, Sch Oceanog, Shanghai, Peoples R China</t>
  </si>
  <si>
    <t>Shanghai Jiao Tong University</t>
  </si>
  <si>
    <t>Zhang, ZR; Zhou, M (corresponding author), Shanghai Jiao Tong Univ, Sch Oceanog, Shanghai, Peoples R China.</t>
  </si>
  <si>
    <t>zrzhang@sjtu.edu.cn; meng.zhou@sjtu.edu.cn</t>
  </si>
  <si>
    <t>LIU, JIALIN/JXN-8034-2024</t>
  </si>
  <si>
    <t>National Natural Science Foundation of China [41941008, 41876221]; Impact and Response of Antarctic Seas to Climate Change [IRASCC 1-02-01B]; National Key Research and Development Program of China [2019YFC1509102]; Shanghai Science and Technology Committee [20230711100, 21QA1404300]; Shanghai Frontiers Science Center of Polar (SFSCP); Shanghai Key Laboratory of Polar Life and Environment Sciences [21DZ2260100]; US National Science Foundation [ANT-0739566, ANT-1142082]</t>
  </si>
  <si>
    <t>National Natural Science Foundation of China(National Natural Science Foundation of China (NSFC)); Impact and Response of Antarctic Seas to Climate Change; National Key Research and Development Program of China; Shanghai Science and Technology Committee(Shanghai Science &amp; Technology Committee); Shanghai Frontiers Science Center of Polar (SFSCP); Shanghai Key Laboratory of Polar Life and Environment Sciences; US National Science Foundation(National Science Foundation (NSF))</t>
  </si>
  <si>
    <t>This work is funded by the National Natural Science Foundation of China (Grant No. 41941008 and 41876221), the Impact and Response of Antarctic Seas to Climate Change (Grant 583 No: IRASCC 1-02-01B), the National Key Research and Development Program of China (Grant No. 2019YFC1509102), the Shanghai Science and Technology Committee (Grant No. 20230711100 and Grant No. 21QA1404300), the Shanghai Frontiers Science Center of Polar (SFSCP), and the Shanghai Key Laboratory of Polar Life and Environment Sciences (Grant No. 21DZ2260100). The field data was collected under the support from the US National Science Foundation (Grant #: ANT-0739566, ANT-1142082) to MZ. Also, we appreciated the anonymous reviewers for insightful comments and suggestions to improve this manuscript.</t>
  </si>
  <si>
    <t>10.3389/fmars.2022.877043</t>
  </si>
  <si>
    <t>3D4DD</t>
  </si>
  <si>
    <t>WOS:000829253700001</t>
  </si>
  <si>
    <t>Pedrana, J; Gorosábel, A; Kazimierski, L; Pütz, K; Bernad, L; Laneri, K</t>
  </si>
  <si>
    <t>Pedrana, Julieta; Gorosabel, Antonella; Kazimierski, Laila; Puetz, Klemenes; Bernad, Lucia; Laneri, Karina</t>
  </si>
  <si>
    <t>Weather conditions affect spring migration departure of Ruddy-headed Goose in the southern Pampas, Argentina</t>
  </si>
  <si>
    <t>EMU-AUSTRAL ORNITHOLOGY</t>
  </si>
  <si>
    <t>Migration decision; meteorological conditions; human-geese conflict; satellite transmitters; patagonia</t>
  </si>
  <si>
    <t>CHLOEPHAGA-RUBIDICEPS; SPECIES DISTRIBUTION; ECOLOGICAL THEORY; SHELDGEESE; STOPOVER; IMPACTS; FLIGHT</t>
  </si>
  <si>
    <t>The Ruddy-headed Goose (Chloephaga rubidiceps) has two separate populations: one sedentary, which resides in the Falkland/Malvinas Islands and one migratory that overwinters mainly in the Pampas region (Argentina) and breeds in Southern Patagonia (Argentina and Chile). The migratory population has decreased considerably to less than 800 individuals and is categorised as Endangered in Argentina and Chile. Knowing the dates at which birds leave the wintering grounds might help to predict the arrival date at stopover sites and breeding areas. We aimed to examine the effect of meteorological conditions on the decision of Ruddy-headed Geese to start spring migration and their migration strategy. We used data from six adults, equipped with satellite transmitters, over 4 years (2015-2018), giving 12 individual departure dates. Weather conditions on departure dates were compared with that during the 15 preceding days. We tested the influence of weather conditions on the response variable measured as a comparison of pre-migration dates versus departure dates. Our results showed that Ruddy-headed Geese departure from their wintering grounds is in association with high wind speed, good visibility and low percentage of cloud cover. The relationship between meteorological conditions and the species decision to start spring migration is essential information for future management plans to prevent potential human-sheldgeese conflicts to escalate along their migration route. Recommendations for the conservation of this species that include implementing mitigation measures to reduce bird collision at human infrastructure, could be applied more specifically during the periods when birds are expected to arrive in each area.</t>
  </si>
  <si>
    <t>[Pedrana, Julieta] Univ Tecnol Nacl, Dept Medio Ambiente, Consejo Nacl Invest Cient &amp; Tecn, Mar Del Plata, Argentina; [Pedrana, Julieta] Univ Tecnol Nacl, Fac Reg Mar Del Plata, Mar Del Plata, Argentina; [Gorosabel, Antonella; Bernad, Lucia] IPADS Balcarce INTA CONICET, Estn Expt Agr INTA Balcarce, Buenos Aires, DF, Argentina; [Kazimierski, Laila] Consejo Nacl Invest Cient &amp; Tecn, Dept Fis Med, San Carlos De Bariloche, Rio Negro, Argentina; [Puetz, Klemenes] Antarctic Res Trust, Bremervorde, Germany; [Laneri, Karina] Ctr Atom Bariloche, Grp Fis Estadist &amp; Interdisciplinaria, CONICET, San Carlos De Bariloche, Rio Negro, Argentina</t>
  </si>
  <si>
    <t>Consejo Nacional de Investigaciones Cientificas y Tecnicas (CONICET); Instituto Nacional de Tecnologia Agropecuaria (INTA); Consejo Nacional de Investigaciones Cientificas y Tecnicas (CONICET); Consejo Nacional de Investigaciones Cientificas y Tecnicas (CONICET); Comision Nacional de Energia Atomica (CNEA); Centro Atomico Bariloche</t>
  </si>
  <si>
    <t>Pedrana, J (corresponding author), Univ Tecnol Nacl, Dept Medio Ambiente, Consejo Nacl Invest Cient &amp; Tecn, Mar Del Plata, Argentina.;Pedrana, J (corresponding author), Univ Tecnol Nacl, Fac Reg Mar Del Plata, Mar Del Plata, Argentina.</t>
  </si>
  <si>
    <t>jpedrana@yahoo.com.ar</t>
  </si>
  <si>
    <t>Laneri, Karina/0000-0001-8536-4695; Gorosabel, Antonella/0000-0001-5049-8773; pedrana, julieta/0000-0002-0908-7865</t>
  </si>
  <si>
    <t>Antarctic Research Trust [INTAPNNAT-1128053]; National Agency for Science and Technology</t>
  </si>
  <si>
    <t>Antarctic Research Trust; National Agency for Science and Technology</t>
  </si>
  <si>
    <t>This work was funded by Antarctic Research Trust, INTAPNNAT-1128053 and National Agency for Science and Technology. The procedure used in this study was assessed and approved by OPDS, Argentina (0023352/18).</t>
  </si>
  <si>
    <t>TAYLOR &amp; FRANCIS AUSTRALIA</t>
  </si>
  <si>
    <t>MELBOURNE</t>
  </si>
  <si>
    <t>LEVEL 2, 11 QUEENS RD, MELBOURNE, VIC 3004, AUSTRALIA</t>
  </si>
  <si>
    <t>0158-4197</t>
  </si>
  <si>
    <t>1448-5540</t>
  </si>
  <si>
    <t>EMU</t>
  </si>
  <si>
    <t>Emu</t>
  </si>
  <si>
    <t>APR 3</t>
  </si>
  <si>
    <t>10.1080/01584197.2022.2075395</t>
  </si>
  <si>
    <t>3K3WR</t>
  </si>
  <si>
    <t>WOS:000824463700001</t>
  </si>
  <si>
    <t>Davidson, PA; Wong, O; Atkinson, JW; Ranjan, A</t>
  </si>
  <si>
    <t>Davidson, P. A.; Wong, O.; Atkinson, J. W.; Ranjan, A.</t>
  </si>
  <si>
    <t>Magnetically driven flow in a liquid-metal battery</t>
  </si>
  <si>
    <t>PHYSICAL REVIEW FLUIDS</t>
  </si>
  <si>
    <t>We investigate the flow within a liquid-metal battery induced by an externally imposed magnetic field, B-0. An analytical model for laminar flow is proposed and this is found to be in excellent agreement with numerical simulations, not only for weakly forced steady flow, but also for the time-averaged velocity in more strongly forced flows where the motion is either unsteady (but laminar) or else weakly turbulent. Our primary conclusion is that surprisingly weak magnetic fields are capable of destabilizing the flow and inducing turbulence, with turbulence first appearing at B-0 approximate to 1.0G. By comparison, the earth's magnetic field is approximate to 0.5 G. This extreme sensitivity of liquid-metal pools carrying current to an external magnetic field has long been known in the context of other industrial processes.</t>
  </si>
  <si>
    <t>[Davidson, P. A.; Wong, O.] Univ Cambridge, Dept Engn, Cambridge CB2 1PZ, England; [Atkinson, J. W.] British Antarctic Survey, Cambridge CB3 0ET, England; [Ranjan, A.] Indian Inst Technol, Dept Mech Engn, Mumbai 400076, Maharashtra, India</t>
  </si>
  <si>
    <t>University of Cambridge; UK Research &amp; Innovation (UKRI); Natural Environment Research Council (NERC); NERC British Antarctic Survey; Indian Institute of Technology System (IIT System); Indian Institute of Technology (IIT) - Bombay</t>
  </si>
  <si>
    <t>Davidson, PA (corresponding author), Univ Cambridge, Dept Engn, Cambridge CB2 1PZ, England.</t>
  </si>
  <si>
    <t>Atkinson, Jack/GQZ-8616-2022</t>
  </si>
  <si>
    <t>Atkinson, Jack/0000-0001-5001-4812</t>
  </si>
  <si>
    <t>2469-990X</t>
  </si>
  <si>
    <t>PHYS REV FLUIDS</t>
  </si>
  <si>
    <t>Phys. Rev. Fluids</t>
  </si>
  <si>
    <t>10.1103/PhysRevFluids.7.074701</t>
  </si>
  <si>
    <t>Physics, Fluids &amp; Plasmas</t>
  </si>
  <si>
    <t>2W2FG</t>
  </si>
  <si>
    <t>WOS:000824345600001</t>
  </si>
  <si>
    <t>Guo, RZ; Zheng, KY; Luo, L; Liu, YD; Shao, HB; Guo, C; He, H; Wang, HL; Sung, YY; Mok, WJ; Wong, LL; Zhang, YZ; Liang, YT; McMinn, A; Wang, M</t>
  </si>
  <si>
    <t>Guo, Ruizhe; Zheng, Kaiyang; Luo, Lin; Liu, Yundan; Shao, Hongbing; Guo, Cui; He, Hui; Wang, Hualong; Sung, Yeong Yik; Mok, Wen Jye; Wong, Li Lian; Zhang, Yu-Zhong; Liang, Yantao; McMinn, Andrew; Wang, Min</t>
  </si>
  <si>
    <t>Characterization and Genomic Analysis of ssDNA Vibriophage vB_VpaM_PG19 within Microviridae, Representing a Novel Viral Genus</t>
  </si>
  <si>
    <t>Vibrio; phage vB_VpaM_PG19; Microviridae; genomic and phylogenetic analysis</t>
  </si>
  <si>
    <t>SEQUENCE; BACTERIOPHAGE; DIVERSITY; VIRUSES; PHAGE</t>
  </si>
  <si>
    <t>Vibrio parahaemolyticus, a widespread marine bacterium, is responsible for a variety of diseases in marine organisms. Consumption of raw or undercooked seafood contaminated with V. parahaemolyticus is also known to cause acute gastroenteritis in humans. While numerous dsDNA vibriophages have been isolated so far, there have been few studies of vibriophages belonging to the ssDNA Microviridae family. In this study, a novel ssDNA phage, vB_VpaM_PG19 infecting V. parahaemolyticus, with a 5,572 bp ssDNA genome with a G+C content of 41.31% and encoded eight open reading frames, was isolated. Genome-wide phylogenetic analysis of the total phage isolates in the GenBank database revealed that vB_VpaM_PG19 was only related to the recently deposited vibriophage vB_VpP_WS1. The genome-wide average nucleotide homology of the two phages was 89.67%. The phylogenetic tree and network analysis showed that vB_VpaM_PG19 was different from other members of the Microviridae family and might represent a novel viral genus, together with vibriophage vB_VpP_WS1, named Vimicrovirus. One-step growth curves showed that vB_VpaM_PG19 has a short incubation period, suggesting its potential as an antimicrobial agent for pathogenic V. parahaemolyticus. IMPORTANCE Vibriophage vB_VpaM_PG19 was distant from other isolated microviruses in the phylogenetic tree and network analysis and represents a novel microviral genus, named Vimicrovirus. Our report describes the genomic and phylogenetic features of vB_VpaM_PG19 and provides a potential antimicrobial candidate for pathogenic V. parahaemolyticus.</t>
  </si>
  <si>
    <t>[Guo, Ruizhe; Zheng, Kaiyang; Luo, Lin; Liu, Yundan; Shao, Hongbing; Guo, Cui; He, Hui; Wang, Hualong; Zhang, Yu-Zhong; Liang, Yantao; McMinn, Andrew; Wang, Min] Ocean Univ China, Inst Evolut &amp; Marine Biodivers, Frontiers Sci Ctr Deep Ocean Multispheres &amp; Earth, Coll Marine Life Sci, Qingdao, Peoples R China; [Shao, Hongbing; Guo, Cui; He, Hui; Wang, Hualong; Sung, Yeong Yik; Mok, Wen Jye; Wong, Li Lian; Liang, Yantao; Wang, Min] UMT OUC Joint Ctr Marine Studies, Qingdao, Peoples R China; [Sung, Yeong Yik; Mok, Wen Jye; Wong, Li Lian] Univ Malaysia Terengganu UMT, Inst Marine Biotechnol, Kuala Nerus, Malaysia; [Zhang, Yu-Zhong] Shandong Univ, Marine Biotechnol Res Ctr, State Key Lab Microbial Technol, Qingdao, Peoples R China; [McMinn, Andrew] Univ Tasmania, Inst Marine &amp; Antarctic Studies, Hobart, Tas, Australia; [Wang, Min] Qingdao Univ, Affiliated Hosp, Qingdao, Peoples R China</t>
  </si>
  <si>
    <t>Ocean University of China; Universiti Malaysia Terengganu; Shandong University; University of Tasmania; Qingdao University</t>
  </si>
  <si>
    <t>Liang, YT; Wang, M (corresponding author), Ocean Univ China, Inst Evolut &amp; Marine Biodivers, Frontiers Sci Ctr Deep Ocean Multispheres &amp; Earth, Coll Marine Life Sci, Qingdao, Peoples R China.;Liang, YT; Wang, M (corresponding author), UMT OUC Joint Ctr Marine Studies, Qingdao, Peoples R China.;Wang, M (corresponding author), Qingdao Univ, Affiliated Hosp, Qingdao, Peoples R China.</t>
  </si>
  <si>
    <t>liangyantao@ouc.edu.cn; mingwang@ouc.edu.cn</t>
  </si>
  <si>
    <t>WONG, LI LIAN/ABE-1887-2022; Wang, Min/AFR-9645-2022; Mok, Wen Jye/AAF-9229-2019; Han, Yang/JVN-5921-2024; Li, Yan/JRW-0176-2023</t>
  </si>
  <si>
    <t>Wang, Min/0000-0002-2357-589X; Mok, Wen Jye/0000-0002-7629-8312; Yeong, Yik Sung/0000-0001-5897-9037</t>
  </si>
  <si>
    <t>National Natural Science Foundation of China [41976117, 42120104006, 42176111, 42188102]; Fundamental Research Funds for the Central Universities [202072002, 201812002]</t>
  </si>
  <si>
    <t>National Natural Science Foundation of China(National Natural Science Foundation of China (NSFC)); Fundamental Research Funds for the Central Universities(Fundamental Research Funds for the Central Universities)</t>
  </si>
  <si>
    <t>This study was supported by the funding of the National Natural Science Foundation of China (no. 41976117, 42120104006, 42176111, and 42188102), and the Fundamental Research Funds for the Central Universities (202072002, 201812002, and Andrew McMinn).</t>
  </si>
  <si>
    <t>JUL-AUG</t>
  </si>
  <si>
    <t>10.1128/spectrum.00585-22</t>
  </si>
  <si>
    <t>N2FM1</t>
  </si>
  <si>
    <t>WOS:000823143600001</t>
  </si>
  <si>
    <t>González-Wevar, CA; Segovia, N; Rosenfeld, S; Maturana, CS; Jeldres, V; Pinochet, R; Saucède, T; Morley, SA; Brickle, P; Wilson, NG; Spencer, HG; Poulin, E</t>
  </si>
  <si>
    <t>Gonzalez-Wevar, Claudio A.; Segovia, Nicolas, I; Rosenfeld, Sebastian; Maturana, Claudia S.; Jeldres, Vanessa; Pinochet, Ramona; Saucede, Thomas; Morley, Simon A.; Brickle, Paul; Wilson, Nerida G.; Spencer, Hamish G.; Poulin, Elie</t>
  </si>
  <si>
    <t>Seven snail species hidden in one: Biogeographic diversity in an apparently widespread periwinkle in the Southern Ocean</t>
  </si>
  <si>
    <t>Antarctic; cryptic species; dispersal; Littorinidae; species-delimitation analyses; sub-Antarctic; vicariance</t>
  </si>
  <si>
    <t>MOLECULAR PHYLOGENY; CLIMATE-CHANGE; DNA; DIVERGENCE; GASTROPODA; DISPERSAL; PATTERNS; DIVERSIFICATION; BIODIVERSITY; DELIMITATION</t>
  </si>
  <si>
    <t>Aim The Antarctic Circumpolar Current imparts significant structure to the Southern Ocean biota. The Antarctic Polar Front is a major barrier to dispersal, with separate species (or sometimes intraspecific clades) normally occurring either side of this feature. We examined the biogeographic structure of an apparent exception to this rule in a widespread genus of the Southern Ocean, the periwinkle snail, Laevilitorina. Location Southern Ocean. Taxon Littorinidae, Laevilitorininae, Laevilitorina. Methods Using 750 specimens from 16 Southern Ocean Laevilitorina populations across &gt;8000 km, we analysed mitochondrial COI and nuclear 28S sequences to uncover the evolutionary history of these marine near-shore snails. We utilized multi-locus phylogenetic reconstructions, species-delimitation analyses, divergence-time estimations and geometric morphometrics. Results Molecular data revealed that the widespread nominal species L. caliginosa comprises seven species-level clades, all supported by morphological data, whereas the Antarctic nominal species L. antarctica, L. claviformis and L. umbilicata are conspecific. Six caliginosa clades are restricted to southern South America, but one lineage extends from Antarctica to distant sub-Antarctic islands on both sides of the APF. Geometric morphometrics also identified significant differences among these clades, but uncoupled from genetic differentiation. Main conclusions The apparent trans-APF distribution of the poorly dispersing Laevilitorina caliginosa is largely illusory: this taxon consists of at least seven discrete species, only one of which has a trans-APF distribution. Similar to most Laevilitorina species, the remaining six caliginosa clades are narrow endemics. Biogeographical patterns in Laevilitorina reflect the role of vicariance associated with geological processes together with recent long-distance dispersal events. Laevilitorina originated near the Eocene/Oligocene boundary and diversified during the Miocene and the Pliocene. Laevilitorina is not a cryptic-species complex: speciation was accompanied by hitherto unrecognized morphological differentiation. This study represents the most detailed molecular work on Southern-Ocean littorinids and reveals unforeseen diversity across this globally important region.</t>
  </si>
  <si>
    <t>[Gonzalez-Wevar, Claudio A.; Jeldres, Vanessa; Pinochet, Ramona] Univ Austral Chile, Fac Ciencias, Inst Ciencias Marinas &amp; Limnol ICML, Casilla 567, Valdivia, Chile; [Gonzalez-Wevar, Claudio A.; Rosenfeld, Sebastian; Maturana, Claudia S.; Jeldres, Vanessa; Poulin, Elie] Inst Milenio Biodiversidad Ecosistemas Antarticos, Santiago, Chile; [Gonzalez-Wevar, Claudio A.; Jeldres, Vanessa] Univ Austral Chile, Ctr Fondap Invest Dinam Ecosistemas Marinos Altas, Valdivia, Chile; [Gonzalez-Wevar, Claudio A.; Segovia, Nicolas, I; Rosenfeld, Sebastian; Maturana, Claudia S.; Poulin, Elie] Univ Chile, Dept Ciencias Ecol, Inst Ecol &amp; Biodiversidad IEB, Santiago, Chile; [Segovia, Nicolas, I] Univ Catolica Norte, Fac Ciencias Mar, Dept Biol Marina, Coquimbo, Chile; [Rosenfeld, Sebastian] Univ Magallanes, Lab Ecosistemas Marinos Antarticos &amp; Subantartico, Punta Arenas, Chile; [Saucede, Thomas] Univ Bourgougne 6, UMR CNRS 6282, Biogeosci, Dijon, France; [Morley, Simon A.] NERC, British Antarctic Survey BAS, Cambridge, England; [Brickle, Paul] South Atlantic Environm Res Inst, Stanley, Falkland Island; [Brickle, Paul] Univ Aberdeen, Sch Biol Sci Zool, Aberdeen, Scotland; [Wilson, Nerida G.] Western Australian Museum, Perth, WA, Australia; [Wilson, Nerida G.] Univ Western Australia, Crawley, WA, Australia; [Spencer, Hamish G.] Univ Otago, Dept Zool, Dunedin, New Zealand</t>
  </si>
  <si>
    <t>Universidad Austral de Chile; Universidad Austral de Chile; Universidad de Chile; Universidad Catolica del Norte; Universidad de Magallanes; Universite de Bourgogne; Centre National de la Recherche Scientifique (CNRS); CNRS - Institute of Ecology &amp; Environment (INEE); UK Research &amp; Innovation (UKRI); Natural Environment Research Council (NERC); NERC British Antarctic Survey; University of Aberdeen; Western Australian Museum; University of Western Australia; University of Otago</t>
  </si>
  <si>
    <t>González-Wevar, CA (corresponding author), Univ Austral Chile, Fac Ciencias, Inst Ciencias Marinas &amp; Limnol ICML, Casilla 567, Valdivia, Chile.</t>
  </si>
  <si>
    <t>claudio.gonzalez@uach.cl</t>
  </si>
  <si>
    <t>Spencer, Hamish G/B-9637-2008; Poulin, Elie/C-2654-2012; Maturana, Claudia/JOK-7975-2023; Wilson, Nerida/G-8433-2011</t>
  </si>
  <si>
    <t>Spencer, Hamish G/0000-0001-7531-597X; Poulin, Elie/0000-0001-7736-0969; Maturana, Claudia/0000-0002-4427-8093; Rosenfeld, Sebastian/0000-0002-4363-8018; Wilson, Nerida/0000-0002-0784-0200; Segovia, Nicolas/0000-0003-3212-7527; pinochet sanchez, ramona/0000-0002-2991-2834; Morley, Simon/0000-0002-7761-660X</t>
  </si>
  <si>
    <t>Agencia Nacional de Investigacion y Desarrollo (ANID) [1210787, 115336, 3210063]; Centro Fondap IDEAL [15150003]; Instituto Antartico Chileno (INACH) Project [RG_18-17]; Projects Genomic Antarctic Biodiversity [PIA CONICYT ACT172065, PIA CONICYT AFB170008]; UKRI-NERC; British Antarctic Survey; French Polar Institute; Western Australian Museum; Ferring Pharmaceuticals; ACE Foundation; Universidad de Magallanes; BEA Team</t>
  </si>
  <si>
    <t>Agencia Nacional de Investigacion y Desarrollo (ANID); Centro Fondap IDEAL; Instituto Antartico Chileno (INACH) Project; Projects Genomic Antarctic Biodiversity; UKRI-NERC(UK Research &amp; Innovation (UKRI)Natural Environment Research Council (NERC)); British Antarctic Survey; French Polar Institute; Western Australian Museum; Ferring Pharmaceuticals(Ferring Pharmaceuticals); ACE Foundation; Universidad de Magallanes; BEA Team</t>
  </si>
  <si>
    <t>Agencia Nacional de Investigacion y Desarrollo (ANID) Projects, Grant/Award Number: 1210787, 115336 and 3210063; Centro Fondap IDEAL, Grant/Award Number: 15150003; Instituto Antartico Chileno (INACH) Project, Grant/Award Number: RG_18-17; Projects Genomic Antarctic Biodiversity, Grant/Award Number: PIA CONICYT ACT172065 and PIA CONICYT AFB170008; BEA Team; UKRI-NERC; British Antarctic Survey; French Polar Institute; Western Australian Museum; Ferring Pharmaceuticals; ACE Foundation; Universidad de Magallanes</t>
  </si>
  <si>
    <t>10.1111/jbi.14453</t>
  </si>
  <si>
    <t>2Y6WW</t>
  </si>
  <si>
    <t>WOS:000821056700001</t>
  </si>
  <si>
    <t>Cassaro, A; Pacelli, C; Baqué, M; Maturilli, A; Boettger, U; Moeller, R; Fujimori, A; de Vera, JPP; Onofri, S</t>
  </si>
  <si>
    <t>Cassaro, A.; Pacelli, C.; Baque, M.; Maturilli, A.; Boettger, U.; Moeller, R.; Fujimori, A.; de Vera, J-P P.; Onofri, S.</t>
  </si>
  <si>
    <t>Nucleic acids and melanin pigments after exposure to high doses of gamma rays: a biosignature robustness test</t>
  </si>
  <si>
    <t>Biosignatures; ExoMars; life-detection; Mars; nucleic acids; pigments</t>
  </si>
  <si>
    <t>IONIZING-RADIATION; FUNGI; LIFE; SURVIVAL; RESISTANCE; SEARCH; SPECTROSCOPY; SUBSURFACE; INTEGRITY; INSIGHTS</t>
  </si>
  <si>
    <t>The question about the stability of certain biomolecules is directly connected to the life-detection missions aiming to search for past or present life beyond Earth. The extreme conditions experienced on extraterrestrial planet surface (e.g. Mars), characterized by ionizing and non-ionizing radiation, CO2-atmosphere and reactive species, may destroy the hypothetical traces of life. In this context, the study of the biomolecules behaviour after ionizing radiation exposure could provide support for the onboard instrumentation and data interpretation of the life exploration missions on other planets. Here, as a part of STARLIFE campaign, we investigated the effects of gamma rays on two classes of fungal biomolecules-nucleic acids and melanin pigments - considered as promising biosignatures to search for during the 'in situ life-detection' missions beyond Earth.</t>
  </si>
  <si>
    <t>[Cassaro, A.; Pacelli, C.; Onofri, S.] Univ Tuscia, Dept Ecol &amp; Biol Sci, Largo Univ Snc, I-01100 Viterbo, Italy; [Pacelli, C.] Italian Space Agcy, Human Spaceflight &amp; Sci Res Unit, Via Politecn Snc, Rome, Italy; [Baque, M.; Maturilli, A.] German Aerosp Ctr DLR eV, Inst Planetary Res, Planetary Labs Dept, Rutherfordstr 2, Berlin, Germany; [Boettger, U.] German Aerosp Ctr DLR eV, Inst Opt Sensor Syst, Rutherfordstr 2, Berlin, Germany; [Moeller, R.] German Aerosp Ctr DLR eV, Inst Aerosp Med, Radiat Biol Dept, Aerosp Microbiol, Berlin, Germany; [Moeller, R.] Univ Appl Sci Bonn Rhein Sieg BRSU, Dept Nat Sci, Rheinbach, Germany; [Fujimori, A.] NIRS QST, Dept Basic Med Sci Radiat Damages, Mol &amp; Cellular Radiat Biol Grp, Chiba, Japan; [de Vera, J-P P.] German Aerosp Ctr DLR eV, MUSC, Space Operat &amp; Astronaut Training, Cologne, Germany</t>
  </si>
  <si>
    <t>Tuscia University; Agenzia Spaziale Italiana (ASI); Helmholtz Association; German Aerospace Centre (DLR); Helmholtz Association; German Aerospace Centre (DLR); Helmholtz Association; German Aerospace Centre (DLR); Helmholtz Association; German Aerospace Centre (DLR)</t>
  </si>
  <si>
    <t>Pacelli, C (corresponding author), Univ Tuscia, Dept Ecol &amp; Biol Sci, Largo Univ Snc, I-01100 Viterbo, Italy.;Pacelli, C (corresponding author), Italian Space Agcy, Human Spaceflight &amp; Sci Res Unit, Via Politecn Snc, Rome, Italy.</t>
  </si>
  <si>
    <t>claudia.pacelli@asi.it</t>
  </si>
  <si>
    <t>de Vera, Jean-Pierre Paul/0000-0002-9530-5821; Cassaro, Alessia/0000-0003-2228-9004; Baque, Mickael/0000-0002-6696-6030</t>
  </si>
  <si>
    <t>Italian National Antarctic Museum 'Felice Ippolito'; Italian Space Agency [2018-6-U.0]</t>
  </si>
  <si>
    <t>Italian National Antarctic Museum 'Felice Ippolito'; Italian Space Agency(Agenzia Spaziale Italiana (ASI))</t>
  </si>
  <si>
    <t>We thank the PNRA (Italian National Program for Antarctic Research) for supporting sample collection in Antarctica, and the Italian National Antarctic Museum 'Felice Ippolito', for funding MNA-CCFEE. We acknowledge the HIMAC team at the NIRS in Chiba, Japan for the irradiation. We thank the Italian Space Agency for the grant n. 2018-6-U.0 (BioSigN MicroFossils).</t>
  </si>
  <si>
    <t>PII S1473550422000180</t>
  </si>
  <si>
    <t>10.1017/S1473550422000180</t>
  </si>
  <si>
    <t>WOS:000821333800001</t>
  </si>
  <si>
    <t>Shen, XY; Ke, CQ; Fan, YB; Drolma, L</t>
  </si>
  <si>
    <t>Shen, Xiaoyi; Ke, Chang-Qing; Fan, Yubin; Drolma, Lhakpa</t>
  </si>
  <si>
    <t>A new digital elevation model (DEM) dataset of the entire Antarctic continent derived from ICESat-2</t>
  </si>
  <si>
    <t>ICE-SHEET; SATELLITE RADAR; GREENLAND; GLACIERS; OCEAN; SNOW; FLOW</t>
  </si>
  <si>
    <t>Antarctic digital elevation models (DEMs) are essential for fieldwork, ice motion tracking and the numerical modelling of the ice sheet. In the past 30 years, several Antarctic DEMs derived from satellite data have been published. However, these DEMs either have coarse spatial resolution or aggregate observations spanning several years, which limit their further scientific applications. In this study, the new generation satellite laser altimeter Ice, Cloud, and Land Elevation Satellite-2 (ICESat-2) is used to generate a new Antarctic DEM for both the ice sheet and ice shelves. Approximately 4.69 x 10(9) ICESat-2 measurement points from November 2018 to November 2019 are used to estimate surface elevations at resolutions of 500 m and 1 km based on a spatiotemporal fitting method. Approximately 74 % of Antarctica is observed and the remaining observation gaps are interpolated using the normal kriging method. The DEM is formed from the estimated elevations in 500 m and 1 km grid cells, and is finally posted at the resolution of 500 m. National Aeronautics and Space Administration (NASA) Operation IceBridge (OIB) airborne data are used to evaluate the generated Antarctic DEM (hereafter called the ICESat-2 DEM) in individual Antarctic regions and surface types. Overall, a median bias of -0.19 m and a root-mean-square deviation of 10.83 m result from approximately 5.2 x 10(6) OIB measurement points. The accuracy and uncertainty of the ICESat-2 DEM vary in relation to the surface slope and roughness, and more reliable estimates are found in the flat ice sheet interior. The ICESat-2 DEM is comparable to other DEMs derived from altimetry, stereophotogrammetry and interferometry. Similar results are found when comparing to elevation measurements from kinematic Global Navigation Satellite System (GNSS) (GPS and the Russian GLONASS) transects. The elevations of high accuracy and ability of annual updates make the ICESat-2 DEM an addition to the existing Antarctic DEM groups, and it can be further used for other scientific applications. The generated ICESat-2 DEM (including the map of uncertainty) can be downloaded from National Tibetan Plateau Data Center, Institute of Tibetan Plateau Research, Chinese Academy of Sciences at https://data.tpdc.ac.cn/en/disallow/9427069c-117e-4ff8-96e0-4b18eb7782cb/ (last access: 27 June 2022) (Shen et al., 2021a, https://doi.org/10.11888/Geogra.tpdc.271448).</t>
  </si>
  <si>
    <t>[Shen, Xiaoyi; Ke, Chang-Qing; Fan, Yubin] Nanjing Univ, Sch Geog &amp; Ocean Sci, Nanjing 210023, Peoples R China; [Shen, Xiaoyi; Ke, Chang-Qing; Fan, Yubin] Nanjing Univ, Jiangsu Prov Key Lab Geog Informat Sci &amp; Technol, Nanjing 210023, Peoples R China; [Drolma, Lhakpa] Tibet Meteorol Bur, Inst Tibetan Plateau Atmospher &amp; Environm Sci, Lhasa 850000, Peoples R China</t>
  </si>
  <si>
    <t>Nanjing University; Nanjing University</t>
  </si>
  <si>
    <t>Ke, CQ (corresponding author), Nanjing Univ, Sch Geog &amp; Ocean Sci, Nanjing 210023, Peoples R China.;Ke, CQ (corresponding author), Nanjing Univ, Jiangsu Prov Key Lab Geog Informat Sci &amp; Technol, Nanjing 210023, Peoples R China.</t>
  </si>
  <si>
    <t>kecq@nju.edu.cn</t>
  </si>
  <si>
    <t>National Natural Science Foundation of China [41976212, 41830105]; Natural Science Foundation of Jiangsu Province [BK20210193]</t>
  </si>
  <si>
    <t>National Natural Science Foundation of China(National Natural Science Foundation of China (NSFC)); Natural Science Foundation of Jiangsu Province(Natural Science Foundation of Jiangsu Province)</t>
  </si>
  <si>
    <t>This research has been supported by the National Natural Science Foundation of China (grant nos. 41976212, 41830105) and the Natural Science Foundation of Jiangsu Province (grant no. BK20210193).</t>
  </si>
  <si>
    <t>10.5194/essd-14-3075-2022</t>
  </si>
  <si>
    <t>2R5ID</t>
  </si>
  <si>
    <t>WOS:000821144700001</t>
  </si>
  <si>
    <t>Xue, JJ; Xiao, ZN; Bromwich, DH; Bai, LS</t>
  </si>
  <si>
    <t>Xue, Jianjun; Xiao, Ziniu; Bromwich, David H.; Bai, Lesheng</t>
  </si>
  <si>
    <t>Polar WRF V4.1.1 simulation and evaluation for the Antarctic and Southern Ocean</t>
  </si>
  <si>
    <t>FRONTIERS OF EARTH SCIENCE</t>
  </si>
  <si>
    <t>Polar WRF; downscaling simulation; performance evaluation; the Antarctic and Southern Ocean</t>
  </si>
  <si>
    <t>WEATHER RESEARCH; FORECASTING-MODEL; SCIENCE; PERFORMANCE</t>
  </si>
  <si>
    <t>A recent version of the Polar Weather Research and Forecasting model (Polar WRF) has been upgraded to the version 4.X era with an improved NoahMP Land Surface Model (LSM). To assess the model performance over the Antarctic and Southern Ocean, downscaling simulations with different LSM (NoahMP, Noah), WRF versions (Polar WRF 4.1.1 and earlier version 4.0.3, WRF 4.1.1), and driving data (ERA-Interim, ERA5) are examined with two simulation modes: the short-term that consists of a series of 48 h segments initialized daily at 0000 UTC with the first 24 h selected for model spin-up, whereas the long-term component used to evaluate long-term prediction consists of a series of 38-41 day segments initialized using the first 10 days for spin-up of the hydrological cycle and planetary boundary layer structure. Simulations using short-term mode driven by ERA-Interim with NoahMP and Noah are selected for benchmark experiments. The results show that Polar WRF 4.1.1 has good skills over the Antarctic and Southern Ocean and better performance than earlier simulations. The reduced downward shortwave radiation bias released with WRF 4.1.1 performed well with PWRF411. Although NoahMP and Noah led to very similar conclusions, NoahMP is slightly better than Noah, particularly for the 2 m temperature and surface radiation because the minimum albedo is set at 0.8 over the ice sheet. Moreover, a suitable nudging setting plays an important role in long-term forecasts, such as reducing the surface temperature diurnal cycle near the coast. The characteristics investigated in this study provide a benchmark to improve the model and guidance for further application of Polar WRF in the Antarctic.</t>
  </si>
  <si>
    <t>[Xue, Jianjun; Xiao, Ziniu] Chinese Acad Sci, Inst Atmospher Phys, State Key Lab Numer Modeling Atmospher Sci &amp; Geop, Beijing 100029, Peoples R China; [Xue, Jianjun] Univ Chinese Acad Sci, Beijing 100049, Peoples R China; [Bromwich, David H.; Bai, Lesheng] Ohio State Univ, Byrd Polar &amp; Climate Res Ctr, Polar Meteorol Grp, Columbus, OH 43210 USA; [Xue, Jianjun] China Meteorol Adm, Training Ctr, Beijing 100081, Peoples R China</t>
  </si>
  <si>
    <t>Chinese Academy of Sciences; Institute of Atmospheric Physics, CAS; Chinese Academy of Sciences; University of Chinese Academy of Sciences, CAS; University System of Ohio; Ohio State University; China Meteorological Administration</t>
  </si>
  <si>
    <t>Xiao, ZN (corresponding author), Chinese Acad Sci, Inst Atmospher Phys, State Key Lab Numer Modeling Atmospher Sci &amp; Geop, Beijing 100029, Peoples R China.;Bromwich, DH (corresponding author), Ohio State Univ, Byrd Polar &amp; Climate Res Ctr, Polar Meteorol Grp, Columbus, OH 43210 USA.</t>
  </si>
  <si>
    <t>xiaozn@lasg.iap.ac.cn; bromwich.l@osu.edu</t>
  </si>
  <si>
    <t>Xue, Jianjun/0000-0001-5677-1507</t>
  </si>
  <si>
    <t>Chinese Academy of Sciences [XDA20060501]; National Natural Science Foundation of China [91937000]; Office of Naval Research (ONR) [N00014-18-1-2361]; Italian National Program of Antarctic Research</t>
  </si>
  <si>
    <t>Chinese Academy of Sciences(Chinese Academy of Sciences); National Natural Science Foundation of China(National Natural Science Foundation of China (NSFC)); Office of Naval Research (ONR)(Office of Naval Research); Italian National Program of Antarctic Research</t>
  </si>
  <si>
    <t>This research was supported by the Chinese Academy of Sciences (No. XDA20060501) and the National Natural Science Foundation of China (Grant No. 91937000) to the first two authors. The other co-authors were supported by the Office of Naval Research (ONR) (No. N00014-18-1-2361). We are grateful to the Antarctic Meteorological Research Center (AMRC) at the University of Wisconsin-Madison and the OGIMET database for the surface observations. We also would like to thank University of Wyoming and the Antarctic Meteo-Climatological Observatory funded by the Italian National Program of Antarctic Research for the upper-air observation data. We appreciate the use of BSRN stations data for downwelling surface longwave and shortwave radiation. Thanks for the comments from the reviewers and editors that substantially improved this article. Contribution No. 1616 of Byrd Polar and Climate Research Center.</t>
  </si>
  <si>
    <t>2095-0195</t>
  </si>
  <si>
    <t>2095-0209</t>
  </si>
  <si>
    <t>FRONT EARTH SCI-PRC</t>
  </si>
  <si>
    <t>10.1007/s11707-022-0971-8</t>
  </si>
  <si>
    <t>7W8KM</t>
  </si>
  <si>
    <t>WOS:000821369700003</t>
  </si>
  <si>
    <t>Sanders, RNC; Jones, DC; Josey, SA; Sinha, B; Forget, G</t>
  </si>
  <si>
    <t>Sanders, Rachael N. C.; Jones, Daniel C.; Josey, Simon A.; Sinha, Bablu; Forget, Gael</t>
  </si>
  <si>
    <t>Causes of the 2015 North Atlantic cold anomaly in a global state estimate</t>
  </si>
  <si>
    <t>SURFACE TEMPERATURE ANOMALIES; ATMOSPHERIC CIRCULATION; OCEAN; OSCILLATION; CLIMATOLOGY; MECHANISMS</t>
  </si>
  <si>
    <t>The subpolar North Atlantic is an important part of the global ocean and climate system, with SST variability in the region influencing the climate of Europe and North America. While the majority of the global ocean exhibited higher than average surface temperatures in 2015, the subpolar North Atlantic experienced record low temperatures. This interannual cold anomaly is thought to have been driven by surface forcing, but detailed questions remain about how the anomaly was created and maintained. To better quantify and understand the processes responsible for the cold anomaly, we computed mixed-layer temperature budgets in the Estimating the Circulation and Climate of the Ocean (ECCO) Version 4 global ocean state estimate. State estimates have been brought into consistency with a large suite of observations without using artificial sources or sinks of heat, making them ideal for temperature budget studies. We found that strong surface forcing drove approximately 75 % of the initial anomalies in the cooling of the mixed layer in December 2013, while horizontal advection drove the remaining 25 %. The cold anomaly was then sequestered beneath the mixed layer. Re-emergence of the cold anomaly during the summer and autumn of 2014 was primarily the result of a strong temperature gradient across the base of the mixed layer, with vertical diffusion accounting for approximately 70 % of the re-emergence. Weaker surface warming of the mixed layer during the summer of 2015 enhanced the anomaly, causing a temperature minimum. Spatial patterns in the budgets also show large differences between the north and south of the anomaly region, with particularly strong initial surface cooling in the south related to the positive phase of the East Atlantic Pattern. It is important to note that this interannual cold anomaly, which is thought to be primarily driven by surface forcing, is distinct from the multi-decadal North Atlantic warming hole, which has been associated with changes in advection.</t>
  </si>
  <si>
    <t>[Sanders, Rachael N. C.; Jones, Daniel C.] UKRI, NERC, British Antarctic Survey, Cambridge, England; [Josey, Simon A.; Sinha, Bablu] Natl Oceanog Ctr, Southampton, Hants, England; [Forget, Gael] MIT, EAPS, Cambridge, MA 02139 USA</t>
  </si>
  <si>
    <t>UK Research &amp; Innovation (UKRI); Natural Environment Research Council (NERC); NERC British Antarctic Survey; NERC National Oceanography Centre; Massachusetts Institute of Technology (MIT)</t>
  </si>
  <si>
    <t>Sanders, RNC (corresponding author), UKRI, NERC, British Antarctic Survey, Cambridge, England.</t>
  </si>
  <si>
    <t>racnde@bas.ac.uk</t>
  </si>
  <si>
    <t>Sanders, Rachael/0000-0003-1936-8772; Josey, Simon/0000-0002-1683-8831; Jones, Dani/0000-0002-8701-4506</t>
  </si>
  <si>
    <t>UK Natural Environment Research Council ACSIS programme [NE/N018028/1]; UK Research and Innovation [MR/T020822/1]; NERC ACSIS programme [NE/N018044/1]; NASA [1553749]; Simons Foundation [549931]; FLF [MR/T020822/1] Funding Source: UKRI; NERC [NE/V013246/1, NE/N018044/1, NE/N018028/1] Funding Source: UKRI</t>
  </si>
  <si>
    <t>UK Natural Environment Research Council ACSIS programme; UK Research and Innovation(UK Research &amp; Innovation (UKRI)); NERC ACSIS programme; NASA(National Aeronautics &amp; Space Administration (NASA)); Simons Foundation; FLF; NERC(UK Research &amp; Innovation (UKRI)Natural Environment Research Council (NERC))</t>
  </si>
  <si>
    <t>RS was supported by the UK Natural Environment Research Council ACSIS programme (NE/N018028/1). Daniel C. Jones was supported by UK Research and Innovation grant MR/T020822/1. Simon A. Josey and Bablu Sinha were supported by the NERC ACSIS programme (NE/N018044/1). Gael Forget is supported by NASA award 1553749 and Simons Foundation award 549931.</t>
  </si>
  <si>
    <t>10.5194/os-18-953-2022</t>
  </si>
  <si>
    <t>2R3VX</t>
  </si>
  <si>
    <t>Green Accepted, gold, Green Submitted</t>
  </si>
  <si>
    <t>WOS:000821042000001</t>
  </si>
  <si>
    <t>Dupont, V; Bonnet-Lebrun, AS; Boileve, A; Debrumetz, A; Wynckel, A; Braconnier, A; Colosio, C; Mokri, L; Schvartz, B; Vuiblet, V; Barbe, C; Jozwiak, M; Rieu, P</t>
  </si>
  <si>
    <t>Dupont, Vincent; Bonnet-Lebrun, Anne-Sophie; Boileve, Alice; Debrumetz, Alexandre; Wynckel, Alain; Braconnier, Antoine; Colosio, Charlotte; Mokri, Laetitia; Schvartz, Betoul; Vuiblet, Vincent; Barbe, Coralie; Jozwiak, Mathieu; Rieu, Philippe</t>
  </si>
  <si>
    <t>In Reply to Abdominal Pressure and Fluid Status After Kidney Transplantation</t>
  </si>
  <si>
    <t>KIDNEY INTERNATIONAL REPORTS</t>
  </si>
  <si>
    <t>INTRAABDOMINAL HYPERTENSION</t>
  </si>
  <si>
    <t>[Dupont, Vincent; Debrumetz, Alexandre; Wynckel, Alain; Braconnier, Antoine; Colosio, Charlotte; Mokri, Laetitia; Schvartz, Betoul; Vuiblet, Vincent; Rieu, Philippe] Cedars Sinai Med Ctr, Dept Med, Los Angeles, CA 90048 USA; [Dupont, Vincent] CHU Reims, Dept Nephrol, Reims, France; [Dupont, Vincent] Invest Network Initiat Cardiovasc &amp; Renal Clin Tr, French Clin Res Infrastruct Network, Reims, France; [Bonnet-Lebrun, Anne-Sophie] British Antarctic Survey, Cambridge, England; [Boileve, Alice] Gustave Roussy, Dept Med Oncol, Villejuif, France; [Barbe, Coralie] Univ Reims, Res Hlth Univ Dept, Reims, France; [Jozwiak, Mathieu] CHU Nice, Serv Med Intens Reanimat, Nice, France; [Jozwiak, Mathieu] Univ Cote Azur UCA, UR2CA Unite Rech Clin Cote Azur, Equipe CARRES 2, Nice, France</t>
  </si>
  <si>
    <t>Cedars Sinai Medical Center; Universite de Reims Champagne-Ardenne; CHU de Reims; UK Research &amp; Innovation (UKRI); Natural Environment Research Council (NERC); NERC British Antarctic Survey; UNICANCER; Gustave Roussy; Universite de Reims Champagne-Ardenne; CHU Nice</t>
  </si>
  <si>
    <t>Dupont, V (corresponding author), Cedars Sinai Med Ctr, Dept Med, Los Angeles, CA 90048 USA.</t>
  </si>
  <si>
    <t>Vincent.dupont@cshs.org</t>
  </si>
  <si>
    <t>BRACONNIER, Antoine/HNB-9120-2023; Rieu, Philippe/KBC-3783-2024; Bonnet-Lebrun, Anne-Sophie/GYU-2977-2022</t>
  </si>
  <si>
    <t>2468-0249</t>
  </si>
  <si>
    <t>KIDNEY INT REP</t>
  </si>
  <si>
    <t>Kidney Int. Rep.</t>
  </si>
  <si>
    <t>10.1016/j.ekir.2022.04.087</t>
  </si>
  <si>
    <t>Urology &amp; Nephrology</t>
  </si>
  <si>
    <t>3E0PP</t>
  </si>
  <si>
    <t>WOS:000829694600021</t>
  </si>
  <si>
    <t>Jiang, P; Wang, ZM; Yan, BY; Ai, ST; Jin, S</t>
  </si>
  <si>
    <t>Jiang, Pei; Wang, Zemin; Yan, Boya; Ai, Songtao; Jin, Shuang</t>
  </si>
  <si>
    <t>Changes in the Runoff of Urumqi Glacier No. 1 Under Climate Change: From Historical Observation to Future Prediction</t>
  </si>
  <si>
    <t>Urumqi Glacier No; 1; Elmer; Ice; climate change; glacier meltwater; glacier runoff; ice volume</t>
  </si>
  <si>
    <t>MASS-BALANCE; EASTERN TIANSHAN; SIMULATION; SHRINKAGE; RETREAT; IMPACT; SHAN; WILL; ASIA</t>
  </si>
  <si>
    <t>This study explores the ice volumes of Urumqi Glacier No. 1 from 2013 to 2112 to examine the changes in the runoff of the glacier. Based on the Sixth Assessment Report of the Intergovernmental Panel on Climate Change (IPCC), the changes of the glacier were predicted under three hypothetical climate scenarios: SSP1-1.9, SSP2-4.5, and SSP5-8.5 scenarios. The results derived from the Elmer/Ice ice-flow model showed increasing runoff till 2040 in the SSP2-4.5 and SSP5-8.5 scenarios and gradually decreasing runoff in the SSP1-1.9 scenario. The glacier areas and ice volumes of the two branches will keep declining under all the climate scenarios, including fast reductions until 2080 and slow reductions by the end of the ablation period. Moreover, the east branch (EB) will disappear at the end of the 21st century under the SSP2-4.5 and SSP5-8.5 scenarios. With much mass loss of the EB under all the climate scenarios, the runoff will increase in the early 100-year period and decrease until it is being infinitely close to the precipitation, which is similar with that of the west branch (WB). Since 2070, the ice volumes of the WB will contribute more than 50% of the whole glacier volumes under all the climate scenarios. The WB ice volume percentage will reach 100% in 2080 for the disappearance of the EB under the SSP5-8.5 scenario. As the fast retreat of the EB before 2080, the variations of the total runoff will be consistent with that of the EB runoff, and the EB runoff will account for more than 60% of the total runoff before 2070 under all the climate scenarios. Even if the meltwater of Urumqi Glacier No. 1 is stable from the late 21st century (after 2090), it will decline to approximately 15% of that in 2013. It will greatly influence the runoff of Urumqi River, hence human life and biodiversity.</t>
  </si>
  <si>
    <t>[Jiang, Pei; Wang, Zemin; Yan, Boya; Ai, Songtao; Jin, Shuang] Wuhan Univ, Chinese Antarctic Ctr Surveying &amp; Mapping, Wuhan, Peoples R China; [Jin, Shuang] Chinese Acad Sci, Northwest Inst Ecoenvironm &amp; Resources, State Key Lab Cryospher Sci, Lanzhou, Peoples R China</t>
  </si>
  <si>
    <t>Wuhan University; Chinese Academy of Sciences</t>
  </si>
  <si>
    <t>Yan, BY (corresponding author), Wuhan Univ, Chinese Antarctic Ctr Surveying &amp; Mapping, Wuhan, Peoples R China.</t>
  </si>
  <si>
    <t>yan_by@whu.edu.cn</t>
  </si>
  <si>
    <t>JUL 5</t>
  </si>
  <si>
    <t>10.3389/feart.2022.920768</t>
  </si>
  <si>
    <t>3C7HH</t>
  </si>
  <si>
    <t>WOS:000828790700001</t>
  </si>
  <si>
    <t>Cinner, JE; Caldwell, IR; Thiault, L; Ben, J; Blanchard, JL; Coll, M; Diedrich, A; Eddy, TD; Everett, JD; Folberth, C; Gascuel, D; Guiet, J; Gurney, GG; Heneghan, RF; Jägermeyr, J; Jiddawi, N; Lahari, R; Kuange, J; Liu, WF; Maury, O; Müller, C; Novaglio, C; Palacios-Abrantes, J; Petrik, CM; Rabearisoa, A; Tittensor, DP; Wamukota, A; Pollnac, R</t>
  </si>
  <si>
    <t>Cinner, Joshua E.; Caldwell, Iain R.; Thiault, Lauric; Ben, John; Blanchard, Julia L.; Coll, Marta; Diedrich, Amy; Eddy, Tyler D.; Everett, Jason D.; Folberth, Christian; Gascuel, Didier; Guiet, Jerome; Gurney, Georgina G.; Heneghan, Ryan F.; Jagermeyr, Jonas; Jiddawi, Narriman; Lahari, Rachael; Kuange, John; Liu, Wenfeng; Maury, Olivier; Muller, Christoph; Novaglio, Camilla; Palacios-Abrantes, Juliano; Petrik, Colleen M.; Rabearisoa, Ando; Tittensor, Derek P.; Wamukota, Andrew; Pollnac, Richard</t>
  </si>
  <si>
    <t>Potential impacts of climate change on agriculture and fisheries production in 72 tropical coastal communities</t>
  </si>
  <si>
    <t>REEF; MODEL; DIVERSIFICATION; VULNERABILITY; OCEAN; CONSERVATION; DEPENDENCY; STRATEGIES; POVERTY; PROJECT</t>
  </si>
  <si>
    <t>Climate change is expected to profoundly affect key food production sectors, including fisheries and agriculture. However, the potential impacts of climate change on these sectors are rarely considered jointly, especially below national scales, which can mask substantial variability in how communities will be affected. Here, we combine socioeconomic surveys of 3,008 households and intersectoral multi-model simulation outputs to conduct a sub-national analysis of the potential impacts of climate change on fisheries and agriculture in 72 coastal communities across five Indo-Pacific countries (Indonesia, Madagascar, Papua New Guinea, Philippines, and Tanzania). Our study reveals three key findings: First, overall potential losses to fisheries are higher than potential losses to agriculture. Second, while most locations (&gt; 2/3) will experience potential losses to both fisheries and agriculture simultaneously, climate change mitigation could reduce the proportion of places facing that double burden. Third, potential impacts are more likely in communities with lower socioeconomic status. Responses of agriculture and fisheries to climate change are interlinked, yet rarely studied together. Here, the authors analyse more than 3000 households from 5 tropical countries and forecast mid-century climate change impacts, finding that communities with higher fishery dependence and lower socioeconomic status communities face greater losses.</t>
  </si>
  <si>
    <t>[Cinner, Joshua E.; Caldwell, Iain R.; Gurney, Georgina G.] James Cook Univ, ARC Ctr Excellence Coral Reef Studies, Townsville, Qld 4811, Australia; [Thiault, Lauric] PSL Univ Paris, Natl Ctr Sci Res, CRIOBE, Maison Oceans,USR 3278,CNRS EPHE UPVD, 195 Rue St Jacques, F-75005 Paris, France; [Thiault, Lauric] Moana Ecol, Rocbaron, France; [Blanchard, Julia L.; Novaglio, Camilla] Univ Tasmania, Inst Marine &amp; Antarctic Studies, Hobart, Tas, Australia; [Blanchard, Julia L.; Novaglio, Camilla] Ctr Marine Socioecol, Hobart, Tas, Australia; [Coll, Marta] Inst Marine Sci ICM CSIC, Barcelona 08003, Spain; [Coll, Marta] Ecopath Int Initiat EII, Barcelona 08003, Spain; [Diedrich, Amy] James Cook Univ, Coll Sci &amp; Engn, Bldg 142, Townsville, Qld 4811, Australia; [Diedrich, Amy] James Cook Univ, Ctr Sustainable Trop Fisheries &amp; Aquaculture, Townsville, Qld 4811, Australia; [Eddy, Tyler D.] Mem Univ Newfoundland, Ctr Fisheries Ecosyst Res, Fisheries &amp; Marine Inst, St John, NL, Canada; [Everett, Jason D.] Univ Queensland, Sch Math &amp; Phys, Brisbane, Qld, Australia; [Everett, Jason D.] CSIR0 Oceans &amp; Atmosphere, Queensland Biosci Precinct, St Lucia, Qld, Australia; [Everett, Jason D.] Univ New South Wales, Ctr Marine Sci &amp; Innovat, Sch Biol Earth &amp; Environm Sci, Sydney, NSW, Australia; [Folberth, Christian] Int Inst Appl Syst Anal, Biodivers &amp; Nat Resources Program, Schlosspl 1, A-2361 Laxenburg, Austria; [Gascuel, Didier] Inrae, Ifremer, Inst Agro, DECOD Ecosyst Dynam &amp; Sustainabil, Rennes, France; [Guiet, Jerome] Univ Calif Los Angeles, Dept Atmospher &amp; Ocean Sci, Los Angeles, CA USA; [Heneghan, Ryan F.] Queensland Univ Technol, Sch Math Sci, Brisbane, Qld, Australia; [Jagermeyr, Jonas] NASA, Goddard Inst Space Studies, New York, NY 10025 USA; [Jagermeyr, Jonas] Columbia Univ, Climate Sch, New York, NY 10025 USA; [Jagermeyr, Jonas; Muller, Christoph] Leibniz Assoc, Potsdam Inst Climate Impact Res PIK, Potsdam, Germany; [Jiddawi, Narriman] Univ Dar Es Salaam, Inst Marine Sci, Zanzibar, Tanzania; [Kuange, John] Wildlife Conservat Soc, Goroka, Ehp, Papua N Guinea; [Liu, Wenfeng] China Agr Univ, Coll Water Resources &amp; Civil Engn, Ctr Agr Water Res China, Beijing 100083, Peoples R China; [Maury, Olivier] Univ Montpellier, CNRS, Ifremer, MARBEC,IRD, Sete, France; [Palacios-Abrantes, Juliano] Univ Wisconsin Madison, Ctr Limnol, Madison, WI USA; [Palacios-Abrantes, Juliano] Univ British Columbia, Inst Oceans &amp; Fisheries, Vancouver, BC, Canada; [Petrik, Colleen M.] Univ Calif San Diego, Scripps Inst Oceanog, San Diego, CA 92093 USA; [Rabearisoa, Ando] Univ Calif Santa Cruz, Dept Ecol &amp; Evolutionary Biol, Santa Cruz, CA 95064 USA; [Tittensor, Derek P.] Dalhousie Univ, Dept Biol, Halifax, NS B3H 4R2, Canada; [Tittensor, Derek P.] United Nations Environm Programme World Conservat, 219 Huntingdon Rd, Cambridge CB3 0DL, England; [Wamukota, Andrew] Pwani Univ, Sch Environm &amp; Earth Sci, POB 195, Kilifi, Kenya; [Pollnac, Richard] Univ Rhode Isl, Dept Marine Affairs, Kingston, RI 02881 USA; [Pollnac, Richard] Univ Washington, Sch Marine &amp; Environm Affairs, 3707 Brooklyn Ave NE, Seattle, WA 98105 USA</t>
  </si>
  <si>
    <t>James Cook University; Universite PSL; Centre National de la Recherche Scientifique (CNRS); CNRS - Institute of Ecology &amp; Environment (INEE); University of Tasmania; Consejo Superior de Investigaciones Cientificas (CSIC); CSIC - Centro Mediterraneo de Investigaciones Marinas y Ambientales (CMIMA); CSIC - Instituto de Ciencias del Mar (ICM); James Cook University; James Cook University; Memorial University Newfoundland; University of Queensland; University of New South Wales Sydney; International Institute for Applied Systems Analysis (IIASA); Ifremer; Institut Agro; INRAE; University of California System; University of California Los Angeles; Queensland University of Technology (QUT); National Aeronautics &amp; Space Administration (NASA); NASA Goddard Space Flight Center; Goddard Institute for Space Studies; Columbia University; Potsdam Institut fur Klimafolgenforschung; University of Dar es Salaam; China Agricultural University; Ifremer; Institut de Recherche pour le Developpement (IRD); Centre National de la Recherche Scientifique (CNRS); Universite de Montpellier; University of Wisconsin System; University of Wisconsin Madison; University of British Columbia; University of California System; University of California San Diego; Scripps Institution of Oceanography; University of California System; University of California Santa Cruz; Dalhousie University; Pwani University; University of Rhode Island; University of Washington; University of Washington Seattle</t>
  </si>
  <si>
    <t>Cinner, JE (corresponding author), James Cook Univ, ARC Ctr Excellence Coral Reef Studies, Townsville, Qld 4811, Australia.</t>
  </si>
  <si>
    <t>Joshua.cinner@jcu.edu.au</t>
  </si>
  <si>
    <t>Maury, Olivier/I-4513-2013; Müller, Christoph/E-4812-2016; Gascuel, Didier/C-1439-2011; Palacios Abrantes, Juliano E./ITV-0093-2023; Cinner, Joshua Eli/E-8966-2011; Liu, Wenfeng/D-3715-2017; Eddy, Tyler/ABE-7092-2021; Everett, Jason/C-4557-2008; Coll, Marta/A-9488-2012</t>
  </si>
  <si>
    <t>Maury, Olivier/0000-0002-7999-9982; Müller, Christoph/0000-0002-9491-3550; Gascuel, Didier/0000-0001-5447-6977; Palacios Abrantes, Juliano E./0000-0001-8969-5416; Cinner, Joshua Eli/0000-0003-2675-9317; Liu, Wenfeng/0000-0002-8699-3677; Eddy, Tyler/0000-0002-2833-9407; Petrik, Colleen/0000-0003-3253-0455; Rabearisoa, Ando/0000-0001-5371-7695; Folberth, Christian/0000-0002-6738-5238; Thiault, Lauric/0000-0002-5572-7632; Everett, Jason/0000-0002-6681-8054; Heneghan, Ryan/0000-0001-7626-1248; Caldwell, Iain/0000-0001-8148-8762; Coll, Marta/0000-0001-6235-5868</t>
  </si>
  <si>
    <t>Australian Research Council [CE140100020, FT160100047, DP110101540, DP0877905, DE210101918]; Natural Sciences and Engineering Research Council of Canada [RGPIN-2021-04319]; Spanish project ProOceans [RETOS-PID2020-118097RB-I00]; 'Severo Ochoa Centre of Excellence' accreditation [CEX2019-000928-S]; NOAA [NA20OAR4310441, NA20OAR4310442]; Ministerio de Ciencia e Innovacion, Proyectos de I+D+I [RETOS-PID2020-118097RB-I00]; Australian Research Council [DP0877905, DE210101918] Funding Source: Australian Research Council</t>
  </si>
  <si>
    <t>Australian Research Council(Australian Research Council); Natural Sciences and Engineering Research Council of Canada(Natural Sciences and Engineering Research Council of Canada (NSERC)CGIAR); Spanish project ProOceans; 'Severo Ochoa Centre of Excellence' accreditation; NOAA(National Oceanic Atmospheric Admin (NOAA) - USA); Ministerio de Ciencia e Innovacion, Proyectos de I+D+I; Australian Research Council(Australian Research Council)</t>
  </si>
  <si>
    <t>J.E.C. is supported by the Australian Research Council (CE140100020, FT160100047, DP110101540, and DP0877905). This work was undertaken as part of the Consultative Group for International Agricultural Research (CGIAR) Research Program on Fish Agri-Food Systems (FISH) led by WorldFish. T.D.E acknowledges support from the Natural Sciences and Engineering Research Council of Canada (RGPIN-2021-04319). M.C. and J.S. acknowledge support from the Spanish project ProOceans (RETOS-PID2020-118097RB-I00) and the 'Severo Ochoa Centre of Excellence' accreditation (CEX2019-000928-S) to the Institute of Marine Science (ICM-CSIC). G.G.G. acknowledges support from an Australian Research Council Discovery Early Career Research Award (DE210101918). C.M.P. acknowledges support from NOAA grants NA20OAR4310441 and NA20OAR4310442. M.C. acknowledges the financial support of Ministerio de Ciencia e Innovacion, Proyectos de I+D+I (RETOS-PID2020-118097RB-I00, ProOceans) and the institutional support of the 'Severo Ochoa Centre of Excellence' accreditation (CEX2019-000928-S).</t>
  </si>
  <si>
    <t>10.1038/s41467-022-30991-4</t>
  </si>
  <si>
    <t>2S6LH</t>
  </si>
  <si>
    <t>Green Published, gold, Green Accepted, Green Submitted</t>
  </si>
  <si>
    <t>WOS:000821901200014</t>
  </si>
  <si>
    <t>Copilas-Ciocianu, D; Rewicz, T; Sands, AF; Palatov, D; Marin, I; Arbaciauskas, K; Hebert, PDN; Grabowski, M; Audzijonyte, A</t>
  </si>
  <si>
    <t>Copilas-Ciocianu, Denis; Rewicz, Tomasz; Sands, Arthur F.; Palatov, Dmitry; Marin, Ivan; Arbaciauskas, Kestutis; Hebert, Paul D. N.; Grabowski, Michal; Audzijonyte, Asta</t>
  </si>
  <si>
    <t>A DNA barcode reference library for endemic Ponto-Caspian amphipods</t>
  </si>
  <si>
    <t>MULTIPLE SEQUENCE ALIGNMENT; SPECIES FLOCK; KILLER SHRIMP; DIKEROGAMMARUS-VILLOSUS; ECHINOGAMMARUS-ISCHNUS; INTEGRATIVE TAXONOMY; MOLECULAR MARKERS; BALTIC SEA; CRUSTACEA; DIVERSITY</t>
  </si>
  <si>
    <t>The Ponto-Caspian region is an endemicity hotspot that harbours several crustacean radiations, among which amphipods are the most diverse. These poorly known species are severely threatened in their native range, while at the same time they are invading European inland waters with significant ecological consequences. A proper taxonomic knowledge of this fauna is paramount for its conservation within the native region and monitoring outside of it. Here, we assemble a DNA barcode reference library for nearly 60% of all known Ponto-Caspian amphipod species. We use several methods to define molecular operational taxonomic units (MOTUs), based on two mitochondrial markers (COI and 16S), and assess their congruence with current species-level taxonomy based on morphology. Depending on the method, we find that 54-69% of species had congruent morpho-molecular boundaries. The cases of incongruence resulted from lumping distinct morphospecies into a single MOTU (7-27%), splitting a morphospecies into several MOTUs (4-28%), or both (4-11%). MOTUs defined by distance-based methods without a priori divergence thresholds showed the highest congruence with morphological taxonomy. These results indicate that DNA barcoding is valuable for clarifying the diversity of Ponto-Caspian amphipods, but reveals that extensive work is needed to resolve taxonomic uncertainties. Our study advances the DNA barcode reference library for the European aquatic biota, paving the way towards improved taxonomic knowledge needed to enhance monitoring and conservation efforts.</t>
  </si>
  <si>
    <t>[Copilas-Ciocianu, Denis; Arbaciauskas, Kestutis; Audzijonyte, Asta] Nat Res Ctr, Lab Evolutionary Ecol Hydrobionts, LT-08412 Vilnius, Lithuania; [Rewicz, Tomasz; Grabowski, Michal] Univ Lodz, Fac Biol &amp; Environm Protect, Dept Invertebrate Zool &amp; Hydrobiol, PL-90237 Lodz, Poland; [Rewicz, Tomasz; Hebert, Paul D. N.] Univ Guelph, Ctr Biodivers Genom, Guelph, ON N1G 2W1, Canada; [Sands, Arthur F.] Univ Hong Kong, Sch Biol Sci, Area Ecol &amp; Biodivers, Hong Kong, Peoples R China; [Palatov, Dmitry; Marin, Ivan] RAS, AN Severtsov Inst Ecol &amp; Evolut, Moscow 119071, Russia; [Audzijonyte, Asta] Univ Tasmania, Inst Marine &amp; Antarctic Studies, Hobart, Tas, Australia</t>
  </si>
  <si>
    <t>Nature Research Center - Lithuania; University of Lodz; University of Guelph; University of Hong Kong; Russian Academy of Sciences; Saratov Scientific Center of the Russian Academy of Sciences; Severtsov Institute of Ecology &amp; Evolution; University of Tasmania</t>
  </si>
  <si>
    <t>Copilas-Ciocianu, D (corresponding author), Nat Res Ctr, Lab Evolutionary Ecol Hydrobionts, LT-08412 Vilnius, Lithuania.</t>
  </si>
  <si>
    <t>denis.copilas-ciocianu@gamtc.lt</t>
  </si>
  <si>
    <t>Grabowski, Michal/K-1016-2012; Rewicz, Tomasz/H-5332-2018; Copilas-Ciocianu, Denis/F-1956-2011</t>
  </si>
  <si>
    <t>Grabowski, Michal/0000-0002-4551-3454; Rewicz, Tomasz/0000-0002-2085-4973; Copilas-Ciocianu, Denis/0000-0002-6374-2365</t>
  </si>
  <si>
    <t>Research Council of Lithuania [09.3.3-LMT-K-712-19-0149]; Department of Invertebrate Zoology and Hydrobiology of University of Lodz; National Science Centre (Poland) [2017/01/X/NZ8/01086]; European Commission [642973]; Scholarship of the Polish National Agency for Academic Exchange (NAWA) through the Bekker Programme [PPN/BEK/2018/1/00162]; PRIDE programme; New Frontiers in Research Fund</t>
  </si>
  <si>
    <t>Research Council of Lithuania(Research Council of Lithuania (LMTLT)); Department of Invertebrate Zoology and Hydrobiology of University of Lodz; National Science Centre (Poland)(National Science Centre, Poland); European Commission(European Union (EU)European Commission Joint Research Centre); Scholarship of the Polish National Agency for Academic Exchange (NAWA) through the Bekker Programme; PRIDE programme; New Frontiers in Research Fund</t>
  </si>
  <si>
    <t>We are most grateful to the Biodiversity and Systematic Collection, Justus Liebig University Giessen (Thomas Wilke and Christian Albrecht) and members or associates of the PRIDE team (Alberto Martinez Gandara, Ana Pavel, Elman Yusifov, Frank Wesselingh, Feodor Klimov, Konul Ahmadova, Manuel Sala Perez, Matteo Lattuada, Maxim Vinarski, Mikhail Son, Olga &amp; Vitaliy Anistratenko, Sabrina van de Velde, and Shebnem Feteliyeva Farzali), as well as Agnieszka Rewicz, Egle Sidagyte-Copilas, Halyna Morhun, Karolina Bacela-Spychalska, Levan Mumladze, Maciej Podsiadlo, Marek Michalski, Marius G. Berchi, Mihai Pop, Mikhail Daneliya, Radomir Jaskula, Teo Delic, and Tomasz Mamos for their help with sampling and/or providing samples. This study was supported by a grant from the Research Council of Lithuania (contract no. 09.3.3-LMT-K-712-19-0149: A DNA barcode reference library of Ponto-Caspian amphipods: towards improved invasion management and biodiversity conservation). Additional material and data were obtained with the help of statutory funds of the Department of Invertebrate Zoology and Hydrobiology of University of Lodz, the National Science Centre (Poland) (contract no.2017/01/X/NZ8/01086) and the European Commission's Horizon 2020 research and innovation programme (contract no. 642973: Drivers of Pontocaspian Biodiversity Rise and Demise-PRIDE). T.R. was supported by a Scholarship of the Polish National Agency for Academic Exchange (NAWA) through the Bekker Programme (contract no. PPN/BEK/2018/1/00162). A.F.S. acknowledges support from the PRIDE programme. Sequence analysis was partially supported by a grant from the New Frontiers in Research Fund to P.D.N.H.</t>
  </si>
  <si>
    <t>10.1038/s41598-022-15442-w</t>
  </si>
  <si>
    <t>2R6LL</t>
  </si>
  <si>
    <t>WOS:000821221500027</t>
  </si>
  <si>
    <t>Wolfenbarger, NS; Buffo, JJ; Soderlund, KM; Blankenship, DD</t>
  </si>
  <si>
    <t>Wolfenbarger, Natalie S.; Buffo, Jacob J.; Soderlund, Krista M.; Blankenship, Donald D.</t>
  </si>
  <si>
    <t>Ice Shell Structure and Composition of Ocean Worlds: Insights from Accreted Ice on Earth</t>
  </si>
  <si>
    <t>ASTROBIOLOGY</t>
  </si>
  <si>
    <t>Ocean worlds; Ice shell; Marine ice; Sea ice; Fractionation; Salinity</t>
  </si>
  <si>
    <t>SOUTH POLAR TERRAIN; LONG-TERM STABILITY; STRIKE-SLIP FAULTS; YOUNG SEA-ICE; MARINE-ICE; NONSYNCHRONOUS ROTATION; EUROPAS SURFACE; GROWTH-RATE; FRAZIL ICE; LABORATORY EXPERIMENTS</t>
  </si>
  <si>
    <t>Accreted ice retains and preserves traces of the ocean from which it formed. In this work, we study two classes of accreted ice found on Earth-frazil ice, which forms through crystallization within a supercooled water column, and congelation ice, which forms through directional freezing at an existing interface-and discuss where each might be found in the ice shells of ocean worlds. We focus our study on terrestrial ice formed in low temperature gradient environments (e.g., beneath ice shelves), consistent with conditions expected at the ice-ocean interfaces of Europa and Enceladus, and we highlight the juxtaposition of compositional trends in relation to ice formed in higher temperature gradient environments (e.g., at the ocean surface). Observations from Antarctic sub-ice-shelf congelation ice and marine ice show that the purity of frazil ice can be nearly two orders of magnitude higher than congelation ice formed in the same low temperature gradient environment (similar to 0.1% vs. similar to 10% of the ocean salinity). In addition, where congelation ice can maintain a planar ice-water interface on a microstructural scale, the efficiency of salt rejection is enhanced (similar to 1% of the ocean salinity) and lattice soluble impurities such as chloride are preferentially incorporated. We conclude that an ice shell that forms by gradual thickening as its interior cools would be composed of congelation ice, whereas frazil ice will accumulate where the ice shell thins on local (rifts and basal fractures) or regional (latitudinal gradients) scales through the operation of an ice pump.</t>
  </si>
  <si>
    <t>[Wolfenbarger, Natalie S.; Soderlund, Krista M.; Blankenship, Donald D.] Univ Texas Austin, Inst Geophys, Austin, TX USA; [Buffo, Jacob J.] Dartmouth Coll, Thayer Sch Engn, Hanover, NH USA; [Wolfenbarger, Natalie S.] Univ Texas Austin, Inst Geophys, JJ Pickle Res Campus,10100 Burnet Rd, Austin, TX 78759 USA</t>
  </si>
  <si>
    <t>University of Texas System; University of Texas Austin; Dartmouth College; University of Texas System; University of Texas Austin</t>
  </si>
  <si>
    <t>Wolfenbarger, NS (corresponding author), Univ Texas Austin, Inst Geophys, JJ Pickle Res Campus,10100 Burnet Rd, Austin, TX 78759 USA.</t>
  </si>
  <si>
    <t>nwolfenb@utexas.edu</t>
  </si>
  <si>
    <t>Blankenship, Donald D./G-5935-2010</t>
  </si>
  <si>
    <t>Wolfenbarger, Natalie/0000-0001-7990-3891</t>
  </si>
  <si>
    <t>MARY ANN LIEBERT, INC</t>
  </si>
  <si>
    <t>NEW ROCHELLE</t>
  </si>
  <si>
    <t>140 HUGUENOT STREET, 3RD FL, NEW ROCHELLE, NY 10801 USA</t>
  </si>
  <si>
    <t>1531-1074</t>
  </si>
  <si>
    <t>1557-8070</t>
  </si>
  <si>
    <t>Astrobiology</t>
  </si>
  <si>
    <t>10.1089/ast.2021.0044</t>
  </si>
  <si>
    <t>3L2SU</t>
  </si>
  <si>
    <t>WOS:000820892700001</t>
  </si>
  <si>
    <t>MELLES, M; SVENDSEN, JI; FEDOROV, G; BRIGHAM-GRETTE, J; WAGNER, B</t>
  </si>
  <si>
    <t>MELLES, M. A. R. T. I. N.; SVENDSEN, J. O. H. N. I. N. G. E.; FEDOROV, G. R. I. G. O. R. Y.; BRIGHAM-GRETTE, J. U. L. I. E.; WAGNER, B. E. R. N. D.</t>
  </si>
  <si>
    <t>Quaternary environmental and climatic history of the northern high latitudes - recent contributions and perspectives from lake sediment records</t>
  </si>
  <si>
    <t>ARCTIC CLIMATE; GREENLAND; CORE; RECONSTRUCTION; ELGYGYTGYN; AMPLIFICATION; TEMPERATURE; VARIABILITY; RUSSIA; QUARTZ</t>
  </si>
  <si>
    <t>Lake sediment records archive the Quaternary environmental and climatic history in northern high latitudes. Because of their spatial distribution, age range, time resolution, age control, and high sensitivity to paleoenvironmental conditions, lake records contribute to evaluating regional to hemispheric-scale climate change. Here, we compare the characteristics of lake sediments and their qualities for paleoenvironmental and paleoclimatic reconstructions with those of other archives in northern high latitudes, and we outline the current state of research by introducing a series of regional case studies on 31 lakes as part of this special issue. The compilation shows that the coring site selection and interpretation can strongly benefit from bathymetric and seismic or hydro-acoustic surveys. New coring techniques have become available making it possible to expand the records in length and time. Analytical work on the cores has particularly benefited from improved non-destructive logging and scanning techniques, from the development of new proxies, and from advancements in quantitative climate reconstructions. Progress was also made in further developments of dating techniques; however, the recognition of additional isochronal events, e.g., via tephrochronology or paleomagnetic event stratigraphy, is needed to derive a better understanding of leads and lags in climate signal propagation throughout the northern high latitudes.</t>
  </si>
  <si>
    <t>[MELLES, M. A. R. T. I. N.; WAGNER, B. E. R. N. D.] Univ Cologne, Inst Geol &amp; Mineral, Cologne, Germany; [SVENDSEN, J. O. H. N. I. N. G. E.] Univ Bergen, Dept Earth Sci, N-5007 Bergen, Norway; [FEDOROV, G. R. I. G. O. R. Y.] St Petersburg State Univ, Inst Earth Sci, St Petersburg, Russia; [FEDOROV, G. R. I. G. O. R. Y.] FSBI Arctic &amp; Antarctic Res Inst, Dept Geog Polar Reg, St Petersburg, Russia; [BRIGHAM-GRETTE, J. U. L. I. E.] Univ Massachusetts, Dept Geosci, Amherst, MA 01003 USA</t>
  </si>
  <si>
    <t>University of Cologne; University of Bergen; Saint Petersburg State University; University of Massachusetts System; University of Massachusetts Amherst</t>
  </si>
  <si>
    <t>MELLES, M (corresponding author), Univ Cologne, Inst Geol &amp; Mineral, Cologne, Germany.</t>
  </si>
  <si>
    <t>mmelles@uni-koeln.de</t>
  </si>
  <si>
    <t>Melles, Martin/J-4070-2012; Wagner, Bernd/J-4682-2012; Fedorov, Grigory/N-5788-2019</t>
  </si>
  <si>
    <t>Melles, Martin/0000-0003-0977-9463; Wagner, Bernd/0000-0002-1369-7893; Fedorov, Grigory/0000-0003-2269-4501</t>
  </si>
  <si>
    <t>German Federal Ministry for Education and Research (BMBF); Ministry of Science and Higher Education of the Russian Federation (MinObrNauki); Research Council of Norway (NRC); US National Science Foundation</t>
  </si>
  <si>
    <t>German Federal Ministry for Education and Research (BMBF)(Federal Ministry of Education &amp; Research (BMBF)); Ministry of Science and Higher Education of the Russian Federation (MinObrNauki); Research Council of Norway (NRC)(Research Council of Norway); US National Science Foundation(National Science Foundation (NSF))</t>
  </si>
  <si>
    <t>Publication of this special issue strongly benefited from the support of a large number of reviewers, who evaluated the manuscripts and made helpful suggestions for improvements. The JQS editorial office played a very important role, especially the editor-in-chief, Neil Roberts, the associate editor, Nicholas Balascio, and the editorial assistant, Christella Edward, who strongly supported the review process at all stages. The guest editors would also like to thank the funding agencies that supported the research presented in this special issue; in particular, the German Federal Ministry for Education and Research (BMBF), the Ministry of Science and Higher Education of the Russian Federation (MinObrNauki) and the Research Council of Norway (NRC), which enabled the PLOT and CHASE projects in Russia. Besides, several papers in this issue were supported by the US National Science Foundation.</t>
  </si>
  <si>
    <t>10.1002/jqs.3456</t>
  </si>
  <si>
    <t>3B0RA</t>
  </si>
  <si>
    <t>WOS:000820741200001</t>
  </si>
  <si>
    <t>Nau, AW; Scoulding, B; Kloser, RJ; Ladroit, Y; Lucieer, V</t>
  </si>
  <si>
    <t>Nau, Amy W.; Scoulding, Ben; Kloser, Rudy J.; Ladroit, Yoann; Lucieer, Vanessa</t>
  </si>
  <si>
    <t>Extended Detection of Shallow Water Gas Seeps From Multibeam Echosounder Water Column Data</t>
  </si>
  <si>
    <t>FRONTIERS IN REMOTE SENSING</t>
  </si>
  <si>
    <t>multibeam echosounder; water column data; sidelobe interference; gas seep detection; automated processing</t>
  </si>
  <si>
    <t>SEA-FLOOR; METHANE; EMISSIONS; LEAKAGE; VISUALIZATION; BACKSCATTER; PLUMES; BAY</t>
  </si>
  <si>
    <t>Multibeam echosounder water column data provides a three-dimensional image of features between the water surface and the seafloor. Although this swath of acoustic data can be collected over a wide range of angles, most of the data, at least beyond the range to the first seafloor return, is contaminated by noise created by receiver array sidelobe interference. As a result, the water column data beyond the minimum slant range commonly is excluded from analysis. This paper demonstrates a method to consistently filter and extract targets comprising a gas seep feature across the multibeam swath, including targets within the areas dominated by receiver array sidelobe interference. For each sample range, data are filtered based on the mean plus a certain number (k) of standard deviations of the sample values along that range. The filtering is coupled with a morphological classification to retain only targets of interest while excluding background data and noise. Data were collected over a shallow water artificial gas seep using two different flow rates and at three different vessel speeds. Using the proposed method, 119 of 124 test seeps were identified correctly. Seep targets were identified at all angles across the water column fan up to beam pointing angles of 55 degrees, with 19 of 23 seeps being correctly identified at angles greater than 50 degrees. This method demonstrates that features can be extracted and geolocated in the sidelobe noise when the interference is appropriately filtered. These results will improve the areal extent of multibeam surveys and increase the utility of acoustic data in capturing information on water column targets directly above the seafloor.</t>
  </si>
  <si>
    <t>[Nau, Amy W.; Scoulding, Ben; Kloser, Rudy J.] CSIRO, Hobart, Tas, Australia; [Nau, Amy W.; Ladroit, Yoann; Lucieer, Vanessa] Univ Tasmania, Inst Marine &amp; Antarctic Studies, Coll Sci &amp; Engn, Hobart, Tas, Australia; [Ladroit, Yoann] Natl Inst Water &amp; Atmospher Res, Wellington, New Zealand</t>
  </si>
  <si>
    <t>Commonwealth Scientific &amp; Industrial Research Organisation (CSIRO); University of Tasmania; National Institute of Water &amp; Atmospheric Research (NIWA) - New Zealand</t>
  </si>
  <si>
    <t>Nau, AW (corresponding author), CSIRO, Hobart, Tas, Australia.;Nau, AW (corresponding author), Univ Tasmania, Inst Marine &amp; Antarctic Studies, Coll Sci &amp; Engn, Hobart, Tas, Australia.</t>
  </si>
  <si>
    <t>amy.nau@csiro.au</t>
  </si>
  <si>
    <t>lucieer, vanessa l/D-1697-2009; Scoulding, Ben/L-6200-2018</t>
  </si>
  <si>
    <t>Kloser, Rudy/0000-0002-8620-536X</t>
  </si>
  <si>
    <t>Australian National Low Emissions Coal Research and Development (ANLEC RD) [7-0816-0305]; Low Emission Technology Australia (LETA); Australian Government through the Department of Industry, Science, Energy and Resource</t>
  </si>
  <si>
    <t>Australian National Low Emissions Coal Research and Development (ANLEC RD); Low Emission Technology Australia (LETA); Australian Government through the Department of Industry, Science, Energy and Resource</t>
  </si>
  <si>
    <t>The authors wish to acknowledge financial assistance provided through Australian National Low Emissions Coal Research and Development (ANLEC R&amp;D 7-0816-0305). ANLEC R&amp;D is supported by Low Emission Technology Australia (LETA) and the Australian Government through the Department of Industry, Science, Energy and Resource.</t>
  </si>
  <si>
    <t>2673-6187</t>
  </si>
  <si>
    <t>FRONT REMOTE SENS</t>
  </si>
  <si>
    <t>Front. Remote Sens.</t>
  </si>
  <si>
    <t>10.3389/frsen.2022.839417</t>
  </si>
  <si>
    <t>Remote Sensing; Imaging Science &amp; Photographic Technology</t>
  </si>
  <si>
    <t>R7BG9</t>
  </si>
  <si>
    <t>WOS:001065864000001</t>
  </si>
  <si>
    <t>Kochman-Kedziora, N; Noga, T; Olech, M; Van de Vijver, B</t>
  </si>
  <si>
    <t>Kochman-Kedziora, Natalia; Noga, Teresa; Olech, Maria; Van de Vijver, Bart</t>
  </si>
  <si>
    <t>The influence of penguin activity on soil diatom assemblages on King George Island, Antarctica with the description of a new Luticola species</t>
  </si>
  <si>
    <t>Antarctic Region; South Shetlands; King George Island; Bacillariophyta; Soil diatoms; Diversity; Luticola kaweckae; New species</t>
  </si>
  <si>
    <t>JAMES-ROSS-ISLAND; SP. NOV. BACILLARIOPHYTA; SOUTH SHETLAND ISLANDS; LA POSSESSION CROZET; FRESH-WATER DIATOMS; MICROALGAL COMMUNITIES; DECEPTION ISLAND; ADMIRALTY BAY; MARITIME; PATTERNS</t>
  </si>
  <si>
    <t>Background: Ice-free areas in the Antarctic region are strongly limited. The presence of marine mammals and birds in those areas influence soil properties and vegetation composition. Studies on the terrestrial diatom flora in soils influenced by sea birds in the Maritime Antarctic region are scarce. Methods: Samples were collected from two transects on the western shore of the Admiralty Bay region. Light and scanning electron microscopic observations and statistical analyses were conducted to consider the impact of penguin rookeries on soil diatom assemblages. Results: The disturbance associated with the presence of penguin rookeries clearly influences the soil diatom diversity. Assemblages from areas with the highest nutrient input were characterized by a much lower diversity with only few species dominating the flora. One of recorded taxa could not be assigned to any of the known species. Therefore, based on the combination of morphological features analyzed using light and scanning electron microscopes and comparison with similar taxa in the Antarctic region and worldwide, the species is described hereby as new to science-Luticola kaweckae sp.nov. The new species is characteristic for soil habitats with strong penguin influence.</t>
  </si>
  <si>
    <t>[Kochman-Kedziora, Natalia] Univ Rzeszow, Dept Ecol &amp; Environm Protect, Rzeszow, Poland; [Noga, Teresa] Univ Rzeszow, Dept Soil Studies Environm Chem &amp; Hydrol, Rzeszow, Poland; [Olech, Maria] Jagiellonian Univ Cracow, Dept Polar Res &amp; Documentat, Krakow, Poland; [Olech, Maria] Polish Acad Sci, Inst Biochem &amp; Biophys, Warsaw, Poland; [Van de Vijver, Bart] Meise Bot Garden, Res Dept, Meise, Belgium; [Van de Vijver, Bart] Univ Antwerp, Dept Biol, ECOSPHERE, Antwerp, Belgium</t>
  </si>
  <si>
    <t>University of Rzeszow; University of Rzeszow; Jagiellonian University; Polish Academy of Sciences; Institute of Biochemistry &amp; Biophysics - Polish Academy of Sciences; University of Antwerp</t>
  </si>
  <si>
    <t>Kochman-Kedziora, N (corresponding author), Univ Rzeszow, Dept Ecol &amp; Environm Protect, Rzeszow, Poland.</t>
  </si>
  <si>
    <t>nkochman@ur.edu.pl</t>
  </si>
  <si>
    <t>University of Rzeszow [DBR-35/2018]; Department of Ecology and Environmental Protection funds [ZEiOS/UPB/2021]</t>
  </si>
  <si>
    <t>University of Rzeszow; Department of Ecology and Environmental Protection funds</t>
  </si>
  <si>
    <t>This work has been financially supported by the Young Scientists Grant (DBR-35/2018) for Natalia Kochman-Kedziora awarded by University of Rzeszow and by funds for maintaining the research potential of the Department of Ecology and Environmental Protection funds (ZEiOS/UPB/2021). There was no additional external funding received for this study. The funders had no role in study design, data collection and analysis, decision to publish, or preparation of the manuscript.</t>
  </si>
  <si>
    <t>JUL 4</t>
  </si>
  <si>
    <t>e13624</t>
  </si>
  <si>
    <t>10.7717/peerj.13624</t>
  </si>
  <si>
    <t>5H4IZ</t>
  </si>
  <si>
    <t>WOS:000867645500003</t>
  </si>
  <si>
    <t>Lavers, JL; Bond, AL; Rolsky, C</t>
  </si>
  <si>
    <t>Lavers, Jennifer L.; Bond, Alexander L.; Rolsky, Charles</t>
  </si>
  <si>
    <t>Far from a distraction: Plastic pollution and the planetary emergency</t>
  </si>
  <si>
    <t>Anthropocene; Climatechange; Cumulativeimpacts; Greenhousegasses; Planetaryboundarythreat</t>
  </si>
  <si>
    <t>CLIMATE-CHANGE; MARINE DEBRIS; WASTE; IMPACTS; INGESTION; MICROPLASTICS; ACCUMULATION; CONSERVATION; CHALLENGES; MANAGEMENT</t>
  </si>
  <si>
    <t>Pollution of the environment with plastics has garnered significant public attention, but the topic has also been the focus of controversy, including assertions that resources are better spent on other topics, such as global warming. Here, we argue that plastic pollution and climate change are fundamentally linked, from the extraction of fossil fuels to the production of plastics, and eventual disposal. We demonstrate how plastics research and funding currently lag significantly behind that of climate change and conclude by advocating for a more integrated approach to addressing pressing conservation issues in the time of a planetary emergency.</t>
  </si>
  <si>
    <t>[Lavers, Jennifer L.] Univ Tasmania, Inst Marine &amp; Antarctic Studies, Sandy Bay, Tas 7004, Australia; [Lavers, Jennifer L.] Univ Tasmania, Ctr Marine Socioecol, Hobart, Tas 7001, Australia; [Bond, Alexander L.] Nat Hist Museum, Dept Life Sci, Bird Grp, Akeman St, Tring HP23 6AP, Herts, England; [Rolsky, Charles] Plast Oceans Int, Malibu, CA 90265 USA; [Rolsky, Charles] Shaw Inst, 55 Main St Blue Hill, Maine, NY 04614 USA</t>
  </si>
  <si>
    <t>University of Tasmania; University of Tasmania; Natural History Museum London</t>
  </si>
  <si>
    <t>Bond, AL (corresponding author), Nat Hist Museum, Dept Life Sci, Bird Grp, Akeman St, Tring HP23 6AP, Herts, England.</t>
  </si>
  <si>
    <t>a.bond@nhm.ac.uk</t>
  </si>
  <si>
    <t>Bond, Alexander L/A-3786-2010; Lavers, Jennifer/O-4831-2017; Lavers, Jennifer/IWM-5417-2023</t>
  </si>
  <si>
    <t>Lavers, Jennifer/0000-0001-7596-6588; Rolsky, Charles/0000-0002-2973-0352</t>
  </si>
  <si>
    <t>10.1016/j.biocon.2022.109655</t>
  </si>
  <si>
    <t>2X3KI</t>
  </si>
  <si>
    <t>WOS:000825106100002</t>
  </si>
  <si>
    <t>Klimova, A; Gutiérrez-Rivera, JN; Sanchez-Sotomayor, V; Hoffman, JI</t>
  </si>
  <si>
    <t>Klimova, Anastasia; Gutierrez-Rivera, Jesus Neftali; Sanchez-Sotomayor, Victor; Hoffman, Joseph Ivan</t>
  </si>
  <si>
    <t>The genetic consequences of captive breeding, environmental change and human exploitation in the endangered peninsular pronghorn</t>
  </si>
  <si>
    <t>APPROXIMATE BAYESIAN COMPUTATION; INBREEDING DEPRESSION; POPULATION HISTORY; R PACKAGE; DIVERSITY; MANAGEMENT; DEMOGRAPHY; PROGRAM; DNA; REINTRODUCTIONS</t>
  </si>
  <si>
    <t>Endangered species with small population sizes are susceptible to genetic erosion, which can be detrimental to long-term persistence. Consequently, monitoring and mitigating the loss of genetic diversity are essential for conservation. The Peninsular pronghorn (Antilocapra americana peninsularis) is an endangered pronghorn subspecies that is almost entirely held in captivity. Captive breeding has increased the number of pronghorns from 25 founders in 1997 to around 700 individuals today, but it is unclear how the genetic diversity of the captive herd may have changed over time. We therefore generated and analysed data for 16 microsatellites spanning 2009-2021. We detected a decline in heterozygosity and an increase in the proportion of inbred individuals over time. However, these trends appear to have been partially mitigated by a genetically informed breeding management attempt that was implemented in 2018. We also reconstructed the recent demographic history of the Peninsular pronghorn, revealing two sequential population declines putatively linked to the desertification of the Baja California peninsula around 6000 years ago, and hunting and habitat loss around 500 years ago, respectively. Our results provide insights into the genetic diversity of an endangered antelope and indicate the potential for genetically informed management to have positive conservation outcomes.</t>
  </si>
  <si>
    <t>[Klimova, Anastasia] ACTG Mol Solut, La Paz 23085, Mexico; [Gutierrez-Rivera, Jesus Neftali] Ctr Invest Biol Noroeste, La Paz 23205, Mexico; [Sanchez-Sotomayor, Victor] Natl Commission Nat Protected Areas, CONANP, Valle De Los Cirios Flor, Mexico; [Hoffman, Joseph Ivan] Bielefeld Univ, Dept Anim Behav, Postfach 100131, D-33501 Bielefeld, Germany; [Hoffman, Joseph Ivan] British Antarctic Survey, High Cross Madingley Rd, Cambridge CB3 OET, England</t>
  </si>
  <si>
    <t>CIBNOR - Centro de Investigaciones Biologicas del Noroeste; Telefonica SA; University of Bielefeld; UK Research &amp; Innovation (UKRI); Natural Environment Research Council (NERC); NERC British Antarctic Survey</t>
  </si>
  <si>
    <t>Klimova, A (corresponding author), ACTG Mol Solut, La Paz 23085, Mexico.;Hoffman, JI (corresponding author), Bielefeld Univ, Dept Anim Behav, Postfach 100131, D-33501 Bielefeld, Germany.;Hoffman, JI (corresponding author), British Antarctic Survey, High Cross Madingley Rd, Cambridge CB3 OET, England.</t>
  </si>
  <si>
    <t>anastasia_aleksandrovna@hotmail.com; joseph.hoffman@uni-bielefeld.de</t>
  </si>
  <si>
    <t>Hoffman, Joseph/K-7725-2012</t>
  </si>
  <si>
    <t>Hoffman, Joseph/0000-0001-5895-8949</t>
  </si>
  <si>
    <t>Espacios Naturales y Desarrollo Sustentable A.C. (ENDESU); Deutsche Forschungsgemeinschaft; Bielefeld University</t>
  </si>
  <si>
    <t>Espacios Naturales y Desarrollo Sustentable A.C. (ENDESU); Deutsche Forschungsgemeinschaft(German Research Foundation (DFG)); Bielefeld University</t>
  </si>
  <si>
    <t>This work was partially funded by the Espacios Naturales y Desarrollo Sustentable A.C. (ENDESU). Support for the Article Processing Charge was granted by the Deutsche Forschungsgemeinschaft and the Open Access Publication Fund of Bielefeld University. We are thankful to the management team of Valle de los Cirios Flora and Fauna Protected Area, in particular to Jose Martin Gutierrez Perea and Fernando Escoto Rodriguez. We are also thankful to Dr. Santiago Sanchez-Ramirez for his valuable comments that helped improve this manuscript.</t>
  </si>
  <si>
    <t>10.1038/s41598-022-14468-4</t>
  </si>
  <si>
    <t>2S1JF</t>
  </si>
  <si>
    <t>WOS:000821555400045</t>
  </si>
  <si>
    <t>Juutinen, S; Aurela, M; Tuovinen, JP; Ivakhov, V; Linkosalmi, M; Räsänen, A; Virtanen, T; Mikola, J; Nyman, J; Vähä, E; Loskutova, M; Makshtas, A; Laurila, T</t>
  </si>
  <si>
    <t>Juutinen, Sari; Aurela, Mika; Tuovinen, Juha-Pekka; Ivakhov, Viktor; Linkosalmi, Maiju; Rasanen, Aleksi; Virtanen, Tarmo; Mikola, Juha; Nyman, Johanna; Vaha, Emmi; Loskutova, Marina; Makshtas, Alexander; Laurila, Tuomas</t>
  </si>
  <si>
    <t>Variation in CO2 and CH4 fluxes among land cover types in heterogeneous Arctic tundra in northeastern Siberia</t>
  </si>
  <si>
    <t>METHANE FLUXES; CARBON-DIOXIDE; FOREST SOILS; EXCHANGE; VEGETATION; ECOSYSTEM; BALANCE; PERMAFROST; LANDSCAPES; EMISSIONS</t>
  </si>
  <si>
    <t>Arctic tundra is facing unprecedented warming, resulting in shifts in the vegetation, thaw regimes, and potentially in the ecosystem-atmosphere exchange of carbon (C). However, the estimates of regional carbon dioxide (CO2) and methane (CH4) budgets are highly uncertain. We measured CO2 and CH4 fluxes, vegetation composition and leaf area index (LAI), thaw depth, and soil wetness in Tiksi (71 degrees N, 128 degrees E), a heterogeneous site located within the prostrate dwarf-shrub tundra zone in northeastern Siberia. Using the closed chamber method, we determined the net ecosystem exchange (NEE) of CO2, ecosystem respiration in the dark (ER), ecosystem gross photosynthesis (Pg), and CH4 flux during the growing season. We applied a previously developed high-spatial-resolution land cover map over an area of 35.8 km(2) for spatial extrapolation. Among the land cover types varying from barren to dwarf-shrub tundra and tundra wetlands, the NEE and Pg at the photosynthetically active photon flux density of 800 mu mol m(-2) h(-1) (NEE800 and Pg(800)) were greatest in the graminoid-dominated habitats, i.e., streamside meadow and fens, with NEE800 and Pg(800) of up to -21 (uptake) and 28 mmol M-2 h(-1), respectively. Vascular LAI was a robust predictor of both NEE800 and Pg(800) and, on a landscape scale, the fens were disproportionately important for the summertime CO2 sequestration. Dry tun- dra, including the dwarf-shrub and lichen tundra, had smaller CO2 exchange rates. The fens were the largest source of CH4, while the dry mineral soil tundra consumed atmospheric CH4, which on a landscape scale amounted to -9 % of the total CH(4 )balance during the growing season. The largest seasonal mean CH4 consumption rate of 0.02 mmol m(-2) h(-1) occurred in sand- and stone-covered barren areas. The high consumption rate agrees with the estimate based on the eddy covariance measurements at the same site. We acknowledge the uncertainty involved in spatial extrapolations due to a small number of replicates per land cover type. This study highlights the need to distinguish different land cover types including the dry tundra habitats to account for their different CO2 and CH4 flux patterns, especially the consumption of atmospheric CH4, when estimating tundra C exchange on a larger spatial scale.</t>
  </si>
  <si>
    <t>[Juutinen, Sari; Aurela, Mika; Tuovinen, Juha-Pekka; Linkosalmi, Maiju; Nyman, Johanna; Vaha, Emmi; Laurila, Tuomas] Finnish Meteorol Inst, Climate Syst Res, Erik Palmenin Aukio 1, Helsinki 00560, Finland; [Juutinen, Sari] Univ Eastern Finland, Dept Geog &amp; Hist Studies, Yliopistokatu 2, Joensuu 80100, Finland; [Ivakhov, Viktor] Voeikov Main Geophys Observ, Ulitsa Karbysheva 7, St Petersburg 194021, Russia; [Rasanen, Aleksi; Virtanen, Tarmo; Mikola, Juha] Univ Helsinki, Ecosyst &amp; Environm Res Programme, Viikinkaari 1, Helsinki 00790, Finland; [Rasanen, Aleksi] Nat Resources Inst Finland Luke, Paavo Havaksen Tie 3, Oulu 90570, Finland; [Mikola, Juha] Nat Resources Inst Finland Luke, Latokartanonkaari 9, Helsinki 00790, Finland; [Loskutova, Marina; Makshtas, Alexander] Arctic &amp; Antarctic Res Inst, Dept Ocean Atmosphere Interact, Bering Str 38, St Petersburg 199397, Russia; [Loskutova, Marina; Makshtas, Alexander] Arctic &amp; Antarctic Res Inst, Lab Expt Climatol Arctic, Bering Str 38, St Petersburg 199397, Russia</t>
  </si>
  <si>
    <t>Finnish Meteorological Institute; University of Eastern Finland; University of Helsinki; Natural Resources Institute Finland (Luke); Natural Resources Institute Finland (Luke); Arctic &amp; Antarctic Research Institute; Arctic &amp; Antarctic Research Institute</t>
  </si>
  <si>
    <t>Juutinen, S (corresponding author), Finnish Meteorol Inst, Climate Syst Res, Erik Palmenin Aukio 1, Helsinki 00560, Finland.;Juutinen, S (corresponding author), Univ Eastern Finland, Dept Geog &amp; Hist Studies, Yliopistokatu 2, Joensuu 80100, Finland.</t>
  </si>
  <si>
    <t>sari.juutinen@uef.fi</t>
  </si>
  <si>
    <t>Makshtas, Alexander P./K-7538-2016; Loskutova, Marina/JNS-4477-2023; Linkosalmi, Maiju/ACM-1359-2022; Mikola, Juha/A-1630-2015</t>
  </si>
  <si>
    <t>Ivakhov, Viktor/0000-0003-4572-4734; Mikola, Juha/0000-0002-4336-2648; Virtanen, Tarmo/0000-0001-8660-2464; Juutinen, Sari/0000-0002-7752-1950</t>
  </si>
  <si>
    <t>Academy of Finland [269095, 285630, 291736, 296888]; European Commission, Seventh Framework Programme (PAGE21) [282700]; NordForsk (DEFROST Nordic Centre of Excellence grant); Academy of Finland (AKA) [296888, 285630, 269095, 291736] Funding Source: Academy of Finland (AKA)</t>
  </si>
  <si>
    <t>Academy of Finland(Research Council of Finland); European Commission, Seventh Framework Programme (PAGE21); NordForsk (DEFROST Nordic Centre of Excellence grant); Academy of Finland (AKA)(Research Council of Finland)</t>
  </si>
  <si>
    <t>This research has been supported by the Academy of Finland (grant nos. 269095, 285630, 291736, and 296888), the European Commission, Seventh Framework Programme (PAGE21 (grant no. 282700)), and the NordForsk (DEFROST Nordic Centre of Excellence grant).</t>
  </si>
  <si>
    <t>10.5194/bg-19-3151-2022</t>
  </si>
  <si>
    <t>2Q3OC</t>
  </si>
  <si>
    <t>WOS:000820335200001</t>
  </si>
  <si>
    <t>Hitchcock, P; Butler, A; Charlton-Perez, A; Garfinkel, C; Stockdale, T; Anstey, J; Mitchell, D; Domeisen, DI; Wu, TW; Lu, YX; Mastrangelo, D; Malguzzi, P; Lin, H; Muncaster, R; Merryfield, B; Sigmond, M; Xiang, BQ; Jia, LW; Hyun, YK; Oh, J; Specq, D; Simpson, IR; Richter, JH; Barton, C; Knight, J; Lim, EP; Hendon, H</t>
  </si>
  <si>
    <t>Hitchcock, Peter; Butler, Amy; Charlton-Perez, Andrew; Garfinkel, Chaim, I; Stockdale, Tim; Anstey, James; Mitchell, Dann; Domeisen, Daniela I., V; Wu, Tongwen; Lu, Yixiong; Mastrangelo, Daniele; Malguzzi, Piero; Lin, Hai; Muncaster, Ryan; Merryfield, Bill; Sigmond, Michael; Xiang, Baoqiang; Jia, Liwei; Hyun, Yu-Kyung; Oh, Jiyoung; Specq, Damien; Simpson, Isla R.; Richter, Jadwiga H.; Barton, Cory; Knight, Jeff; Lim, Eun-Pa; Hendon, Harry</t>
  </si>
  <si>
    <t>Stratospheric Nudging And Predictable Surface Impacts (SNAPSI): a protocol for investigating the role of stratospheric polar vortex disturbances in subseasonal to seasonal forecasts</t>
  </si>
  <si>
    <t>MODEL; SYSTEM; ATTRIBUTION; VERSION; CIRCULATIONS; UNCERTAINTY; VARIABILITY; TRANSPORT; EVENTS; CNR</t>
  </si>
  <si>
    <t>Major disruptions of the winter season, high-latitude stratospheric polar vortices can result in stratospheric anomalies that persist for months. These sudden stratospheric warming events are recognized as an important potential source of forecast skill for surface climate on subseasonal to seasonal timescales. Realizing this skill in operational subseasonal forecast models remains a challenge, as models must capture both the evolution of the stratospheric polar vortices in addition to their coupling to the troposphere. The processes involved in this coupling remain a topic of open research. We present here the Stratospheric Nudging And Predictable Surface Impacts (SNAPSI) project. SNAPSI is a new model intercomparison protocol designed to study the role of the Arctic and Antarctic stratospheric polar vortex disturbances for surface predictability in subseasonal to seasonal forecast models. Based on a set of controlled, subseasonal ensemble forecasts of three recent events, the protocol aims to address four main scientific goals. First, to quantify the impact of improved stratospheric forecasts on near-surface forecast skill. Second, to attribute specific extreme events to stratospheric variability. Third, to assess the mechanisms by which the stratosphere influences the troposphere in the forecast models. Fourth, to investigate the wave processes that lead to the stratospheric anomalies themselves. Although not a primary focus, the experiments are furthermore expected to shed light on coupling between the tropical stratosphere and troposphere. The output requested will allow for a more detailed, process-based community analysis than has been possible with existing databases of subseasonal forecasts.</t>
  </si>
  <si>
    <t>[Hitchcock, Peter] Cornell Univ, Dept Earth &amp; Atmospher Sci, Ithaca, NY 14850 USA; [Butler, Amy] NOAA, Chem Sci Lab, Boulder, CO USA; [Charlton-Perez, Andrew] Univ Reading, Dept Meteorol, Reading, Berks, England; [Garfinkel, Chaim, I] Hebrew Univ Jerusalem, Fredy &amp; Nadine Hellmann Inst Earth Sci, Jerusalem, Israel; [Stockdale, Tim] European Ctr Medium Range Weather Forecasts, Reading, Berks, England; [Anstey, James; Merryfield, Bill; Sigmond, Michael] Environm &amp; Climate Change Canada, Canadian Ctr Climate Modelling &amp; Anal, Victoria, BC, Canada; [Mitchell, Dann] Univ Bristol, Sch Geog Sci, Bristol, Avon, England; [Domeisen, Daniela I., V] Univ Lausanne, Inst Earth Surface Dynam, Lausanne, Switzerland; [Domeisen, Daniela I., V] Swiss Fed Inst Technol, Inst Atmospher &amp; Climate Sci, Zurich, Switzerland; [Wu, Tongwen; Lu, Yixiong] China Meteorol Adm, Beijing Climate Ctr, Beijing, Peoples R China; [Mastrangelo, Daniele; Malguzzi, Piero] CNR, ISAC, Bologna, Italy; [Lin, Hai; Muncaster, Ryan] Environm &amp; Climate Change Canada, Rech Previs Numer Atmospher, Dorval, PQ, Canada; [Xiang, Baoqiang; Jia, Liwei] NOAA, Geophys Fluid Dynam Lab, Princeton, NJ USA; [Xiang, Baoqiang] Univ Corp Atmospher Res, Boulder, CO USA; [Hyun, Yu-Kyung] Korea Meteorol Adm, Natl Inst Meteorol Sci, Jeju, South Korea; [Oh, Jiyoung] Seoul Natl Univ, Sch Earth &amp; Environm Sci, Seoul, South Korea; [Specq, Damien] Univ Toulouse, Ctr Natl Rech Meteorol, CNRS, Meteo France, Toulouse, France; [Simpson, Isla R.; Richter, Jadwiga H.] Natl Ctr Atmospher Res, Climate &amp; Global Dynam Lab, POB 3000, Boulder, CO 80307 USA; [Barton, Cory] US Naval Res Lab, Space Sci Div, Washington, DC USA; [Knight, Jeff] Met Off, Hadley Ctr, Exeter, Devon, England; [Lim, Eun-Pa; Hendon, Harry] Bur Meteorol, Melbourne, Vic, Australia</t>
  </si>
  <si>
    <t>Cornell University; National Oceanic Atmospheric Admin (NOAA) - USA; University of Reading; Hebrew University of Jerusalem; European Centre for Medium-Range Weather Forecasts (ECMWF); Environment &amp; Climate Change Canada; Canadian Centre for Climate Modelling &amp; Analysis (CCCma); University of Bristol; University of Lausanne; Swiss Federal Institutes of Technology Domain; ETH Zurich; China Meteorological Administration; Consiglio Nazionale delle Ricerche (CNR); Istituto di Scienze dell'Atmosfera e del Clima (ISAC-CNR); Environment &amp; Climate Change Canada; Meteorological Service of Canada; Recherche en Prevision Numerique (RPN); National Oceanic Atmospheric Admin (NOAA) - USA; National Center Atmospheric Research (NCAR) - USA; National Institute of Meteorological Sciences; Korea Meteorological Administration (KMA); Seoul National University (SNU); Centre National de la Recherche Scientifique (CNRS); National Center Atmospheric Research (NCAR) - USA; United States Department of Defense; United States Navy; Naval Research Laboratory; Met Office - UK; Hadley Centre; Bureau of Meteorology - Australia</t>
  </si>
  <si>
    <t>Hitchcock, P (corresponding author), Cornell Univ, Dept Earth &amp; Atmospher Sci, Ithaca, NY 14850 USA.</t>
  </si>
  <si>
    <t>aph28@cornell.edu</t>
  </si>
  <si>
    <t>garfinkel, chaim I/AAA-1134-2020; Li, Jiaxi/HTS-3430-2023; Domeisen, Daniela/J-2589-2015; Hitchcock, Peter/JLK-8563-2023; Wang, Zejun/KBB-8454-2024; Butler, Amy H/K-6190-2012; Li, Kunpeng/KFS-6306-2024; Sigmond, Michael/K-3169-2012; Charlton-Perez, Andrew/F-4079-2010; Hyun, Yu-Kyung/ABI-7900-2020; Mitchell, Daniel/U-6509-2018</t>
  </si>
  <si>
    <t>garfinkel, chaim I/0000-0001-7258-666X; Li, Jiaxi/0000-0002-8197-8590; Domeisen, Daniela/0000-0002-1463-929X; Hitchcock, Peter/0000-0001-8993-3808; Butler, Amy H/0000-0002-3632-0925; Charlton-Perez, Andrew/0000-0001-8179-6220; Mitchell, Daniel/0000-0002-0117-3486; Wu, Tongwen/0000-0001-5187-9121; Lu, Yixiong/0000-0001-9823-9367</t>
  </si>
  <si>
    <t>European Research Council starting grant under the European Union's Horizon 2020 research and innovation program [677756]; Swiss National Science Foundation [PP00P2_170523, PP00P2_198896]; Swiss National Science Foundation (SNF) [PP00P2_198896] Funding Source: Swiss National Science Foundation (SNF)</t>
  </si>
  <si>
    <t>European Research Council starting grant under the European Union's Horizon 2020 research and innovation program(European Research Council (ERC)); Swiss National Science Foundation(Swiss National Science Foundation (SNSF)); Swiss National Science Foundation (SNF)(Swiss National Science Foundation (SNSF))</t>
  </si>
  <si>
    <t>This research has been supported by the European Research Council starting grant under the European Union's Horizon 2020 research and innovation program (grant no. 677756 to Chaim I. Garfinkel) and the Swiss National Science Foundation through projects PP00P2_170523 and PP00P2_198896 (to Daniela I. V. Domeisen).</t>
  </si>
  <si>
    <t>10.5194/gmd-15-5073-2022</t>
  </si>
  <si>
    <t>2Q2GQ</t>
  </si>
  <si>
    <t>WOS:000820246700001</t>
  </si>
  <si>
    <t>Mac-lean, C; Núñez-Cárdenas, P; Rodríguez, B; Aldea, C</t>
  </si>
  <si>
    <t>Mac-lean, Claudia; Nunez-Cardenas, Pablo; Rodriguez, Barbara; Aldea, Cristian</t>
  </si>
  <si>
    <t>Green buildings in Chilean public higher education: a trend or a must-have in university strategic guidelines?</t>
  </si>
  <si>
    <t>INTERNATIONAL JOURNAL OF SUSTAINABLE DEVELOPMENT AND WORLD ECOLOGY</t>
  </si>
  <si>
    <t>Sustainability; higher education; green building; university; built environment; climate change</t>
  </si>
  <si>
    <t>DESIGN; SUSTAINABILITY; CAMPUS; PERFORMANCE; STUDENTS</t>
  </si>
  <si>
    <t>Green buildings have gained increasing relevance and market share in recent decades. Also, higher education institutions are progressively incorporating the conceptualisation of sustainable development by greening campuses. Thus, given the construction sector relevance in climate change mitigation and the role universities have to play as models for society, the purpose of the present paper is twofold. First, the authors develop a baseline study to determine the extent to which green buildings' features and certifications are being incorporated in public Chilean higher education institutions, as a first of its kind effort in the higher education sector in Chile. Second, the authors explore the opportunities that can support the advancement of campus greening through green buildings deployment on university campuses in Chile. This study follows a qualitative strategy approach in the form of a survey design based on the UI GreenMetric World University Ranking that was administered through an online questionnaire to representatives who hold the position of Sustainability or Infrastructure Heads in public universities, which are united in the Chilean State Universities Consortium. The main findings suggest a general maturation process of green building features ' incorporation on campuses at Chilean public higher education institutions in early or transitional stages. The leading indicators relate to open space, pedestrian paths, and efficient appliances, whereas the reported performance is lower with respect to sustainability budget, zero emission vehicles, and greenhouse gas emission reduction programmes. The opportunities identified for promoting the implementation of green buildings relate to three entrenched dimensions: research, promotion, and public policy.</t>
  </si>
  <si>
    <t>[Mac-lean, Claudia; Aldea, Cristian] Univ Magallanes, GAIA Antarctic Res Ctr, Ave Bulnes 01855, Punta Arenas 6210427, Chile; [Nunez-Cardenas, Pablo] Univ Magallanes, Hort &amp; Floriculture Ctr, Inst Patagonia, Punta Arenas, Chile; [Rodriguez, Barbara] Univ Chile, Fac Architecture &amp; Urbanism, Dept Architecture, Santiago, Chile; [Aldea, Cristian] Univ Magallanes, Dept Sci &amp; Nat Resources, Punta Arenas, Chile</t>
  </si>
  <si>
    <t>Universidad de Magallanes; Universidad de Magallanes; Universidad de Chile; Universidad de Magallanes</t>
  </si>
  <si>
    <t>Mac-lean, C (corresponding author), Univ Magallanes, GAIA Antarctic Res Ctr, Ave Bulnes 01855, Punta Arenas 6210427, Chile.</t>
  </si>
  <si>
    <t>clau.maclean.b@gmail.com</t>
  </si>
  <si>
    <t>Rodríguez, Bárbara/HTO-6313-2023; Aldea, Cristian/J-5391-2013</t>
  </si>
  <si>
    <t>Rodriguez, Barbara X./0000-0002-0254-5683; Nunez-Cardenas, Pablo M./0000-0003-4004-8941; Aldea, Cristian/0000-0002-4473-6509</t>
  </si>
  <si>
    <t>1350-4509</t>
  </si>
  <si>
    <t>1745-2627</t>
  </si>
  <si>
    <t>INT J SUST DEV WORLD</t>
  </si>
  <si>
    <t>Int. J. Sustain. Dev. World Ecol.</t>
  </si>
  <si>
    <t>10.1080/13504509.2022.2095452</t>
  </si>
  <si>
    <t>Green &amp; Sustainable Science &amp; Technology; Ecology</t>
  </si>
  <si>
    <t>5K5KC</t>
  </si>
  <si>
    <t>WOS:000820672600001</t>
  </si>
  <si>
    <t>Rack, U; Kafarowski, J</t>
  </si>
  <si>
    <t>Rack, Ursula; Kafarowski, Joanna</t>
  </si>
  <si>
    <t>Antarctic pioneer: the trailblazing life of Jackie Ronne</t>
  </si>
  <si>
    <t>POLAR JOURNAL</t>
  </si>
  <si>
    <t>[Rack, Ursula] Univ Canterbury, Te Kura Aronukurangi Sch Earth &amp; Environm, Polar Historian Gateway Antarct, Christchurch, New Zealand</t>
  </si>
  <si>
    <t>University of Canterbury</t>
  </si>
  <si>
    <t>Rack, U (corresponding author), Univ Canterbury, Te Kura Aronukurangi Sch Earth &amp; Environm, Polar Historian Gateway Antarct, Christchurch, New Zealand.</t>
  </si>
  <si>
    <t>Ursula.rack@canterbury.ac.nz</t>
  </si>
  <si>
    <t>2154-896X</t>
  </si>
  <si>
    <t>2154-8978</t>
  </si>
  <si>
    <t>POLAR J-UK</t>
  </si>
  <si>
    <t>Polar J.</t>
  </si>
  <si>
    <t>10.1080/2154896X.2022.2133385</t>
  </si>
  <si>
    <t>Area Studies; Environmental Studies; Geography; International Relations</t>
  </si>
  <si>
    <t>Area Studies; Environmental Sciences &amp; Ecology; Geography; International Relations</t>
  </si>
  <si>
    <t>X5HM9</t>
  </si>
  <si>
    <t>WOS:001098759900013</t>
  </si>
  <si>
    <t>Grochowicz, J; Fletcher, A</t>
  </si>
  <si>
    <t>Grochowicz, Joanna; Fletcher, Anne</t>
  </si>
  <si>
    <t>Widows of the ice - The women that Scott's Antarctic expedition left behind</t>
  </si>
  <si>
    <t>Joanna.grochowicz@gmail.com</t>
  </si>
  <si>
    <t>10.1080/2154896X.2022.2149085</t>
  </si>
  <si>
    <t>WOS:001098759900014</t>
  </si>
  <si>
    <t>Vendrami, DLJ; Gossmann, TI; Chakarov, N; Paijmans, AJ; Litzke, V; Eyre-Walker, A; Forcada, J; Hoffman, JI</t>
  </si>
  <si>
    <t>Vendrami, David L. J.; Gossmann, Toni, I; Chakarov, Nayden; Paijmans, Anneke J.; Litzke, Vivienne; Eyre-Walker, Adam; Forcada, Jaume; Hoffman, Joseph, I</t>
  </si>
  <si>
    <t>Signatures of Selection on Mitonuclear Integrated Genes Uncover Hidden Mitogenomic Variation in Fur Seals</t>
  </si>
  <si>
    <t>GENOME BIOLOGY AND EVOLUTION</t>
  </si>
  <si>
    <t>nuclear DNA sequences of mitochondrial origin (numts); genome evolution; mitochondrial DNA; pinniped; Antarctic fur seal; Arctocephalus gazella</t>
  </si>
  <si>
    <t>MITOCHONDRIAL-DNA; GENOME; SEQUENCES; PSEUDOGENES; INSERTIONS</t>
  </si>
  <si>
    <t>Nuclear copies of mitochondrial genes (numts) are commonplace in vertebrate genomes and have been characterized in many species. However, relatively little attention has been paid to understanding their evolutionary origins and to disentangling alternative sources of insertions. Numts containing genes with intact mitochondrial reading frames represent good candidates for this purpose. The sequences of the genes they contain can be compared with their mitochondrial homologs to characterize synonymous to nonsynonymous substitution rates, which can shed light on the selection pressures these genes have been subjected to. Here, we characterize 25 numts in the Antarctic fur seal (Arctocephalus gazella) genome. Among those containing genes with intact mitochondrial reading frames, three carry multiple substitutions in comparison to their mitochondrial homologs. Our analyses reveal that one represents a historic insertion subjected to strong purifying selection since it colonized the Otarioidea in a genomic region enriched in retrotransposons. By contrast, the other two numts appear to be more recent and their large number of substitutions can be attributed to noncanonical insertions, either the integration of heteroplasmic mtDNA or hybridization. Our study sheds new light on the evolutionary history of pinniped numts and uncovers the presence of hidden sources of mitonuclear variation.</t>
  </si>
  <si>
    <t>[Vendrami, David L. J.; Gossmann, Toni, I; Chakarov, Nayden; Paijmans, Anneke J.; Litzke, Vivienne; Hoffman, Joseph, I] Bielefeld Univ, Dept Anim Behav, D-33501 Bielefeld, Germany; [Eyre-Walker, Adam] Univ Sussex, Sch Life Sci, Brighton BN1 9QG, E Sussex, England; [Forcada, Jaume; Hoffman, Joseph, I] British Antarctic Survey, Madingley Rd, Cambridge CB3 0ET, England</t>
  </si>
  <si>
    <t>University of Bielefeld; University of Sussex; UK Research &amp; Innovation (UKRI); Natural Environment Research Council (NERC); NERC British Antarctic Survey</t>
  </si>
  <si>
    <t>Vendrami, DLJ (corresponding author), Bielefeld Univ, Dept Anim Behav, D-33501 Bielefeld, Germany.</t>
  </si>
  <si>
    <t>david.vendrami@uni-bielefeld.de</t>
  </si>
  <si>
    <t>Gossmann, Toni/H-6579-2013; Forcada, Jaume/GYU-0677-2022; Hoffman, Joseph/K-7725-2012; Eyre-Walker, Adam/G-6216-2011</t>
  </si>
  <si>
    <t>Gossmann, Toni/0000-0001-6609-4116; Hoffman, Joseph/0000-0001-5895-8949; Vendrami, David L. J./0000-0001-9409-4084; Paijmans, A.J./0000-0002-5481-7337; Eyre-Walker, Adam/0000-0001-5527-8729</t>
  </si>
  <si>
    <t>Deutsche Forschungsgemeinschaft (DFG, German Research Foundation) [316099922, 396774617-TRR 212, 424119118]; Natural Environment Research Council; Open Access Publication Fund of Bielefeld University; Deutsche Forschungsgemeinschaft (DFG)</t>
  </si>
  <si>
    <t>Deutsche Forschungsgemeinschaft (DFG, German Research Foundation)(German Research Foundation (DFG)); Natural Environment Research Council(UK Research &amp; Innovation (UKRI)Natural Environment Research Council (NERC)); Open Access Publication Fund of Bielefeld University; Deutsche Forschungsgemeinschaft (DFG)(German Research Foundation (DFG))</t>
  </si>
  <si>
    <t>This research was funded by the Deutsche Forschungsgemeinschaft (DFG, German Research Foundation) in the framework of a Sonderforschungsbereich (project numbers 316099922 and 396774617-TRR 212) and the priority program Antarctic Research with Comparative Investigations in Arctic Ice Areas (project number 424119118). It was also supported by core funding from the Natural Environment Research Council to the British Antarctic Survey's Ecosystems Program. This work contributes to the Ecosystems project of the British Antarctic Survey, Natural Environmental Research Council, and is part of the Polar Science for Planet Earth Programme. Finally, we acknowledge support for the publication costs by the Open Access Publication Fund of Bielefeld University and the Deutsche Forschungsgemeinschaft (DFG).</t>
  </si>
  <si>
    <t>1759-6653</t>
  </si>
  <si>
    <t>GENOME BIOL EVOL</t>
  </si>
  <si>
    <t>Genome Biol. Evol.</t>
  </si>
  <si>
    <t>JUL 2</t>
  </si>
  <si>
    <t>evac104</t>
  </si>
  <si>
    <t>10.1093/gbe/evac104</t>
  </si>
  <si>
    <t>Evolutionary Biology; Genetics &amp; Heredity</t>
  </si>
  <si>
    <t>3J0EB</t>
  </si>
  <si>
    <t>WOS:000833077400001</t>
  </si>
  <si>
    <t>An, B; Yu, YQ; Bao, Q; He, B; Li, JX; Luan, YH; Chen, KJ; Zheng, WP</t>
  </si>
  <si>
    <t>An, Bo; Yu, Yongqiang; Bao, Qing; He, Bian; Li, Jinxiao; Luan, Yihua; Chen, Kangjun; Zheng, Weipeng</t>
  </si>
  <si>
    <t>CAS FGOALS-f3-H Dataset for the High-Resolution Model Intercomparison Project (HighResMIP) Tier 2</t>
  </si>
  <si>
    <t>ADVANCES IN ATMOSPHERIC SCIENCES</t>
  </si>
  <si>
    <t>HighResMIP; FGOALS-f3-H; coupled model; data description; CMIP6</t>
  </si>
  <si>
    <t>AIR-SEA INTERACTION; LAND SYSTEM MODEL; OCEAN TEMPERATURE; CLIMATE; CIRCULATION; PRECIPITATION; SENSITIVITY; SCIENCES; HEAT</t>
  </si>
  <si>
    <t>Following the High-Resolution Model Intercomparison Project (HighResMIP) Tier 2 protocol under the Coupled Model Intercomparison Project Phase 6 (CMIP6), three numerical experiments are conducted with the Chinese Academy of Sciences Flexible Global Ocean-Atmosphere-Land System Model, version f3-H (CAS FGOALS-f3-H), and a 101-year (1950-2050) global high-resolution simulation dataset is presented in this study. The basic configuration of the FGOALSf3-H model and numerical experiments design are briefly described, and then the historical simulation is validated. Forced by observed radiative agents from 1950 to 2014, the coupled model essentially reproduces the observed long-term trends of temperature, precipitation, and sea ice extent, as well as the large-scale pattern of temperature and precipitation. With an approximate 0.25 degrees horizontal resolution in the atmosphere and 0.1 degrees in the ocean, the coupled models also simulate energetic western boundary currents and the Antarctic Circulation Current (ACC), reasonable characteristics of extreme precipitation, and realistic frontal scale air-sea interaction. The dataset and supporting detailed information have been published in the Earth System Grid Federation (ESGF, https://esgf-node.11nl.gov/projects/cmip6/).</t>
  </si>
  <si>
    <t>[An, Bo; Yu, Yongqiang; Bao, Qing; He, Bian; Li, Jinxiao; Luan, Yihua; Chen, Kangjun; Zheng, Weipeng] Chinese Acad Sci, Inst Atmospher Phys, State Key Lab Numer Modeling Atmospher Sci &amp; Geop, Beijing 100029, Peoples R China; [An, Bo; Yu, Yongqiang; Zheng, Weipeng] Univ Chinese Acad Sci, Coll Earth &amp; Planetary Sci, Beijing 100049, Peoples R China</t>
  </si>
  <si>
    <t>Chinese Academy of Sciences; Institute of Atmospheric Physics, CAS; Chinese Academy of Sciences; University of Chinese Academy of Sciences, CAS</t>
  </si>
  <si>
    <t>Yu, YQ (corresponding author), Chinese Acad Sci, Inst Atmospher Phys, State Key Lab Numer Modeling Atmospher Sci &amp; Geop, Beijing 100029, Peoples R China.;Yu, YQ (corresponding author), Univ Chinese Acad Sci, Coll Earth &amp; Planetary Sci, Beijing 100049, Peoples R China.</t>
  </si>
  <si>
    <t>yyq@lasg.iap.ac.cn</t>
  </si>
  <si>
    <t>Lu, Jia/JVO-6891-2024; Yu, Yongqiang/C-9661-2011; li, xiang/JCN-9316-2023; Li, Xiaoli/JVZ-4089-2024; Bao, Qing/A-7765-2012; liu, kaiyuan/JHU-0258-2023; zhao, yujie/JLL-1283-2023; wang, zhe/JNE-3510-2023</t>
  </si>
  <si>
    <t>Yu, Yongqiang/0000-0002-9345-2211;</t>
  </si>
  <si>
    <t>Strategic Priority Research Program of the Chinese Academy of Sciences [XDA19060102, XDB42000000]; National Natural Science Foundation of China [91958201, 42130608]; National Key Research and Development Program of China [2020YFA0608800]; National Key Scientific and Technological Infrastructure project Earth System Numerical Simulation Facility</t>
  </si>
  <si>
    <t>Strategic Priority Research Program of the Chinese Academy of Sciences(Chinese Academy of Sciences); National Natural Science Foundation of China(National Natural Science Foundation of China (NSFC)); National Key Research and Development Program of China; National Key Scientific and Technological Infrastructure project Earth System Numerical Simulation Facility</t>
  </si>
  <si>
    <t>This study is jointly supported by the Strategic Priority Research Program of the Chinese Academy of Sciences (Grant Nos. XDA19060102 and XDB42000000) and National Natural Science Foundation of China (Grant Nos. 91958201 and 42130608) and the National Key Research and Development Program of China (Grant No. 2020YFA0608800). This study was supported by the National Key Scientific and Technological Infrastructure project Earth System Numerical Simulation Facility (EarthLab).</t>
  </si>
  <si>
    <t>0256-1530</t>
  </si>
  <si>
    <t>1861-9533</t>
  </si>
  <si>
    <t>ADV ATMOS SCI</t>
  </si>
  <si>
    <t>Adv. Atmos. Sci.</t>
  </si>
  <si>
    <t>10.1007/s00376-022-2030-5</t>
  </si>
  <si>
    <t>5A2PA</t>
  </si>
  <si>
    <t>WOS:000820526500001</t>
  </si>
  <si>
    <t>Lu, QB</t>
  </si>
  <si>
    <t>Lu, Qing-Bin</t>
  </si>
  <si>
    <t>Observation of large and all-season ozone losses over the tropics</t>
  </si>
  <si>
    <t>AIP ADVANCES</t>
  </si>
  <si>
    <t>DISSOCIATIVE ELECTRON-ATTACHMENT; COSMIC-RAYS; CONSTRUCTION; STRATOSPHERE; ENHANCEMENT; DEPLETION; AMMONIA; RECORDS; CF2CL2; WATER</t>
  </si>
  <si>
    <t>This paper reveals a large and all-season ozone hole in the lower stratosphere over the tropics (30 degrees N-30 degrees S) existing since the 1980s, where an O-3 hole is defined as an area of O-3 loss larger than 25% compared with the undisturbed atmosphere. The depth of this tropical O-3 hole is comparable to that of the well-known springtime Antarctic O-3 hole, whereas its area is about seven times that of the latter. Similar to the Antarctic O-3 hole, approximately 80% of the normal O-3 value is depleted at the center of the tropical O-3 hole. The results strongly indicate that both Antarctic and tropical O-3 holes must arise from an identical physical mechanism, for which the cosmic-ray-driven electron reaction model shows good agreement with observations. The whole-year large tropical O-3 hole could cause a great global concern as it can lead to increases in ground-level ultraviolet radiation and affect 50% of the Earth's surface area, which is home to approximately 50% of the world's population. Moreover, the presence of the tropical and polar O-3 holes is equivalent to the formation of three temperature holes observed in the stratosphere. These findings will have significances in understanding planetary physics, ozone depletion, climate change, and human health.</t>
  </si>
  <si>
    <t>[Lu, Qing-Bin] Univ Waterloo, Dept Phys &amp; Astron, 200 Univ Ave West, Waterloo, ON N2L 3G1, Canada; [Lu, Qing-Bin] Univ Waterloo, Dept Biol, 200 Univ Ave West, Waterloo, ON N2L 3G1, Canada; [Lu, Qing-Bin] Univ Waterloo, Dept Chem, 200 Univ Ave West, Waterloo, ON N2L 3G1, Canada</t>
  </si>
  <si>
    <t>University of Waterloo; University of Waterloo; University of Waterloo</t>
  </si>
  <si>
    <t>Lu, QB (corresponding author), Univ Waterloo, Dept Phys &amp; Astron, 200 Univ Ave West, Waterloo, ON N2L 3G1, Canada.;Lu, QB (corresponding author), Univ Waterloo, Dept Biol, 200 Univ Ave West, Waterloo, ON N2L 3G1, Canada.;Lu, QB (corresponding author), Univ Waterloo, Dept Chem, 200 Univ Ave West, Waterloo, ON N2L 3G1, Canada.</t>
  </si>
  <si>
    <t>qblu@uwaterloo.ca</t>
  </si>
  <si>
    <t>Natural Science and Engineering Research Council of Canada</t>
  </si>
  <si>
    <t>Natural Science and Engineering Research Council of Canada(Natural Sciences and Engineering Research Council of Canada (NSERC))</t>
  </si>
  <si>
    <t>The author is greatly indebted to the Science Teams for making the data used for this study available. This work was supported by the Natural Science and Engineering Research Council of Canada.</t>
  </si>
  <si>
    <t>AIP Publishing</t>
  </si>
  <si>
    <t>MELVILLE</t>
  </si>
  <si>
    <t>1305 WALT WHITMAN RD, STE 300, MELVILLE, NY 11747-4501 USA</t>
  </si>
  <si>
    <t>2158-3226</t>
  </si>
  <si>
    <t>AIP ADV</t>
  </si>
  <si>
    <t>AIP Adv.</t>
  </si>
  <si>
    <t>10.1063/5.0094629</t>
  </si>
  <si>
    <t>D6JP6</t>
  </si>
  <si>
    <t>WOS:000969776600001</t>
  </si>
  <si>
    <t>Fernandez, M</t>
  </si>
  <si>
    <t>Jara Fernandez, Mauricio</t>
  </si>
  <si>
    <t>SENATOR MARCIAL MORA MIRANDA AND LAW N° 11.846 OF 1955. BETWEEN THE RESTLESSNESS AND THE SOUTHERN ANTARCTIC URGENCY!!</t>
  </si>
  <si>
    <t>REVISTA ESTUDIOS HEMISFERICOS Y POLARES</t>
  </si>
  <si>
    <t>Chilean Antarctic Territory; Law n degrees 11.846 of 1955; Magallanes and Antarctic Administration</t>
  </si>
  <si>
    <t>The context and origin of the bill of Senator Marcial Mora Miranda that integrated the Chilean Antarctic Territory in 1955 as an administrative dependency of the province of Magallanes is analyzed with existing information in the Minutes of Sessions of the National Congress of Chile.</t>
  </si>
  <si>
    <t>[Jara Fernandez, Mauricio] Univ Playa Ancha, Valparaiso, Chile; [Jara Fernandez, Mauricio] Univ Playa Ancha, Fac Human, Ave Playa Ancha 850, Valparaiso, Chile</t>
  </si>
  <si>
    <t>Universidad de Playa Ancha; Universidad de Playa Ancha</t>
  </si>
  <si>
    <t>Fernandez, M (corresponding author), Univ Playa Ancha, Fac Human, Ave Playa Ancha 850, Valparaiso, Chile.</t>
  </si>
  <si>
    <t>mjara@upla.cl</t>
  </si>
  <si>
    <t>CENTRO ESTUDIOS HEMISFERICOS &amp; POLARES</t>
  </si>
  <si>
    <t>VINA DEL MAR</t>
  </si>
  <si>
    <t>CALLE ROMA, 116, CALETA ABARCA, VINA DEL MAR, 2580060, CHILE</t>
  </si>
  <si>
    <t>0718-9230</t>
  </si>
  <si>
    <t>REV ESTUD HEMISFERIC</t>
  </si>
  <si>
    <t>Rev. Estud. Hemisfericos Polares</t>
  </si>
  <si>
    <t>JUL-DEC</t>
  </si>
  <si>
    <t>Area Studies</t>
  </si>
  <si>
    <t>9U9KE</t>
  </si>
  <si>
    <t>WOS:000948021500001</t>
  </si>
  <si>
    <t>Lucas, NS; Austin, MJ; Rippeth, TP; Powell, B; Wakonigg, P</t>
  </si>
  <si>
    <t>Lucas, Natasha S.; Austin, Martin J.; Rippeth, Tom P.; Powell, Ben; Wakonigg, Pablo</t>
  </si>
  <si>
    <t>Turbulence and coherent structure characterisation in a tidally energetic channel</t>
  </si>
  <si>
    <t>RENEWABLE ENERGY</t>
  </si>
  <si>
    <t>Hydrodynamics; Tidal stream turbines; Coherent structures; Tidal power; Variance method; Alternative energy site assessment</t>
  </si>
  <si>
    <t>BOTTOM BOUNDARY-LAYER; VORTEX ORGANIZATION; REYNOLDS STRESS; KINETIC-ENERGY; FLOW; DISSIPATION; VELOCITY; INTERMITTENCY; PROFILES; DYNAMICS</t>
  </si>
  <si>
    <t>Understanding the temporal and spatial characteristics of turbulent coherent structures is of interest to the emergent sector of marine renewable energy for power generation from tidal stream turbines, as loading due to these vortex structures has resulted in costly device failure. Here, methods for characterising these coherent structures are developed in the Menai Straits, Anglesey, using an off-the-shelf broadband acoustic Doppler current profiler (ADCP) vertical beam with the metrics fast Fourier transforms and a wavelet element model. Results indicate lengthscales fall in the range 2.5-51 m. Focused study on a 30-min window finds the 5 most powerful features have a median lengthscale of 13.2 m and the strongest signal lies at similar to 6.8 m, which scale to 0.86 and 0.44 times the water depth respectively, these features have a periodicity of similar to 105 s. Methods using variance across ADCP beams are common for turbulence characterisation within the tidal energy sector, with turbulence intensity being appropriated from the wind energy sector. However, turbulence intensity when using an ADCP is found to be a poor predictor of water column turbulence in the presence of coherent structures. Crown Copyright (c) 2022 Published by Elsevier Ltd. All rights reserved.</t>
  </si>
  <si>
    <t>[Lucas, Natasha S.] British Antarctic Survey, Madingley Rd, Cambridge CB3 0ET, England; [Austin, Martin J.; Rippeth, Tom P.; Powell, Ben; Wakonigg, Pablo] Bangor Univ, Sch Ocean Sci, Menai Bridge LL59 5AB, Anglesey, Wales</t>
  </si>
  <si>
    <t>UK Research &amp; Innovation (UKRI); Natural Environment Research Council (NERC); NERC British Antarctic Survey; Bangor University</t>
  </si>
  <si>
    <t>Lucas, NS (corresponding author), British Antarctic Survey, Madingley Rd, Cambridge CB3 0ET, England.</t>
  </si>
  <si>
    <t>nacas@bas.ac.uk</t>
  </si>
  <si>
    <t>Austin, Martin/0000-0003-3179-8767; Lucas, Natasha Sarah/0000-0002-1691-913X</t>
  </si>
  <si>
    <t>Knowledge Economy Skills Scholarship (KESS 2) [80815/BUK2108]; Welsh European Funding Office (WEFO); European Social Fund (ESF); company partner Nortek-AS, Norway; EPSRC [EP/R000611/1] Funding Source: UKRI</t>
  </si>
  <si>
    <t>Knowledge Economy Skills Scholarship (KESS 2); Welsh European Funding Office (WEFO); European Social Fund (ESF)(European Social Fund (ESF)); company partner Nortek-AS, Norway; EPSRC(UK Research &amp; Innovation (UKRI)Engineering &amp; Physical Sciences Research Council (EPSRC))</t>
  </si>
  <si>
    <t>This project was supported by Knowledge Economy Skills Scholarship (KESS 2, 80815/BUK2108) led by Bangor University on behalf of the Welsh higher education sector through funding from the Welsh European Funding Office (WEFO), the European Social Fund (ESF) and the company partner Nortek-AS, Norway. Thanks also goes out to the strong team of technicians at Bangor University that make this work possible; Peter Hughes and Aled Owen. We are very grateful to the anonymous reviewer for their valuable suggestions, which helped to improve the manuscript.</t>
  </si>
  <si>
    <t>0960-1481</t>
  </si>
  <si>
    <t>1879-0682</t>
  </si>
  <si>
    <t>RENEW ENERG</t>
  </si>
  <si>
    <t>Renew. Energy</t>
  </si>
  <si>
    <t>10.1016/j.renene.2022.05.044</t>
  </si>
  <si>
    <t>Green &amp; Sustainable Science &amp; Technology; Energy &amp; Fuels</t>
  </si>
  <si>
    <t>Science &amp; Technology - Other Topics; Energy &amp; Fuels</t>
  </si>
  <si>
    <t>8G5UZ</t>
  </si>
  <si>
    <t>WOS:000920411400002</t>
  </si>
  <si>
    <t>Behrens, BC; Yokoyama, Y; Miyairi, Y; Sproson, AD; Yamane, M; Jimenez-Espejo, FJ; McKay, RM; Johnson, KM; Escutia, C; Dunbar, RB</t>
  </si>
  <si>
    <t>Behrens, Bethany C.; Yokoyama, Yusuke; Miyairi, Yosuke; Sproson, Adam D.; Yamane, Masako; Jimenez-Espejo, Francisco J.; McKay, Robert M.; Johnson, Katelyn M.; Escutia, Carlota; Dunbar, Robert B.</t>
  </si>
  <si>
    <t>Beryllium isotope variations recorded in the Adelie Basin, East Antarctica reflect Holocene changes in ice dynamics, productivity, and scavenging efficiency</t>
  </si>
  <si>
    <t>QUATERNARY SCIENCE ADVANCES</t>
  </si>
  <si>
    <t>Holocene; East Antarctica; Cosmogenic nuclides; Beryllium isotopes; Scavenging</t>
  </si>
  <si>
    <t>LAST GLACIAL MAXIMUM; BE-10/BE-9 RATIOS; METEORIC BE-10; SEA-LEVEL; SEDIMENTS; SHELF; SHEET; DISCHARGE; AMS; DEGLACIATION</t>
  </si>
  <si>
    <t>The Adelie Basin is a relatively small (similar to 1600 km(2)), semi-enclosed continental shelf bathymetric depression located adjacent to the Wilkes Subglacial Basin, a basin underlying a sector of the East Antarctic Ice Sheet that contains similar to 3-4 m sea level equivalent of ice. Located within the Adelie Basin is a similar to 184 m thick laminated sediment deposit, the Adelie Drift, ideal for examining regional changes in ice sheet and ocean dynamics. Here, we examine the ratio of reactive beryllium-10 to reactive beryllium-9 ((Be-10/Be-9)(reac)) in a marine sediment core obtained from the Adelie Drift to assess these changes during the Holocene epoch (11.7 ka BP to present). The (Be-10/Be-9)(reac) record provides insight into changes in freshwater input, primary productivity, and scavenging efficiency, while removing the influence of particle size on Be-10 concentration. During the early Holocene, (Be-10/Be-9)(reac) ratios indicate increased meltwater discharge from ca. 11.7 to 10 ka BP, as grounded ice retreated from the Adelie Basin and adjacent bathymetric highs. After similar to 10 ka BP, beryllium isotopes are influenced by scavenging efficiency and dilution controlled by ocean currents and accumulation rate, operating alongside meltwater input, suggesting there are additional factors to consider when using (Be-10/Be-9)(reac) as a proxy for ice shelf cover and glacial dynamics.</t>
  </si>
  <si>
    <t>[Behrens, Bethany C.; Yokoyama, Yusuke; Miyairi, Yosuke; Sproson, Adam D.] Univ Tokyo, Atmosphere &amp; Ocean Res Inst, 5-1-5 Kashiwanoha, Kashiwa, Chiba 2778564, Japan; [Behrens, Bethany C.; Yokoyama, Yusuke] Univ Tokyo, Grad Program Environm Sci, Meguro Ku, Tokyo 1530041, Japan; [Yokoyama, Yusuke] Univ Tokyo, Grad Sch Sci, Dept Earth &amp; Planetary Sci, Bunkyo Ku, Tokyo 1138654, Japan; [Yokoyama, Yusuke; Sproson, Adam D.; Jimenez-Espejo, Francisco J.] Japan Agcy Marine Earth Sci &amp; Technol JAMSTEC, Biogeochem Res Ctr, Yokosuka, Kanagawa 2370061, Japan; [Yokoyama, Yusuke] Australian Natl Univ, Res Sch Phys, Acton, ACT 2601, Australia; [Yamane, Masako] Nagoya Univ, Inst Space Earth Environm Res, Chikusa Ku, Furocho, Nagoya, Aichi 4648601, Japan; [Jimenez-Espejo, Francisco J.; Escutia, Carlota] Univ Granada, Andalusian Earth Sci Inst IACT, CSIC, Armilla, Spain; [McKay, Robert M.; Johnson, Katelyn M.] Victoria Univ Wellington, Antarctic Res Ctr, Wellington, New Zealand; [Johnson, Katelyn M.] GNS Sci, Lower Hutt, New Zealand; [Dunbar, Robert B.] Stanford Univ, Sch Earth Energy &amp; Environm Sci, Stanford, CA 94305 USA</t>
  </si>
  <si>
    <t>University of Tokyo; University of Tokyo; University of Tokyo; Japan Agency for Marine-Earth Science &amp; Technology (JAMSTEC); Australian National University; Nagoya University; University of Granada; Consejo Superior de Investigaciones Cientificas (CSIC); CSIC - Instituto Andaluz de Ciencias de la Tierra (IACT); Victoria University Wellington; GNS Science - New Zealand; Stanford University</t>
  </si>
  <si>
    <t>Behrens, BC; Yokoyama, Y (corresponding author), Univ Tokyo, Atmosphere &amp; Ocean Res Inst, 5-1-5 Kashiwanoha, Kashiwa, Chiba 2778564, Japan.</t>
  </si>
  <si>
    <t>bethanybehrens@g.ecc.u-tokyo.ac.jp; yokoyama@aori.u-tokyo.ac.jp</t>
  </si>
  <si>
    <t>Sproson, Adam/IST-5171-2023; Jimenez-Espejo, Francisco J/F-4486-2016; Escutia, Carlota/B-8614-2015</t>
  </si>
  <si>
    <t>Jimenez-Espejo, Francisco J/0000-0002-0335-8580; McKay, Robert/0000-0002-5602-6985; Dunbar, Robert/0000-0002-9728-5609</t>
  </si>
  <si>
    <t>Japan Society for the Promotion of Science (JSPS) KAKENHI [20H00193]; JSPS [20J21145, PE17712, P18791]; New Zealand Ministry of Business, Innovation and Employment through the Antarctic Science Platform [ANTA1801]; Spanish Ministry of Science and Innovation [CTM2017-89711-C2-1-P]; European Union through FEDER funds; Austrian Science Fund (FWF) [P18791] Funding Source: Austrian Science Fund (FWF)</t>
  </si>
  <si>
    <t>Japan Society for the Promotion of Science (JSPS)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New Zealand Ministry of Business, Innovation and Employment through the Antarctic Science Platform(New Zealand Ministry of Business, Innovation and Employment (MBIE)); Spanish Ministry of Science and Innovation(Spanish Government); European Union through FEDER funds(European Union (EU)); Austrian Science Fund (FWF)(Austrian Science Fund (FWF))</t>
  </si>
  <si>
    <t>The authors would like to extend their sincere gratitude to H. Matsuzaki for support using the tandem accelerator mass spectrometer and T. Aze for overseeing the inductively coupled plasma mass spectrometry analyses. Special thanks to two anonymous reviewers for their insight and constructive comments which have helped to improve the manuscript. Financial support for this study was provided by the Japan Society for the Promotion of Science (JSPS) KAKENHI (20H00193) to YY, JSPS Fellowship DC1 (20J21145) to BCB, and JSPS Post-Doctoral Fellowship (PE17712 and P18791) to ADS. RM was funded by the New Zealand Ministry of Business, Innovation and Employment through the Antarctic Science Platform (ANTA1801). CE and FJJ-E acknowledges funding through Spanish Ministry of Science and Innovation (grant CTM2017-89711-C2-1-P), co-funded by the European Union through FEDER funds.</t>
  </si>
  <si>
    <t>2666-0334</t>
  </si>
  <si>
    <t>QUAT SCI ADV</t>
  </si>
  <si>
    <t>Quat. Sci. Adv.</t>
  </si>
  <si>
    <t>10.1016/j.qsa.2022.100054</t>
  </si>
  <si>
    <t>7H9TX</t>
  </si>
  <si>
    <t>WOS:000903540300002</t>
  </si>
  <si>
    <t>De Deckker, P</t>
  </si>
  <si>
    <t>De Deckker, Patrick</t>
  </si>
  <si>
    <t>The Holocene hypsithermal in the Australian region</t>
  </si>
  <si>
    <t>Westerlies; Holocene optimum; Upwelling; Sea-surface temperature; Rainfall; Pollen; Rainforest; Speleothem; Southern annular mode; Human population; ENSO</t>
  </si>
  <si>
    <t>NEW-ZEALAND; SOUTHEASTERN AUSTRALIA; SEA-LEVEL; TEMPERATURE VARIABILITY; ENVIRONMENTAL-CHANGE; CLIMATE VARIABILITY; SOUTHWEST PACIFIC; WESTERN VICTORIA; LATE PLEISTOCENE; LAKE KEILAMBETE</t>
  </si>
  <si>
    <t>Close examination of key and well-dated Holocene sites, both on land and at sea in the Australian region indicates that at the very beginning of the Holocene, as a result of strong westerlies, there must have been a continuous positive Southern Annular Mode (SAM). Following from that, the entire region switched to a negative SAM scenario and, during that time, the westerlies must have retreated further south. Afterwards, a period of time spaning similar to 8200 to similar to 5500 years ago temperatures were higher than today. We refer to it as the Holocene Hyspithermal. Coincident to this period, lake levels and postulated rainfall were extraordinarily high and vegetation spectra in places very different compared to today. The extent of this period varies by a few centuries between sites, but this may result from the level of resolution and also appears to be controlled by latitude. There is also clear indication that the influence of the westerlies was reduced over Australia during those two and a half millennia. Nevertheless, air temperatures recognised in Antarctic ice cores are at the opposite to those recognised in Australia. In addition, during the Australian Holocene Hypsithermal, CO2 levels were at their lowest in Antarctic ice cores. Climatic conditions then progressively deteriorated everywhere a bit after similar to 6000 years BP until recent times as ENSO signals with alternating El Nino and La Nina conditions across the entire Pacific region as already described by Perner et al. (2018) based on the same cores studied here. Brief mention is also made to the presence of humans in SE Australia during the Holocene. It seems that human activities changed well after the period of high temperatures and rainfall, with more sedentary activities along the major rivers, with an enhancement of food production in organized settings suggestive of villages.</t>
  </si>
  <si>
    <t>[De Deckker, Patrick] Australian Natl Univ, Res Sch Earth Sci, Canberra, ACT 2601, Australia</t>
  </si>
  <si>
    <t>Australian National University</t>
  </si>
  <si>
    <t>De Deckker, P (corresponding author), Australian Natl Univ, Res Sch Earth Sci, Canberra, ACT 2601, Australia.</t>
  </si>
  <si>
    <t>patrick.dedeckker@anu.edu.au</t>
  </si>
  <si>
    <t>De Deckker, Patrick/0000-0003-3003-5143</t>
  </si>
  <si>
    <t>10.1016/j.qsa.2022.100061</t>
  </si>
  <si>
    <t>WOS:000903540300006</t>
  </si>
  <si>
    <t>Jiang, JD; Shi, JX; Huang, F</t>
  </si>
  <si>
    <t>Jiang, Jindong; Shi, Jiuxin; Huang, Fei</t>
  </si>
  <si>
    <t>Quasi-Biennial Variability of Indian Ocean Subtropical Mode Water Subduction Driven by Atmospheric Circulation Modes during the Argo Period</t>
  </si>
  <si>
    <t>Ocean; Indian Ocean; Atmosphere-ocean interaction; Interannual variability</t>
  </si>
  <si>
    <t>SOUTHERN ANNULAR MODE; INTERANNUAL VARIABILITY; MIXED-LAYER; NORTH-ATLANTIC; DECADAL VARIABILITY; PACIFIC; DIPOLE; OSCILLATION; MECHANISMS; SEA</t>
  </si>
  <si>
    <t>Argo data were used to investigate interannual variability in the subduction rate of the Indian Ocean Subtropical Mode Water (IOSTMW). The IOSTMW subduction rate in the southwestern part of the southern Indian Ocean subtropical circulation varies substantially from year to year without significant trend during the Argo period 2005-19. The variability of the IOSTMW subduction rate is quasi-biennial and dominated by the lateral induction term associated with the wintertime mixed layer depth (MLD). The contribution of vertical pumping to the change of subduction rate is relatively small. This variability in the subduction rate directly contributes to IOSTMWvolume with a quasi-biennial variation. The quasi-biennial variations in the IOSTMW subduction and volume reflect the variability of the overlying atmosphere. The wintertime Mascarene high (MH) modulates the winter MLD in the subduction area through changes in heat fluxes and wind forcing. The quasi-biennial variability in MH is associated with the southern annular mode, but it was disturbed during two El Ni ($) over bar no events in 2009 and 2015/16. Variability of the wintertime MH plays a key role in driving the quasi-biennial variability of the IOSTMWsubduction during the Argo period.</t>
  </si>
  <si>
    <t>[Jiang, Jindong; Shi, Jiuxin; Huang, Fei] Ocean Univ China, Phys Oceanog Lab, Qingdao, Peoples R China; [Jiang, Jindong; Shi, Jiuxin; Huang, Fei] Qingdao Natl Lab Marine Sci &amp; Technol, Qingdao, Peoples R China</t>
  </si>
  <si>
    <t>Ocean University of China; Laoshan Laboratory</t>
  </si>
  <si>
    <t>Shi, JX (corresponding author), Ocean Univ China, Phys Oceanog Lab, Qingdao, Peoples R China.;Shi, JX (corresponding author), Qingdao Natl Lab Marine Sci &amp; Technol, Qingdao, Peoples R China.</t>
  </si>
  <si>
    <t>shijiuxin@ouc.edu.cn</t>
  </si>
  <si>
    <t>Jiang, Jindong/HMP-3222-2023; HUANG, Fei/JGD-7999-2023</t>
  </si>
  <si>
    <t>HUANG, Fei/0000-0002-1119-9081</t>
  </si>
  <si>
    <t>National Key R&amp;D Program of China [2018YFA0605701, IRASCC2020-2022-02-01-03]</t>
  </si>
  <si>
    <t>This work is supported by National Key R&amp;D Program of China (2018YFA0605701) and Chinese Arctic and Antarctic Administration (IRASCC2020-2022-02-01-03).</t>
  </si>
  <si>
    <t>10.1175/JCLI-D-21-0509.1</t>
  </si>
  <si>
    <t>6X2BD</t>
  </si>
  <si>
    <t>WOS:000896224100006</t>
  </si>
  <si>
    <t>Chaboche, PA; Pointurier, F; Sabatier, P; Foucher, A; Tiecher, T; Minella, JPG; Tassano, M; Hubert, A; Morera, S; Guédron, S; Ardois, C; Boulet, B; Cossonnet, C; Cabral, P; Cabrera, M; Chalar, G; Evrard, O</t>
  </si>
  <si>
    <t>Chaboche, Pierre-Alexis; Pointurier, Fabien; Sabatier, Pierre; Foucher, Anthony; Tiecher, Tales; Minella, Jean P. G.; Tassano, Marcos; Hubert, Amelie; Morera, Sergio; Guedron, Stephane; Ardois, Christophe; Boulet, Beatrice; Cossonnet, Catherine; Cabral, Pablo; Cabrera, Mirel; Chalar, Guillermo; Evrard, Olivier</t>
  </si>
  <si>
    <t>240Pu/239Pu signatures allow refining the chronology of radionuclide fallout in South America</t>
  </si>
  <si>
    <t>Plutonium isotopes; Nuclear weapon tests; Geochronology; Soil erosion</t>
  </si>
  <si>
    <t>PU-240/PU-239 ISOTOPIC-RATIOS; SETTING LAKES PUYEHUE; DATING PB-210; PLUTONIUM; PU239+240; SEDIMENTS; SOILS; ICALMA; AM-241; CS-137</t>
  </si>
  <si>
    <t>Atmospheric nuclear tests (1945-1980) have led to radioactive fallout across the globe. French tests in Polynesia (1966-1974) may influence the signature of fallout in South America in addition to those conducted by USA and former USSR until 1963 in the Northern hemisphere. Here, we compiled the 240Pu/239Pu atom ratios reported for soils of South America and conducted additional measurements to examine their latitudinal distributions across this continent. Significantly lower ratio values were found in the 20-45 degrees latitudinal band (0.04 to 0.13) compared to the rest of the continent (up to 0.20) and attributed to the contribution of the French atmospheric tests to the ultra-trace plutonium levels found in these soils. Based on sediment cores collected in lakes of Chile and Uruguay, we show the added value of measuring 240Pu/239Pu atom ratios to refine the age models of environmental archives in this region of the world.</t>
  </si>
  <si>
    <t>[Chaboche, Pierre-Alexis; Foucher, Anthony; Evrard, Olivier] Univ Paris Saclay, Unite Mixte Rech 8212 CEA CNRS UVSQ, Lab Sci Climat &amp; Environm LSCE IPSL, Gif Sur Yvette, France; [Pointurier, Fabien; Hubert, Amelie] CEA, DAM, DIF, F-91297 Arpajon, France; [Sabatier, Pierre] Univ Savoie Mt Blanc, CNRS, EDYTEM, F-73370 Le Bourget Du Lac, France; [Tiecher, Tales] Univ Fed Rio Grande do Sul, Dept Soil Sci, Bento Goncalves Ave 7712, BR-91540000 Porto Alegre, RS, Brazil; [Minella, Jean P. G.] Univ Fed Santa Maria, Dept Soils, BR-97105900 Santa Maria, RS, Brazil; [Tassano, Marcos; Cabral, Pablo; Cabrera, Mirel] Univ La Republ, Fac Ciencias, Ctr Invest Nucl, Lab Radioquim, Montevideo, Uruguay; [Morera, Sergio] Univ Nacl Agr La Molina, Inst Geofis Peru, Lima 15081, Peru; [Guedron, Stephane] Univ Grenoble Alpes, Univ Savoie Mt Blanc, CNRS, IRD,IFSTTAR,ISTerre, F-38000 Grenoble, France; [Ardois, Christophe; Boulet, Beatrice; Cossonnet, Catherine] Inst Radioprotect &amp; Surete Nucl, Bat 501, F-91400 Orsay, France; [Chalar, Guillermo] Univ La Republ, Fac Ciencias, Secc Limnol, Montevideo, Uruguay</t>
  </si>
  <si>
    <t>Universite Paris Saclay; CEA; Centre National de la Recherche Scientifique (CNRS); Universite Paris Cite; CEA; Centre National de la Recherche Scientifique (CNRS); Universite Savoie Mont Blanc; Universidade Federal do Rio Grande do Sul; Universidade Federal de Santa Maria (UFSM); Universidad de la Republica, Uruguay; University Nacional Agraria La Molina; Communaute Universite Grenoble Alpes; Universite Grenoble Alpes (UGA); Centre National de la Recherche Scientifique (CNRS); Institut de Recherche pour le Developpement (IRD); Universite Gustave-Eiffel; Universite Savoie Mont Blanc; Universidad de la Republica, Uruguay</t>
  </si>
  <si>
    <t>Chaboche, PA (corresponding author), Univ Paris Saclay, Unite Mixte Rech 8212 CEA CNRS UVSQ, Lab Sci Climat &amp; Environm LSCE IPSL, Gif Sur Yvette, France.</t>
  </si>
  <si>
    <t>pierre-alexis.chaboche@lsce.ipsl.fr</t>
  </si>
  <si>
    <t>Cabral, Pablo/AAS-9401-2020; Sabatier, Pierre/ISU-8926-2023; S.B., Morera Julca,/IQT-5883-2023; Guédron, Stéphane/K-7692-2018; Sabatier, Pierre/F-4250-2010</t>
  </si>
  <si>
    <t>Cabral, Pablo/0000-0001-7344-2027; S.B., Morera Julca,/0000-0001-9129-4160; Guédron, Stéphane/0000-0003-4229-1566; Sabatier, Pierre/0000-0002-9620-1514; Foucher, Anthony/0000-0002-4844-7886</t>
  </si>
  <si>
    <t>Fondo Maria Vi?as [FMV_1_2019_1_156244]; Fondo Maria Vinas - National Agency of Research and Innovation (ANII, Uruguay) [FMV_1_2019_1_156244]</t>
  </si>
  <si>
    <t>Fondo Maria Vi?as; Fondo Maria Vinas - National Agency of Research and Innovation (ANII, Uruguay)</t>
  </si>
  <si>
    <t>Pierre-Alexis Chaboche received a PhD fellowship from the University of Versailles-Saint-Quentin-en-Yvelines (a founding member of University Paris-Saclay) . Collaboration between France and Uruguay for sediment sampling is supported by an applied research project from the Fondo Maria Vinas (FMV_1_2019_1_156244) funded by the National Agency of Research and Innovation (ANII, Uruguay) . The Antarctic samples were obtained thanks to a project of the Instituto Antartico Uruguayo (IAU) (2015-2016) . The authors thank the Laboratoire Souterrain de Modane (LSM) facilities for the gamma spectrometry measurements.</t>
  </si>
  <si>
    <t>10.1016/j.scitotenv.2022.156943</t>
  </si>
  <si>
    <t>6I3LJ</t>
  </si>
  <si>
    <t>WOS:000886029600014</t>
  </si>
  <si>
    <t>Li, S; Liao, JJ; Zhang, LC</t>
  </si>
  <si>
    <t>Li, Song; Liao, Jingjuan; Zhang, Lianchong</t>
  </si>
  <si>
    <t>Extraction and analysis of elevation changes in Antarctic ice sheet from CryoSat-2 and Sentinel-3 radar altimeters</t>
  </si>
  <si>
    <t>JOURNAL OF APPLIED REMOTE SENSING</t>
  </si>
  <si>
    <t>elevation changes; Antarctic ice sheet; satellite radar altimeter</t>
  </si>
  <si>
    <t>MASS-BALANCE; TOTTEN GLACIER; VOLUME-CHANGE; GREENLAND; EVOLUTION; PENINSULA; SHELVES; ENVISAT; LAND; ENVIRONMENT</t>
  </si>
  <si>
    <t>New radar altimeters have supported elevation modeling with greater accuracy and extended periods in recent years. Sentinel-3 has been rarely used in previous studies for monitoring the Antarctic ice sheet. The CryoSat-2 and Sentinel-3 satellite radar altimeter data were combined to extract the elevation changes in the Antarctic ice sheet. First, a subregional data filtering method based on a clustering algorithm was proposed to improve the accuracy of the elevation change results for the outliers in the original measurements. Next, an improved model-fitting model that incorporated multiple parameters was used to extract elevation changes, and the results were validated using airborne laser altimetry data and ICESat-2 data. The average changes in the Antarctic ice sheet elevation from 2016 to 2019 were -4.3 +/- 0.9 cm / y. The elevation changes of the ice shelf edges with large slopes and complex topography were much larger than the interior. Some specific areas showed substantial elevation changes. The most significant surface decreases occurred at the Pine Island Glacier and the Totten Glacier, while a pronounced surface heightening existed at the Kamb Ice Stream. We reveal an effective method for combining Antarctic ice sheet data from new radar altimeters. This method supports the long-term monitoring of the Antarctic ice sheet and global climate change in the future. (C) The Authors. Published by SPIE under a Creative Commons Attribution 4.0 International License.</t>
  </si>
  <si>
    <t>[Li, Song; Liao, Jingjuan; Zhang, Lianchong] Chinese Acad Sci, Aerosp Informat Res Inst, Key Lab Digital Earth Sci, Beijing, Peoples R China; [Li, Song] Univ Chinese Acad Sci, Beijing, Peoples R China</t>
  </si>
  <si>
    <t>Chinese Academy of Sciences; Aerospace Information Research Institute, CAS; Chinese Academy of Sciences; University of Chinese Academy of Sciences, CAS</t>
  </si>
  <si>
    <t>Liao, JJ (corresponding author), Chinese Acad Sci, Aerosp Informat Res Inst, Key Lab Digital Earth Sci, Beijing, Peoples R China.</t>
  </si>
  <si>
    <t>liaojj@aircas.ac.cn</t>
  </si>
  <si>
    <t>Liao, Jiajun/AAL-3864-2021</t>
  </si>
  <si>
    <t>Liao, Jiajun/0000-0001-6841-2624</t>
  </si>
  <si>
    <t>National Natural Science Foundation of China [41871256]</t>
  </si>
  <si>
    <t>This work was supported by the National Natural Science Foundation of China (Grant No. 41871256). Thanks to the organizations that provided data support for this study, the CryoSat-2 altimetry data were provided by the European Space Agency (ESA) Earth Online, the Sentinel-3A altimetry data were provided by The Copernicus Open Access Hub, and the OIB ATM data and the ICESat-2 data were obtained from the National Snow and Ice Data Center (NSIDC). The authors would like to express thanks to the anonymous reviewers for their voluntary work and the constructive comments to improve this manuscript.63,64 The authors declare no conflict of interest.</t>
  </si>
  <si>
    <t>SPIE-SOC PHOTO-OPTICAL INSTRUMENTATION ENGINEERS</t>
  </si>
  <si>
    <t>BELLINGHAM</t>
  </si>
  <si>
    <t>1000 20TH ST, PO BOX 10, BELLINGHAM, WA 98225 USA</t>
  </si>
  <si>
    <t>1931-3195</t>
  </si>
  <si>
    <t>J APPL REMOTE SENS</t>
  </si>
  <si>
    <t>J. Appl. Remote Sens.</t>
  </si>
  <si>
    <t>10.1117/1.JRS.16.034514</t>
  </si>
  <si>
    <t>5H3BK</t>
  </si>
  <si>
    <t>WOS:000867557000016</t>
  </si>
  <si>
    <t>Fox-Hughes, P; Su, CH; Eizenberg, N; White, C; Steinle, P; Jakob, D; Black, M; Dowdy, A; Brown, A; Nathan, R; Acharya, SC</t>
  </si>
  <si>
    <t>Fox-Hughes, Paul; Su, Chun-Hsu; Eizenberg, Nathan; White, Christopher; Steinle, Peter; Jakob, Doerte; Black, Mitchell; Dowdy, Andrew; Brown, Andrew; Nathan, Rory; Acharya, Suwash Chandra</t>
  </si>
  <si>
    <t>A review of early severe weather applications of high-resolution regional reanalysis in Australia</t>
  </si>
  <si>
    <t>METEOROLOGICAL APPLICATIONS</t>
  </si>
  <si>
    <t>emergency management; reanalysis applications</t>
  </si>
  <si>
    <t>COOL-SEASON; ATMOSPHERIC REANALYSIS; UNITED-STATES; BARRA V1.0; TORNADO; ENERGY; EVENT; ENVIRONMENTS; THUNDERSTORM; PERFORMANCE</t>
  </si>
  <si>
    <t>High-resolution regional reanalysis datasets have the potential to provide valuable guidance to emergency management agencies, highlighting areas at risk of severe weather, including estimates of return periods of various hazardous weather phenomena. The BARRA regional reanalysis for Australia comprises a reanalysis for a broad region around Australia at moderately high spatial and temporal resolution (12 km/hourly), together with four subdomains at high resolution (1.5 km/1 h). Here, we document four applications of BARRA developed for emergency management: optimal placement of portable automatic weather stations for fire weather monitoring; climatology of low-level wind shear conducive to cool-season tornadogenesis; development of rainfall intensity-frequency-duration curves based on the gridded reanalysis data; and development of a climatology across Australia of parameters associated with severe thunderstorm occurrence.</t>
  </si>
  <si>
    <t>[Fox-Hughes, Paul] Australian Bur Meteorol, Res Program, GPO Box 727, Hobart, Tas 7001, Australia; [Su, Chun-Hsu; Steinle, Peter; Jakob, Doerte; Black, Mitchell; Dowdy, Andrew] Australian Bur Meteorol, Res Program, Melbourne, Vic, Australia; [Eizenberg, Nathan; Brown, Andrew] Univ Melbourne, Sch Geog Earth &amp; Atmospher Sci, Parkville, Vic, Australia; [White, Christopher] Univ Strathclyde, Ctr Water Environm Sustainabil &amp; Publ Hlth, Glasgow, Lanark, Scotland; [Nathan, Rory; Acharya, Suwash Chandra] Univ Melbourne, Dept Infrastruct Engn, Parkville, Vic, Australia</t>
  </si>
  <si>
    <t>Bureau of Meteorology - Australia; Bureau of Meteorology - Australia; Melbourne Genomics Health Alliance; University of Melbourne; University of Strathclyde; University of Melbourne</t>
  </si>
  <si>
    <t>Fox-Hughes, P (corresponding author), Australian Bur Meteorol, Res Program, GPO Box 727, Hobart, Tas 7001, Australia.</t>
  </si>
  <si>
    <t>paul.fox-hughes@bom.gov.au</t>
  </si>
  <si>
    <t>Nathan, Rory J/A-8986-2015; Dowdy, Andrew/AAI-6395-2020; Black, Mitchell T/A-7622-2013; Acharya, Suwash Chandra/HZL-6229-2023; Su, Chun-Hsu/C-2076-2014; Fox-Hughes, Paul/G-8731-2013</t>
  </si>
  <si>
    <t>Dowdy, Andrew/0000-0003-0720-4471; Acharya, Suwash Chandra/0000-0002-0958-4773; Fox-Hughes, Paul/0000-0002-0083-9928; Steinle, Peter/0000-0002-0996-3386; Brown, Andrew/0000-0001-7354-295X</t>
  </si>
  <si>
    <t>New South Wales Rural Fire Service; South Australian Country Fire Service; South Australian Department of Environment and Water; Tasmanian Government; Australian Government; West Australian Department of Fire and Emergency Services; University of Tasmania; Antarctic Climate and Ecosystems Cooperative Research Centre</t>
  </si>
  <si>
    <t>New South Wales Rural Fire Service; South Australian Country Fire Service; South Australian Department of Environment and Water; Tasmanian Government; Australian Government(Australian Government); West Australian Department of Fire and Emergency Services; University of Tasmania; Antarctic Climate and Ecosystems Cooperative Research Centre(Australian GovernmentDepartment of Industry, Innovation and ScienceCooperative Research Centres (CRC) Programme)</t>
  </si>
  <si>
    <t>New South Wales Rural Fire Service; South Australian Country Fire Service; South Australian Department of Environment and Water; Tasmanian and Australian Governments; West Australian Department of Fire and Emergency Services; University of Tasmania; Antarctic Climate and Ecosystems Cooperative Research Centre</t>
  </si>
  <si>
    <t>1350-4827</t>
  </si>
  <si>
    <t>1469-8080</t>
  </si>
  <si>
    <t>METEOROL APPL</t>
  </si>
  <si>
    <t>Meteorol. Appl.</t>
  </si>
  <si>
    <t>e2087</t>
  </si>
  <si>
    <t>10.1002/met.2087</t>
  </si>
  <si>
    <t>3U7UN</t>
  </si>
  <si>
    <t>WOS:000841171900001</t>
  </si>
  <si>
    <t>Agrios, LM; Licht, KJ; Williams, T; Hemming, SR; Welch, L; Mickey, JL</t>
  </si>
  <si>
    <t>Agrios, Liana M.; Licht, Kathy J.; Williams, Trevor; Hemming, Sidney R.; Welch, Lauren; Mickey, Jeremiah L.</t>
  </si>
  <si>
    <t>Detrital geochronology and lithologic signatures of Weddell Sea Embayment ice streams, Antarctica-Implications for subglacial geology and ice sheet history</t>
  </si>
  <si>
    <t>LAST GLACIAL MAXIMUM; PALEOZOIC SILICICLASTIC ROCKS; U-PB GEOCHRONOLOGY; TRANSANTARCTIC MOUNTAINS; PENSACOLA MOUNTAINS; ELLSWORTH MOUNTAINS; SHACKLETON RANGE; MARINE-SEDIMENTS; RIFT SYSTEM; ZIRCON</t>
  </si>
  <si>
    <t>Tills from moraines adjacent to major ice streams of the Weddell Sea Embayment contain distinct detrital zircon (n = 5304) and K-bearing mineral age populations (n = 323) that, when combined with pebble composition data, can be used to better understand Antarctica's subglacial geology and ice sheet history. Till representing the Institute, Foundation, Academy, Recovery and Slessor Ice Streams each have distinct detrital zircon age populations. Detrital Ar-Ar ages are mostly younger than zircon ages, and distinctive populations include 270-300 Ma (Institute), 170-190 Ma (Foundation), and 1200-1400 Ma (Recovery), which are not easily explained by known outcrops. Pebble fractions of the Foundation and Academy tills are most diverse with up to &gt;40% exotic erratics. The southern side of the Recovery Glacier has fossiliferous limestone erratics. Mixing models created using a nonlinear squares curve-fitting approach were developed to evaluate contributors of zircons to Foundation Ice Stream till. These model results and pebble lithology data both indicate that unexposed (subglacial) bedrock is mixed with exposed rocks to produce the observed till. Notably, the model required limited local Patuxent Formation input to the Foundation till's zircon population. Our data suggest that sandstones underlie the Foundation Ice Stream and Recovery Glacier troughs, which has a bearing on basal ice flow conditions and results in geological controls on ice stream location. This geo- and thermo-chronological characterization of the ice streams will enable ice-rafted debris in Weddell Sea marine sediments to be traced back to its sources and interpreted in terms of ice stream dynamics.</t>
  </si>
  <si>
    <t>[Agrios, Liana M.; Licht, Kathy J.; Welch, Lauren] Indiana Univ Purdue Univ, Dept Earth Sci, 723 West Michigan St, Indianapolis, IN 46202 USA; [Williams, Trevor] Texas A&amp;M Univ, Int Ocean Discovery Program, 1000 Discovery Dr, College Stn, TX 77845 USA; [Hemming, Sidney R.] Columbia Univ, Dept Earth &amp; Environm Sci, Palisades, NY 10964 USA; [Hemming, Sidney R.] Columbia Univ, Lamont Doherty Earth Observ, Palisades, NY 10964 USA; [Mickey, Jeremiah L.] Indiana Dept Environm Management, Indianapolis, IN 46202 USA</t>
  </si>
  <si>
    <t>Indiana University System; Indiana University-Purdue University Indianapolis; Texas A&amp;M University System; Texas A&amp;M University College Station; Columbia University; Columbia University</t>
  </si>
  <si>
    <t>Licht, KJ (corresponding author), Indiana Univ Purdue Univ, Dept Earth Sci, 723 West Michigan St, Indianapolis, IN 46202 USA.</t>
  </si>
  <si>
    <t>klicht@iupui.edu</t>
  </si>
  <si>
    <t>Williams, Trevor/L-7670-2014</t>
  </si>
  <si>
    <t>Licht, Kathy/0000-0002-2233-2853</t>
  </si>
  <si>
    <t>U.S. National Science Foundation Office of Polar Programs [PLR-1342213, 1342251, 1724670]; Indiana University-Purdue University Indianapolis Undergraduate Research Program; National Science Foundation [OPP-1643713]; Directorate For Geosciences; Office of Polar Programs (OPP) [1342251, 1724670] Funding Source: National Science Foundation</t>
  </si>
  <si>
    <t>U.S. National Science Foundation Office of Polar Programs(National Science Foundation (NSF)); Indiana University-Purdue University Indianapolis Undergraduate Research Program; National Science Foundation(National Science Foundation (NSF)); Directorate For Geosciences; Office of Polar Programs (OPP)(National Science Foundation (NSF)NSF - Directorate for Geosciences (GEO))</t>
  </si>
  <si>
    <t>This work was supported by the U.S. National Science Foundation Office of Polar Programs (PLR-1342213, 1342251, and 1724670) and the Indiana University-Purdue University Indianapolis Undergraduate Research Program. Samples from the Institute Ice Stream were graciously provided R. Vieira and those from Slessor Glacier by A. Hein and D. Sugden; samples for comparative work were provided by the U.S. Polar Rock Repository with support from the National Science Foundation under Cooperative Agreement OPP-1643713. We are grateful to A. Kadakia, A. Evans, and T. Hudson for their assistance with sample analyses. Field work was made possible with help from mountaineer P. Braddock, the U.S. Antarctic Program personnel, Kenn Borek Air. Ltd., and the N.Y. Air National Guard, and imagery was provided by the Polar Geospatial Center. We thank M. Pecha, N. Giesler, and other staff at the University of Arizona Laserchron Center for their assistance in zircon imaging and U-Pb analyses as well as J. Shuckle for assistance with statistical analysis. Thorough and constructive comments by M. Flowerdew and an anonymous reviewer improved the manuscript and are appreciated.</t>
  </si>
  <si>
    <t>10.1130/B36117.1</t>
  </si>
  <si>
    <t>3I8CZ</t>
  </si>
  <si>
    <t>WOS:000832938800009</t>
  </si>
  <si>
    <t>Lopatka, A</t>
  </si>
  <si>
    <t>Lopatka, Alex</t>
  </si>
  <si>
    <t>Groundwater flows deep under Antarctic ice</t>
  </si>
  <si>
    <t>PHYSICS TODAY</t>
  </si>
  <si>
    <t>BENEATH; HYDROLOGY</t>
  </si>
  <si>
    <t>Ice-dynamics models must be updated now that researchers have observed a thick layer of salty water in sediments beneath the West Antarctic Ice Sheet.</t>
  </si>
  <si>
    <t>AMER INST PHYSICS</t>
  </si>
  <si>
    <t>1305 WALT WHITMAN RD ,STE 300, MELVILLE, NY 11747 USA</t>
  </si>
  <si>
    <t>0031-9228</t>
  </si>
  <si>
    <t>1945-0699</t>
  </si>
  <si>
    <t>PHYS TODAY</t>
  </si>
  <si>
    <t>Phys. Today</t>
  </si>
  <si>
    <t>10.1063/PT.3.5035</t>
  </si>
  <si>
    <t>3I7GO</t>
  </si>
  <si>
    <t>WOS:000832880500007</t>
  </si>
  <si>
    <t>Lee, S; Koo, MH; Han, DW; Kim, IC; Lee, JH; Kim, JH; Sultana, R; Kim, SY; Youn, UJ; Kim, JH</t>
  </si>
  <si>
    <t>Lee, Seulah; Koo, Man Hyung; Han, Dong-Won; Kim, Il-Chan; Lee, Jun Hyuck; Kim, Jeong-Hoon; Sultana, Razia; Kim, Sun Yeou; Youn, Ui Joung; Kim, Jin-Hyoung</t>
  </si>
  <si>
    <t>Comparison of Fatty Acid Contents and MMP-1 Inhibitory Effects of the Two Antarctic Fish, Notothenia rossii and Champsocephalus gunnari</t>
  </si>
  <si>
    <t>MOLECULES</t>
  </si>
  <si>
    <t>Antarctic fish; Notothenia rossii; Champsocephalus gunnari; omega-3; polyunsaturated fatty acids; MMP-1 inhibition</t>
  </si>
  <si>
    <t>LIPID COMPOSITIONS; COLORECTAL-CANCER; OLEIC-ACID; OLIVE OIL; SKIN; SUPPLEMENTATION; INFLAMMATION; ACCLIMATION; PREGNANCY; MARKERS</t>
  </si>
  <si>
    <t>Total fatty-acid (FA) contents of different organs (stomach, liver, brain, and skin) of two Antarctic fish, marbled rockcod (Notothenia rossii) and mackerel icefish (Champsocephalus gunnari), were examined using gas chromatography-mass spectrometry (GC-MS). N. rossii possessed higher contents of total omega-3, where eicosapentaenoic acid (EPA) and docosahexaenoic acid (DHA), the most represented omega-3 FAs, were distributed throughout all parts of the fish. The highest level of EPA was observed in the skin and that of DHA was observed in the brain of N. rossii. C. gunnari showed organ peculiarity in that most of the omega-3 FAs were found in stomach and skin. Specifically, the highest levels of EPA and DHA were both observed in the stomach. Although N. rossii and C. gunnari both inhabit the Antarctic Southern Oceans, their characteristics in terms of the composition of fatty acids were shown to vary. The extracts were also evaluated for matrix metalloproteinase-1 (MMP-1)-inhibitory activities in UVB-induced human dermal fibroblasts, where extracts of the skin and liver of N. rossii showed the most significant inhibition upon MMP-1 production. These findings provide experimental evidence that the extracts of the Antarctic fish could be utilized as bioactive nutrients, particularly in the enhancement of skin health.</t>
  </si>
  <si>
    <t>[Lee, Seulah; Han, Dong-Won; Kim, Il-Chan; Kim, Jeong-Hoon; Youn, Ui Joung; Kim, Jin-Hyoung] Korea Polar Res Inst, Div Polar Life Sci, Incheon 21990, South Korea; [Lee, Seulah] Seoul Sch Integrated Sci &amp; Technol aSSIST, Seoul 03767, South Korea; [Koo, Man Hyung; Lee, Jun Hyuck] Korea Polar Res Inst, Res Unit Cryogen Novel Mat, Incheon 21990, South Korea; [Lee, Jun Hyuck; Youn, Ui Joung; Kim, Jin-Hyoung] Univ Sci &amp; Technol, Polar Sci, Incheon 21990, South Korea; [Sultana, Razia] Jagannath Univ, Dept Pharm, Dhaka 1100, Bangladesh; [Kim, Sun Yeou] Gachon Univ, Coll Pharm, 191 Hambakmoero, Incheon 21936, South Korea</t>
  </si>
  <si>
    <t>Korea Polar Research Institute (KOPRI); Korea Polar Research Institute (KOPRI); Gachon University</t>
  </si>
  <si>
    <t>Youn, UJ; Kim, JH (corresponding author), Korea Polar Res Inst, Div Polar Life Sci, Incheon 21990, South Korea.;Youn, UJ; Kim, JH (corresponding author), Univ Sci &amp; Technol, Polar Sci, Incheon 21990, South Korea.</t>
  </si>
  <si>
    <t>seulah@kopri.re.kr; mhkoo1016@kopri.re.kr; hdw@kopri.re.kr; ickim@kopri.re.kr; junhyuddee@kopri.re.kr; jhkim94@kopri.re.kr; raziasultana.du@gmail.com; sunnykim@gachon.ac.kr; ujyoun@kopri.re.kr; kimjh@kopri.re.kr</t>
  </si>
  <si>
    <t>Kim, Jin-Hyoung/C-6037-2009</t>
  </si>
  <si>
    <t>Kim, Jin-Hyoung/0000-0001-6746-7447; Koo, Man Hyung/0000-0002-3217-1010; Kim, Sun Yeou/0000-0001-8044-5613; Lee, Jun Hyuck/0000-0002-4831-2228; Lee, Seulah/0000-0002-4657-5104; Kim, Jeong-Hoon/0000-0002-2397-2668</t>
  </si>
  <si>
    <t>Korea Polar Research Institute (KOPRI) [PE22160]</t>
  </si>
  <si>
    <t>Korea Polar Research Institute (KOPRI)(Korea Polar Research Institute of Marine Research Placement (KOPRI))</t>
  </si>
  <si>
    <t>This research was supported by the Korea Polar Research Institute (KOPRI; grant number PE22160).</t>
  </si>
  <si>
    <t>1420-3049</t>
  </si>
  <si>
    <t>Molecules</t>
  </si>
  <si>
    <t>10.3390/molecules27144554</t>
  </si>
  <si>
    <t>3K9CS</t>
  </si>
  <si>
    <t>WOS:000834372000001</t>
  </si>
  <si>
    <t>Gao, X; Fan, P; Jin, JB; He, JX; Song, MR; Zhang, H; Fei, KC; Zhang, MH; Zeng, QC</t>
  </si>
  <si>
    <t>Gao, Xin; Fan, Peng; Jin, Jiangbo; He, Juanxiong; Song, Mirong; Zhang, He; Fei, Kece; Zhang, Minghua; Zeng, Qingcun</t>
  </si>
  <si>
    <t>Evaluation of Sea Ice Simulation of CAS-ESM 2.0 in Historical Experiment</t>
  </si>
  <si>
    <t>CAS-ESM 2; 0; sea ice; seasonal cycle; sea ice mass budget</t>
  </si>
  <si>
    <t>MODEL; CLIMATE; PARAMETERIZATION; CIRCULATION; THICKNESS; TRANSPORT</t>
  </si>
  <si>
    <t>A sea ice model is an important component of an Earth system model, which is an essential tool for the study of sea ice, including its internal processes, interactions with other components, and projected future changes. This paper evaluates a simulation of sea ice by the Chinese Academy of Sciences Earth System Model version 2 (CAS-ESM 2.0), focusing on a historical simulation in the Coupled Model Intercomparison Project Phase 6 (CMIP6). Compared with the observations, CAS-ESM 2.0 reproduces reasonable seasonal cycle features and the climatological spatial distribution of Arctic and Antarctic sea ice, including sea ice extent (SIE), sea ice concentration, and sea ice thickness and motion. However, the SIE in CAS-ESM 2.0 is too large in winter and too low in summer in both hemispheres, indicating higher seasonal variations of the model relative to observations. Further sea ice mass budget diagnostics show that basal growth contributes most to ice increase in both hemispheres, basal melt and top melt make a comparable contribution to Arctic ice decrease, and basal melt plays a dominant role in Antarctic ice loss. This, combined with surface air temperature (SAT) and sea surface temperature (SST) biases, suggests that the excess of sea ice simulated in wintertime in both hemispheres and the lower SIE simulated in the Antarctic summer are mainly attributable to the bias in SST, whereas the lower SIE simulated in the Arctic summer is probably due to the combined effects of both the SST and SAT biases.</t>
  </si>
  <si>
    <t>[Gao, Xin; Fan, Peng; Jin, Jiangbo; He, Juanxiong; Zhang, He; Fei, Kece; Zeng, Qingcun] Chinese Acad Sci, Int Ctr Climate &amp; Environm Sci ICCES, Inst Atmospher Phys, Beijing 100029, Peoples R China; [Fan, Peng] Univ Chinese Acad Sci, Coll Earth &amp; Planetary Sci, Beijing 100049, Peoples R China; [Song, Mirong] Chinese Acad Sci, Inst Atmospher Phys, State Key Lab Numer Modeling Atmospher Sci &amp; Geop, Beijing 100029, Peoples R China; [Song, Mirong] Guangdong Lab, Southern Marine Sci &amp; Engn, Zhuhai 519080, Peoples R China; [Zhang, Minghua] SUNY Stony Brook, Sch Marine &amp; Atmospher Sci, New York, NY 11790 USA</t>
  </si>
  <si>
    <t>Chinese Academy of Sciences; Institute of Atmospheric Physics, CAS; Chinese Academy of Sciences; University of Chinese Academy of Sciences, CAS; Chinese Academy of Sciences; Institute of Atmospheric Physics, CAS; Southern Marine Science &amp; Engineering Guangdong Laboratory; Southern Marine Science &amp; Engineering Guangdong Laboratory (Zhuhai); State University of New York (SUNY) System; State University of New York (SUNY) Stony Brook</t>
  </si>
  <si>
    <t>Song, MR (corresponding author), Chinese Acad Sci, Inst Atmospher Phys, State Key Lab Numer Modeling Atmospher Sci &amp; Geop, Beijing 100029, Peoples R China.;Song, MR (corresponding author), Guangdong Lab, Southern Marine Sci &amp; Engn, Zhuhai 519080, Peoples R China.</t>
  </si>
  <si>
    <t>gaoxin@mail.iap.ac.cn; fanpeng@mail.iap.ac.cn; jinjiangbo@mail.iap.ac.cn; hejx@mail.iap.ac.cn; songmirong@lasg.iap.ac.cn; zhanghe@mail.iap.ac.cn; feikece@mail.iap.ac.cn; minghua.zhang@stonybrook.edu; zqc@mail.iap.ac.cn</t>
  </si>
  <si>
    <t>Gao, Xin/D-5487-2013</t>
  </si>
  <si>
    <t>National Key R&amp;D Program of China [2018YFA0605901]; Youth Innovation Promotion Association of CAS [2022074]; National Natural Science Foundation of China [42005123, 41941009]; National Key Scientific and Technological Infrastructure project Earth System Science Numerical Simulator Facility (EarthLab)</t>
  </si>
  <si>
    <t>National Key R&amp;D Program of China; Youth Innovation Promotion Association of CAS; National Natural Science Foundation of China(National Natural Science Foundation of China (NSFC)); National Key Scientific and Technological Infrastructure project Earth System Science Numerical Simulator Facility (EarthLab)</t>
  </si>
  <si>
    <t>We thank the three anonymous reviewers for their constructive comments and suggestions which helped to improve the quality of this manuscript. This work is jointly supported by the National Key R&amp;D Program of China (2018YFA0605901), the Youth Innovation Promotion Association of CAS (2022074), the National Natural Science Foundation of China (Grant Nos. 42005123 and 41941009), and the National Key Scientific and Technological Infrastructure project Earth System Science Numerical Simulator Facility (EarthLab).</t>
  </si>
  <si>
    <t>10.3390/atmos13071056</t>
  </si>
  <si>
    <t>3K1RX</t>
  </si>
  <si>
    <t>WOS:000833862100001</t>
  </si>
  <si>
    <t>Rota, E; Bergami, E; Corsi, I; Bargagli, R</t>
  </si>
  <si>
    <t>Rota, Emilia; Bergami, Elisa; Corsi, Ilaria; Bargagli, Roberto</t>
  </si>
  <si>
    <t>Macro- and Microplastics in the Antarctic Environment: Ongoing Assessment and Perspectives</t>
  </si>
  <si>
    <t>ENVIRONMENTS</t>
  </si>
  <si>
    <t>Antarctica; plastics; occurrence; environmental contamination; impact; marine and terrestrial ecosystems; ASPAs</t>
  </si>
  <si>
    <t>MICROBIAL COMMUNITIES; PLASTIC INGESTION; MARINE DEBRIS; FUR SEALS; ROSS SEA; ISLAND; ACCUMULATION; POLLUTION; DISPERSAL; SEDIMENTS</t>
  </si>
  <si>
    <t>The number of scientists and tourists visiting Antarctica is on the rise and, despite the management framework for environmental protection, some coastal areas, particularly in the Antarctic Peninsula region, are affected by plastic contamination. The few data available on the occurrence of microplastics (&lt;5 mm) are difficult to compare, due to the different methodologies used in monitoring studies. However, indications are emerging to guide future research and to implement environmental protocols. In the surface and subsurface waters of the Southern Ocean, plastic debris &gt;300 p.m appears to be scarce and far less abundant than paint chips released from research vessels. Yet, near some coastal scientific stations, the fragmentation and degradation of larger plastic items, as well as microbeads and microfibers released into wastewater from personal care products and laundry, could potentially affect marine organisms. Some studies indicate that, through long-range atmospheric transport, plastic fibers produced on other continents can be deposited in Antarctica. Drifting plastic debris can also cross the Polar Front, with the potential to carry alien fouling organisms into the Southern Ocean. Sea ice dynamics appear to favor the uptake of microplastics by ice algae and Antarctic krill, the key species in the Antarctic marine food web. Euphausia superba apparently has the ability to fragment and expel ingested plastic particles at the nanoscale. However, most Antarctic organisms are endemic species, with unique ecophysiological adaptations to extreme environmental conditions and are likely highly sensitive to cumulative stresses caused by climate change, microplastics and other anthropogenic disturbances. Although there is limited evidence to date that micro- and nanoplastics have direct biological effects, our review aims at raising awareness of the problem and, in order to assess the real potential impact of microplastics in Antarctica, underlines the urgency to fill the methodological gaps for their detection in all environmental matrices, and to equip scientific stations and ships with adequate wastewater treatment plants to reduce the release of microfibers.</t>
  </si>
  <si>
    <t>[Rota, Emilia; Corsi, Ilaria; Bargagli, Roberto] Univ Siena, Dept Phys Earth &amp; Environm Sci, Via PA Mattioli 4, IT-53100 Siena, Italy; [Bergami, Elisa] Univ Modena &amp; Reggio Emilia, Dept Life Sci, Via G Campi 103, IT-41125 Modena, Italy</t>
  </si>
  <si>
    <t>University of Siena; Universita di Modena e Reggio Emilia</t>
  </si>
  <si>
    <t>Rota, E (corresponding author), Univ Siena, Dept Phys Earth &amp; Environm Sci, Via PA Mattioli 4, IT-53100 Siena, Italy.</t>
  </si>
  <si>
    <t>rota@unisi.it; ebergami@unimore.it; ilaria.corsi@unisi.it; roberto.bargagli@unisi.it</t>
  </si>
  <si>
    <t>Corsi, Ilaria/D-3795-2012; Bergami, Elisa/JFJ-1703-2023</t>
  </si>
  <si>
    <t>Corsi, Ilaria/0000-0002-1811-3041; Bergami, Elisa/0000-0001-8149-9584; Rota, Emilia/0000-0002-8235-6419</t>
  </si>
  <si>
    <t>2076-3298</t>
  </si>
  <si>
    <t>Environments</t>
  </si>
  <si>
    <t>10.3390/environments9070093</t>
  </si>
  <si>
    <t>3K1KF</t>
  </si>
  <si>
    <t>WOS:000833842100001</t>
  </si>
  <si>
    <t>Santos, A; Burgos, F; Martinez-Urtaza, J; Barrientos, L</t>
  </si>
  <si>
    <t>Santos, Andres; Burgos, Felipe; Martinez-Urtaza, Jaime; Barrientos, Leticia</t>
  </si>
  <si>
    <t>Metagenomic Characterization of Resistance Genes in Deception Island and Their Association with Mobile Genetic Elements</t>
  </si>
  <si>
    <t>Antarctic soils; phages; plasmids; pristine environments</t>
  </si>
  <si>
    <t>SOUTH SHETLAND ISLANDS; ANTIBIOTIC-RESISTANCE; METAL RESISTANCE; ENVIRONMENTS; BACTERIA; ARGS</t>
  </si>
  <si>
    <t>Antibiotic resistance genes (ARGs) are undergoing a remarkably rapid geographic expansion in various ecosystems, including pristine environments such as Antarctica. The study of ARGs and environmental resistance genes (ERGs) mechanisms could provide a better understanding of their origin, evolution, and dissemination in these pristine environments. Here, we describe the diversity of ARGs and ERGs and the importance of mobile genetic elements as a possible mechanism for the dissemination of resistance genes in Antarctica. We analyzed five soil metagenomes from Deception Island in Antarctica. Results showed that detected ARGs are associated with mechanisms such as antibiotic efflux, antibiotic inactivation, and target alteration. On the other hand, resistance to metals, surfactants, and aromatic hydrocarbons were the dominant ERGs. The taxonomy of ARGs showed that Pseudomonas, Psychrobacter, and Staphylococcus could be key taxa for studying antibiotic resistance and environmental resistance to stress in Deception Island. In addition, results showed that ARGs are mainly associated with phage-type mobile elements suggesting a potential role in their dissemination and prevalence. Finally, these results provide valuable information regarding the ARGs and ERGs in Deception Island including the potential contribution of mobile genetic elements to the spread of ARGs and ERGs in one of the least studied Antarctic ecosystems to date.</t>
  </si>
  <si>
    <t>[Santos, Andres; Burgos, Felipe; Barrientos, Leticia] Ctr Excelencia Med Traslac, Lab Biol Mol Aplicada, Ave Alemania 0458, Temuco 4810296, Chile; [Santos, Andres] Univ Autonoma Barcelona, Inst Biotecnol &amp; Biomed, Cerdanyola Del Valles 08193, Spain; [Santos, Andres; Martinez-Urtaza, Jaime] Univ Autonoma Barcelona, Fac Biociencies, Dept Genet &amp; Microbiol, Bellaterra 08193, Spain; [Barrientos, Leticia] Univ La Frontera, Nucleo Cientif &amp; Tecnol Biorecursos BIOREN, Ave Francisco Salazar 01145, Temuco 4811230, Chile</t>
  </si>
  <si>
    <t>Autonomous University of Barcelona; Autonomous University of Barcelona; Universidad de La Frontera</t>
  </si>
  <si>
    <t>Santos, A; Barrientos, L (corresponding author), Ctr Excelencia Med Traslac, Lab Biol Mol Aplicada, Ave Alemania 0458, Temuco 4810296, Chile.;Santos, A (corresponding author), Univ Autonoma Barcelona, Inst Biotecnol &amp; Biomed, Cerdanyola Del Valles 08193, Spain.;Santos, A (corresponding author), Univ Autonoma Barcelona, Fac Biociencies, Dept Genet &amp; Microbiol, Bellaterra 08193, Spain.;Barrientos, L (corresponding author), Univ La Frontera, Nucleo Cientif &amp; Tecnol Biorecursos BIOREN, Ave Francisco Salazar 01145, Temuco 4811230, Chile.</t>
  </si>
  <si>
    <t>a.santos01@ufromail.cl; f.burgos02@ufromail.cl; jaime.martinez.urtaza@uab.cat; leticia.barrientos@ufrontera.cl</t>
  </si>
  <si>
    <t>Barrientos, Leticia/R-6205-2017</t>
  </si>
  <si>
    <t>Barrientos, Leticia/0000-0002-5344-054X; Martinez-Urtaza, Jaime/0000-0001-6219-0418</t>
  </si>
  <si>
    <t>Fondecyt [1210563, DI19-0079]; CONICYT [2017-21171392]</t>
  </si>
  <si>
    <t>Fondecyt(Comision Nacional de Investigacion Cientifica y Tecnologica (CONICYT)CONICYT FONDECYT); CONICYT(Comision Nacional de Investigacion Cientifica y Tecnologica (CONICYT))</t>
  </si>
  <si>
    <t>This research was funded by Fondecyt Regular Nffi 1210563; grants DI19-0079, and grant CONICYT-Doctorado Nacional-2017-21171392 for A.S.</t>
  </si>
  <si>
    <t>10.3390/microorganisms10071432</t>
  </si>
  <si>
    <t>3K1MH</t>
  </si>
  <si>
    <t>WOS:000833847500001</t>
  </si>
  <si>
    <t>Li, ZX; Tao, J; Zong, SX</t>
  </si>
  <si>
    <t>Li, Zhenxiao; Tao, Jing; Zong, Shixiang</t>
  </si>
  <si>
    <t>Cold Tolerance in Pinewood Nematode Bursaphelenchus xylophilus Promoted Multiple Invasion Events in Mid-Temperate Zone of China</t>
  </si>
  <si>
    <t>FORESTS</t>
  </si>
  <si>
    <t>pine wilt disease; plant pathogens; whole genome resequencing; bioinvasion</t>
  </si>
  <si>
    <t>SPATIAL GENETIC-STRUCTURE; WILT DISEASE; WOOD NEMATODE; ANTARCTIC NEMATODE; SURVIVAL; HISTORY</t>
  </si>
  <si>
    <t>Pinewood nematode (Bursaphelenchus xylophilus) is a highly destructive invasive species, causing extensive economic and ecological losses across Eurasia. It has recently invaded mid-temperate zone of northern China, threating large areas of coniferous forests. Herein, we evaluated the physiological and molecular basis of cold tolerance in pinewood nematode isolates from different temperature zones of China. After exposure to -5 degrees C and -10 degrees C, the survival rates of five pinewood nematode isolates from different temperature zones were 93.94%-94.77% and 43.26%-45.58% after 8 h, and 93.04%-94.85% and 9.93%-10.56% after 24 h, without significant differences among isolates. In a comparison of an isolate from a mid-temperate zone and an isolate from a subtropical zone under gradient cooling, the survival rates remained steady at nearly 95% when minimum temperature ranged from -5 degrees C to -15 degrees C, with no significant difference between isolates. In addition, phylogenetic and population structure analyses based on whole genome resequencing data suggested that isolates from mid-temperate and warm temperate zones are clustered with different isolates from subtropical zone, with no obvious geographic pattern. We did not detect significant variation in cold tolerance ability and selected gene among pinewood nematode isolates from different temperature zones. The recently invaded pinewood nematodes in the mid-temperate zone of northern China may spread by multiple invasion events from southern China, without adaptive revolution. Our research implies that it is important to reinforce quarantine inspection to control the rapid spread of pinewood nematode.</t>
  </si>
  <si>
    <t>[Li, Zhenxiao; Tao, Jing; Zong, Shixiang] Beijing Forestry Univ, Key Lab Beijing Control Forest Pests, Beijing 100083, Peoples R China</t>
  </si>
  <si>
    <t>Beijing Forestry University</t>
  </si>
  <si>
    <t>Zong, SX (corresponding author), Beijing Forestry Univ, Key Lab Beijing Control Forest Pests, Beijing 100083, Peoples R China.</t>
  </si>
  <si>
    <t>lizhenxiao1997@bjfu.edu.cn; taojing1029@hotmail.com; zongsx@126.com</t>
  </si>
  <si>
    <t>Li, Zhenxiao/0000-0002-8124-8520</t>
  </si>
  <si>
    <t>National Key Research and Development Program of China [2021YFD1400300]</t>
  </si>
  <si>
    <t>This study was funded by the National Key Research and Development Program of China (2021YFD1400300).</t>
  </si>
  <si>
    <t>1999-4907</t>
  </si>
  <si>
    <t>Forests</t>
  </si>
  <si>
    <t>10.3390/f13071100</t>
  </si>
  <si>
    <t>Forestry</t>
  </si>
  <si>
    <t>3K1EJ</t>
  </si>
  <si>
    <t>WOS:000833826900001</t>
  </si>
  <si>
    <t>Prelle, LR; Schmidt, I; Schimani, K; Zimmermann, J; Abarca, N; Skibbe, O; Juchem, D; Karsten, U</t>
  </si>
  <si>
    <t>Prelle, Lara R.; Schmidt, Ina; Schimani, Katherina; Zimmermann, Jonas; Abarca, Nelida; Skibbe, Oliver; Juchem, Desiree; Karsten, Ulf</t>
  </si>
  <si>
    <t>Photosynthetic, Respirational, and Growth Responses of Six Benthic Diatoms from the Antarctic Peninsula as Functions of Salinity and Temperature Variations</t>
  </si>
  <si>
    <t>growth rate; climate change; tolerance; ecophysiology; 18 S; rbcL</t>
  </si>
  <si>
    <t>SEA-ICE; FRESH-WATER; POTTER COVE; GREEN-ALGA; BALTIC SEA; NORTH-SEA; LIGHT; ISLAND; MICROALGAE; BACILLARIOPHYTA</t>
  </si>
  <si>
    <t>Temperature and salinity are some of the most influential abiotic parameters shaping biota in aquatic ecosystems. In recent decades, climate change has had a crucial impact on both factors-especially around the Antarctic Peninsula-with increasing air and water temperature leading to glacial melting and the accompanying freshwater increase in coastal areas. Antarctic soft and hard bottoms are typically inhabited by microphytobenthic communities, which are often dominated by benthic diatoms. Their physiology and primary production are assumed to be negatively affected by increased temperatures and lower salinity. In this study, six representative benthic diatom strains were isolated from different aquatic habitats at King George Island, Antarctic Peninsula, and comprehensively identified based on molecular markers and morphological traits. Photosynthesis, respiration, and growth response patterns were investigated as functions of varying light availability, temperature, and salinity. Photosynthesis-irradiance curve measurements pointed to low light requirements, as light-saturated photosynthesis was reached at &lt;70 mu mol photons m(-2) s(-1). The marine isolates exhibited the highest effective quantum yield between 25 and 45 S-A (absolute salinity), but also tolerance to lower and higher salinities at 1 S-A and 55 S-A, respectively, and in a few cases even &lt;100 S-A. In contrast, the limnic isolates showed the highest effective quantum yield at salinities ranging from 1 S-A to 20 S-A. Almost all isolates exhibited high effective quantum yields between 1.5 degrees C and 25 degrees C, pointing to a broad temperature tolerance, which was supported by measurements of the short-term temperature-dependent photosynthesis. All studied Antarctic benthic diatoms showed activity patterns over a broader environmental range than they usually experience in situ. Therefore, it is likely that their high ecophysiological plasticity represents an important trait to cope with climate change in the Antarctic Peninsula.</t>
  </si>
  <si>
    <t>[Prelle, Lara R.; Schmidt, Ina; Juchem, Desiree; Karsten, Ulf] Univ Rostock, Inst Biol Sci, Appl Ecol &amp; Phycol, Albert Einstein Str 3, D-18057 Rostock, Germany; [Schimani, Katherina; Zimmermann, Jonas; Abarca, Nelida; Skibbe, Oliver] Free Univ Berlin, Bot Garden &amp; Bot Museum Berlin Dahlem, D-14163 Berlin, Germany</t>
  </si>
  <si>
    <t>University of Rostock; Free University of Berlin</t>
  </si>
  <si>
    <t>Karsten, U (corresponding author), Univ Rostock, Inst Biol Sci, Appl Ecol &amp; Phycol, Albert Einstein Str 3, D-18057 Rostock, Germany.</t>
  </si>
  <si>
    <t>lara.prelle@uni-rostock.de; ischmidt@uni-bremen.de; k.schimani@bo.berlin; j.zimmermann@bo.berlin; n.abarca@bo.berlin; o.skibbe@bo.berlin; desiree.juchem@uni-rostock.de; ulf.karsten@uni-rostock.de</t>
  </si>
  <si>
    <t>Skibbe, Oliver/0000-0003-1495-5468; Karsten, Ulf/0000-0002-2955-0757</t>
  </si>
  <si>
    <t>DFG (Deutsche Forschungsgemeinschaft) [GRK 2000/1]; DFG [KA899/38-1, ZI 1628/2-1]</t>
  </si>
  <si>
    <t>DFG (Deutsche Forschungsgemeinschaft)(German Research Foundation (DFG)); DFG(German Research Foundation (DFG))</t>
  </si>
  <si>
    <t>This study was conducted within the framework of the Research Training Group Baltic TRANSCOAST funded by the DFG (Deutsche Forschungsgemeinschaft) under grant number GRK 2000/1 (Subproject B2: Microphytobenthos). This is Baltic TRANSCOAST publication no. GRK2000/0056). Furthermore, this project was funded within the framework of the SPP 1158 Antarktisforschung by the DFG under the grant numbers KA899/38-1 and ZI 1628/2-1.</t>
  </si>
  <si>
    <t>10.3390/genes13071264</t>
  </si>
  <si>
    <t>3H1VG</t>
  </si>
  <si>
    <t>WOS:000831828800001</t>
  </si>
  <si>
    <t>Korostelev, NB; Welsford, DC; Belyakov, VV; Bush, AG; Orlov, AM</t>
  </si>
  <si>
    <t>Korostelev, Nikolai B.; Welsford, Dirk C.; Belyakov, Vladimir V.; Bush, Andrei G.; Orlov, Alexei M.</t>
  </si>
  <si>
    <t>So Close Yet So Far: Age and Growth of Blue Antimora Antimora rostrata (Moridae, Gadiformes, Teleostei) off New Zealand and Macquarie Island (Southwestern Pacific Ocean)</t>
  </si>
  <si>
    <t>fish populations; biological parameters; stocks; fishery species; bentho-pelagic fish; bycatch; life cycle; deep-sea fish; Sub-Antarctic</t>
  </si>
  <si>
    <t>MICROLEPIS MORIDAE; DEEP-WATER; FISH; BIOLOGY; FLATNOSE; HAKE; SEA</t>
  </si>
  <si>
    <t>Age and growth of blue antimora Antimora rostrata were examined in the waters off New Zealand and Macquarie Island (southwestern Pacific). Samples off Macquarie Island were collected from bycatch in the Patagonian toothfish longline fishery. Individuals between 20 and 44 years in age measured between 37.6-71.1 cm in total length. Bottom trawl catches from New Zealand waters consisted of smaller and younger fish (11 to 38 years), measuring 22.5-52.5 cm long. The age classes with the greatest numbers in the former area were represented by fish aged 33-34 years (25.7%). In the latter area, the most numerous age classes were 21-23 years (12.1%), 28-29 years (17.6%), and 32 years (6.6%). The blue antimora from off the Macquarie Island show similar growth rates to those of individual fish from the Ross, Lazarev and Weddell Seas, waters off the Kerguelen and Crozet Islands, and southeastern Greenland. Individuals from New Zealand waters demonstrate the slowest growth rates compared to other parts of the species' range but are quite similar to individuals from the Flemish Cap area. Further research to identify the stock structure of this broadly distributed species is warranted to provide context to differences in growth rates observed between populations.</t>
  </si>
  <si>
    <t>[Korostelev, Nikolai B.; Bush, Andrei G.; Orlov, Alexei M.] Russian Acad Sci, AN Severtsov Inst Ecol &amp; Evolut, 33 Leninsky Prospekt, Moscow 119071, Russia; [Welsford, Dirk C.] Australian Antarctic Div, 203 Channel Highway, Kingston, Tas 7050, Australia; [Belyakov, Vladimir V.] Lomonosov Moscow State Univ, Fac Biol, 1 Leninskiye Gory, Moscow 119991, Russia; [Orlov, Alexei M.] Russian Acad Sci, Shirshov Inst Oceanol, 36 Nakhimovsky Prospekt, Moscow 117218, Russia</t>
  </si>
  <si>
    <t>Russian Academy of Sciences; Saratov Scientific Center of the Russian Academy of Sciences; Severtsov Institute of Ecology &amp; Evolution; Australian Antarctic Division; Lomonosov Moscow State University; Russian Academy of Sciences; Shirshov Institute of Oceanology</t>
  </si>
  <si>
    <t>Orlov, AM (corresponding author), Russian Acad Sci, AN Severtsov Inst Ecol &amp; Evolut, 33 Leninsky Prospekt, Moscow 119071, Russia.;Orlov, AM (corresponding author), Russian Acad Sci, Shirshov Inst Oceanol, 36 Nakhimovsky Prospekt, Moscow 117218, Russia.</t>
  </si>
  <si>
    <t>korostelevnb@gmail.com; dirk.welsford@aad.gov.au; vovafromperovo@yandex.ru; endryus@inbox.ru; orlov@vniro.ru</t>
  </si>
  <si>
    <t>Orlov, Alexei M./E-2036-2012</t>
  </si>
  <si>
    <t>Orlov, Alexei M./0000-0002-0877-2553; Bus, Andrei/0000-0002-6583-3260</t>
  </si>
  <si>
    <t>Ministry of Science and Higher Education of the Russian Federation [FMWE-2022-0001]</t>
  </si>
  <si>
    <t>Ministry of Science and Higher Education of the Russian Federation</t>
  </si>
  <si>
    <t>Preparation of this paper was funded by the Ministry of Science and Higher Education of the Russian Federation (State Task FMWE-2022-0001).</t>
  </si>
  <si>
    <t>10.3390/jmse10070956</t>
  </si>
  <si>
    <t>3I0KI</t>
  </si>
  <si>
    <t>WOS:000832415200001</t>
  </si>
  <si>
    <t>Le Du, T; Keckhut, P; Hauchecorne, A; Simoneau, P</t>
  </si>
  <si>
    <t>Le Du, Thurian; Keckhut, Philippe; Hauchecorne, Alain; Simoneau, Pierre</t>
  </si>
  <si>
    <t>Observation of Gravity Wave Vertical Propagation through a Mesospheric Inversion Layer</t>
  </si>
  <si>
    <t>nightglow; gravity wave; temperature inversion</t>
  </si>
  <si>
    <t>ANTARCTIC OZONE HOLE; MIDDLE ATMOSPHERE; METEOR RADAR; LIDAR; TEMPERATURE; OH; STRATOSPHERE; VARIABILITY; DYNAMICS</t>
  </si>
  <si>
    <t>The impact of a mesospheric temperature inversion on the vertical propagation of gravity waves has been investigated using OH airglow images and ground-based Rayleigh lidar measurements carried out in December 2017 at the Haute-Provence Observatory (OHP, France, 44N). These measurements provide complementary information that allows the vertical propagation of gravity waves to be followed. An intense mesospheric inversion layer (MIL) observed near 60 km of altitude with the lidar disappeared in the middle of the night, offering a unique opportunity to evaluate its impact on gravity wave (GW) propagation observed above the inversion with airglow cameras. With these two instruments, a wave with a 150 min period was observed and was also identified in meteorological analyses. The gravity waves' potential energy vertical profile clearly shows the GW energy lost below the inversion altitude and a large increase of gravity wave energy above the inversion in OH airglow images with waves exhibiting higher frequency. MILs are known to cause instabilities at its top part, and this is probably the reason for the enhanced gravity waves observed above.</t>
  </si>
  <si>
    <t>[Le Du, Thurian; Simoneau, Pierre] Off Natl Etud &amp; Rech Aerosp, Chemin Huniere, F-91761 Palaiseau, France; [Le Du, Thurian; Keckhut, Philippe; Hauchecorne, Alain] UVSQ Univ Paris Saclay, CNRS, LATMOS IPSL, UPMC Univ Paris 06, F-78280 Guyancourt, France</t>
  </si>
  <si>
    <t>National Office for Aerospace Studies &amp; Research (ONERA); Universite Paris Saclay; Universite Paris Saclay; Centre National de la Recherche Scientifique (CNRS); Sorbonne Universite</t>
  </si>
  <si>
    <t>Le Du, T (corresponding author), Off Natl Etud &amp; Rech Aerosp, Chemin Huniere, F-91761 Palaiseau, France.;Le Du, T (corresponding author), UVSQ Univ Paris Saclay, CNRS, LATMOS IPSL, UPMC Univ Paris 06, F-78280 Guyancourt, France.</t>
  </si>
  <si>
    <t>thurian.ledu@icloud.com; philippe.keckhut@latmos.ipsl.fr; alain.hauchecorne@latmos.ipsl.fr; pierre.simoneau@onera.fr</t>
  </si>
  <si>
    <t>Hauchecorne, Alain/A-8489-2013</t>
  </si>
  <si>
    <t>Hauchecorne, Alain/0000-0001-9888-6994; le Du, Thurian/0000-0002-2753-151X; simoneau, pierre/0000-0002-1556-5544</t>
  </si>
  <si>
    <t>European Union [653980]</t>
  </si>
  <si>
    <t>This work has been carried out during the course of the ARISE design study (http://arise-project.eu) funded by the European Union Horizon 2020 Research and Innovation Program under Grant Agreement No. 653980. The authors are grateful to the LATMOS staff who run the lidar within the NDACC network, facility supported by INSU/CNRS and CNES and to the Observatory of Haute-Provence.</t>
  </si>
  <si>
    <t>10.3390/atmos13071003</t>
  </si>
  <si>
    <t>3H7ZH</t>
  </si>
  <si>
    <t>WOS:000832250200001</t>
  </si>
  <si>
    <t>Morozov, SY; Solovyev, AG</t>
  </si>
  <si>
    <t>Morozov, Sergey Y.; Solovyev, Andrey G.</t>
  </si>
  <si>
    <t>Bioinformatic Analysis Predicts a Novel Genetic Module Related to Triple Gene and Binary Movement Blocks of Plant Viruses: Tetra-Cistron Movement Block</t>
  </si>
  <si>
    <t>BIOMOLECULES</t>
  </si>
  <si>
    <t>RNA genome; plant virus; movement gene module; benyviruses; evolution; RNA helicase; membrane-embedded protein; double-stranded RNA binding protein</t>
  </si>
  <si>
    <t>SILENCING-SUPPRESSION; RNA; PROTEINS; PLASMODESMATA; REPLICATION; TRANSLATION; EVOLUTION; REVEALS; INSIGHT; DRB2</t>
  </si>
  <si>
    <t>Previous studies have shown that the RNA genomes of some plant viruses encode two related genetic modules required for virus movement over the host body, containing two or three genes and named the binary movement block (BMB) and triple gene block (TGB), respectively. In this paper, we predict a novel putative-related movement gene module, called the tetra-cistron movement block (TCMB), in the virus-like transcriptome assemblies of the moss Dicranum scoparium and the Antarctic flowering plant Colobanthus quitensis. These TCMBs are encoded by smaller RNA components of putative two-component viruses related to plant benyviruses. Similar to the RNA2 of benyviruses, TCMB-containing RNAs have the 5 '-terminal coat protein gene and include the RNA helicase gene which is followed by two small overlapping cistrons encoding hydrophobic proteins with a distant sequence similarity to the TGB2 and TGB3 proteins. Unlike TGB, TCMB also includes a fourth 5 '-terminal gene preceding the helicase gene and coding for a protein showing a similarity to the double-stranded RNA-binding proteins of the DSRM AtDRB-like superfamily. Additionally, based on phylogenetic analysis, we suggest the involvement of replicative beny-like helicases in the evolution of the BMB and TCMB movement genetic modules.</t>
  </si>
  <si>
    <t>[Morozov, Sergey Y.; Solovyev, Andrey G.] Moscow MV Lomonosov State Univ, AN Belozersky Inst Phys Chem Biol, Moscow 119992, Russia; [Morozov, Sergey Y.; Solovyev, Andrey G.] Moscow MV Lomonosov State Univ, Biol Fac, Dept Virol, Moscow 119234, Russia; [Solovyev, Andrey G.] Russian Acad Agr Sci, Inst Agr Biotechnol, Moscow 127550, Russia</t>
  </si>
  <si>
    <t>Lomonosov Moscow State University; Lomonosov Moscow State University; All-Russia Research Institute of Agricultural Biotechnology</t>
  </si>
  <si>
    <t>Morozov, SY (corresponding author), Moscow MV Lomonosov State Univ, AN Belozersky Inst Phys Chem Biol, Moscow 119992, Russia.;Morozov, SY (corresponding author), Moscow MV Lomonosov State Univ, Biol Fac, Dept Virol, Moscow 119234, Russia.</t>
  </si>
  <si>
    <t>morozov@genebee.msu.ru; solovyev@belozersky.msu.ru</t>
  </si>
  <si>
    <t>Morozov, Sergey/0000-0001-5123-8025</t>
  </si>
  <si>
    <t>Russian Science Foundation [22-14-00063]</t>
  </si>
  <si>
    <t>This research was supported by the Russian Science Foundation (grant 22-14-00063).</t>
  </si>
  <si>
    <t>2218-273X</t>
  </si>
  <si>
    <t>Biomolecules</t>
  </si>
  <si>
    <t>10.3390/biom12070861</t>
  </si>
  <si>
    <t>3H1VB</t>
  </si>
  <si>
    <t>WOS:000831828300001</t>
  </si>
  <si>
    <t>Trease, L; Albert, E; Singleman, G; Brymer, E</t>
  </si>
  <si>
    <t>Trease, Larissa; Albert, Edi; Singleman, Glenn; Brymer, Eric</t>
  </si>
  <si>
    <t>What Is an Extreme Sports Healthcare Provider: An Auto-Ethnographic Study of the Development of an Extreme Sports Medicine Training Program</t>
  </si>
  <si>
    <t>INTERNATIONAL JOURNAL OF ENVIRONMENTAL RESEARCH AND PUBLIC HEALTH</t>
  </si>
  <si>
    <t>extreme sports medicine; medical education; injury; extreme sport athlete</t>
  </si>
  <si>
    <t>PHYSICAL-ACTIVITY; EXERCISE MEDICINE; EXPEDITION; ADVENTURE; SPECIALTY; EDUCATION; SYLLABUS</t>
  </si>
  <si>
    <t>I remember when sex was safe and skydiving was dangerous read a popular bumper sticker during the HIV crisis. Popular perceptions of extreme sport (ES) often include the descriptor 'dangerous'. Therefore, why is the popularity of ES increasing exponentially with dedicated TV channels, internet sites, high-rating competitions, and high-profile sponsors drawing more participants? More importantly, how should health practitioners respond to the influx of ES athletes with novel injuries, enquiries and attitudes. This paper describes the results of a collaborative auto-ethnographic approach to answering what is an extreme sports medicine health care provider and what are the components of an effective Extreme Sports Medicine (ESM) training program? The study was conducted following the first ESM university course offered in Australia with the intention of assessing the learning design and reflecting on the development and practice of ES health practitioners. We explicated three overarching themes common to both the ES health practitioner and for the effective training of healthcare providers in the support of ES endeavors and athletes. These themes were individual, task and environmental factors. The impacts of these findings confirm that ESM courses are vital and should be designed specifically to ensure that practitioners are effectively supported to develop the unique skills necessary for practice in real world extreme sports events.</t>
  </si>
  <si>
    <t>[Trease, Larissa; Albert, Edi; Singleman, Glenn] Univ Tasmania, Sch Med, Healthcare Remote &amp; Extreme Environm HREE Program, Hobart, Tas 7005, Australia; [Trease, Larissa] La Trobe Univ, La Trobe Sport &amp; Exercise Med Res Ctr LASEM, Melbourne, Vic 3086, Australia; [Brymer, Eric] Southern Cross Univ, Fac Hlth, Gold Coast Campus, Gold Coast, Qld 4225, Australia</t>
  </si>
  <si>
    <t>University of Tasmania; Melbourne Genomics Health Alliance; La Trobe University; Southern Cross University</t>
  </si>
  <si>
    <t>Trease, L (corresponding author), Univ Tasmania, Sch Med, Healthcare Remote &amp; Extreme Environm HREE Program, Hobart, Tas 7005, Australia.;Trease, L (corresponding author), La Trobe Univ, La Trobe Sport &amp; Exercise Med Res Ctr LASEM, Melbourne, Vic 3086, Australia.</t>
  </si>
  <si>
    <t>larissa.trease@utas.edu.au; edi.albert@utas.edu.au; glenn.singleman@utas.edu.au; eric.brymer@scu.edu.au</t>
  </si>
  <si>
    <t>Brymer, Eric/ACD-4590-2022</t>
  </si>
  <si>
    <t>Brymer, Eric/0000-0003-0274-1016; Trease, Larissa/0000-0002-8413-2814</t>
  </si>
  <si>
    <t>University of Tasmania School of Medicine; Australian Antarctic Division (AAD); Australian Society of Aerospace Medicine (ASAM); Centre for Antarctic, Remote and Maritime Medicine (CARMM)</t>
  </si>
  <si>
    <t>This work was funded by the University of Tasmania School of Medicine and developed in collaboration with Australian Antarctic Division (AAD), the Centre for Antarctic, Remote and Maritime Medicine (CARMM) and the Australian Society of Aerospace Medicine (ASAM).</t>
  </si>
  <si>
    <t>1660-4601</t>
  </si>
  <si>
    <t>INT J ENV RES PUB HE</t>
  </si>
  <si>
    <t>Int. J. Environ. Res. Public Health</t>
  </si>
  <si>
    <t>10.3390/ijerph19148286</t>
  </si>
  <si>
    <t>3H6UK</t>
  </si>
  <si>
    <t>WOS:000832168900001</t>
  </si>
  <si>
    <t>Ametrano, A; Picchietti, S; Guerra, L; Giacomelli, S; Oreste, U; Coscia, MR</t>
  </si>
  <si>
    <t>Ametrano, Alessia; Picchietti, Simona; Guerra, Laura; Giacomelli, Stefano; Oreste, Umberto; Coscia, Maria Rosaria</t>
  </si>
  <si>
    <t>Comparative Analysis of the pIgR Gene from the Antarctic Teleost Trematomus bernacchii Reveals Distinctive Features of Cold-Adapted Notothenioidei</t>
  </si>
  <si>
    <t>pIgR; gene structure; cold environment; gene expression; teleost immunity; adaptive evolution; mucosal tissues; genome alteration; Notothenioidei; IgV domains</t>
  </si>
  <si>
    <t>POLYMERIC IMMUNOGLOBULIN RECEPTOR; EXPRESSION ANALYSIS; MOLECULAR-CLONING; IG RECEPTOR; J-CHAIN; PREDICTION; SEQUENCE; FISH; TRANSCRIPTION; TRANSPORT</t>
  </si>
  <si>
    <t>The IgM and IgT classes were previously identified and characterized in the Antarctic teleost Trematomus bernacchii, a species belonging to the Perciform suborder Notothenoidei. Herein, we characterized the gene encoding the polymeric immunoglobulin receptor (pIgR) in the same species and compared it to the pIgR of multiple teleost species belonging to five perciform suborders, including 11 Antarctic and 1 non-Antarctic (Cottoperca gobio) notothenioid species, the latter living in the less-cold peri-Antarctic sea. Antarctic pIgR genes displayed particularly long introns marked by sites of transposable elements and transcription factors. Furthermore, analysis of T. bernacchii pIgR cDNA unveiled multiple amino acid substitutions unique to the Antarctic species, all introducing adaptive features, including N-glycosylation sequons. Interestingly, C. gobio shared most features with the other perciforms rather than with the cold-adapted relatives. T. bernacchii pIgR transcripts were predominantly expressed in mucosal tissues, as indicated by q-PCR and in situ hybridization analysis. These results suggest that in cold-adapted species, pIgR preserved its fundamental role in mucosal immune defense, although remarkable gene structure modifications occurred.</t>
  </si>
  <si>
    <t>[Ametrano, Alessia; Giacomelli, Stefano; Oreste, Umberto; Coscia, Maria Rosaria] Natl Res Council Italy, Inst Biochem &amp; Cell Biol, Via P Castellino 111, I-80131 Naples, Italy; [Picchietti, Simona; Guerra, Laura] Univ Tuscia, Dept Innovat Biol Agrofood &amp; Forest Syst, Largo Univ snc, I-01100 Viterbo, Italy</t>
  </si>
  <si>
    <t>Consiglio Nazionale delle Ricerche (CNR); Tuscia University</t>
  </si>
  <si>
    <t>Coscia, MR (corresponding author), Natl Res Council Italy, Inst Biochem &amp; Cell Biol, Via P Castellino 111, I-80131 Naples, Italy.</t>
  </si>
  <si>
    <t>alessia.ametrano@ibbc.cnr.it; stefano77g@hotmail.it; lauraguerra@unitus.it; picchietti@unitus.it; umberto.oreste@ibbc.cnr.it; mariarosaria.coscia@ibbc.cnr.it</t>
  </si>
  <si>
    <t>Coscia, Maria Rosaria/AAU-1808-2021</t>
  </si>
  <si>
    <t>PICCHIETTI, Simona/0000-0002-6116-213X; Ametrano, Alessia/0000-0001-6426-7474</t>
  </si>
  <si>
    <t>National Programme for Antarctic Research (PNRA) - Italian Ministry of University and Research (MUR) [PNRA18_00077]</t>
  </si>
  <si>
    <t>National Programme for Antarctic Research (PNRA) - Italian Ministry of University and Research (MUR)(Ministry of Education, Universities and Research (MIUR))</t>
  </si>
  <si>
    <t>This research was supported by the National Programme for Antarctic Research (PNRA) funded by the Italian Ministry of University and Research (MUR), Project number PNRA18_00077.</t>
  </si>
  <si>
    <t>10.3390/ijms23147783</t>
  </si>
  <si>
    <t>3H1GJ</t>
  </si>
  <si>
    <t>WOS:000831789800001</t>
  </si>
  <si>
    <t>Weithoff, G; Bell, EM</t>
  </si>
  <si>
    <t>Weithoff, Guntram; Bell, Elanor M.</t>
  </si>
  <si>
    <t>Complex Trophic Interactions in an Acidophilic Microbial Community</t>
  </si>
  <si>
    <t>acid mine drainage; extremophiles; food web; heliozoa; intraguild predation; mining lakes; Rotifera</t>
  </si>
  <si>
    <t>EXTREME ACIDIC ENVIRONMENTS; ACTINOPHRYS-SOL SARCODINA; FOOD CAPTURE; MINING LAKES; PH; HELIOZOA; CARBON; PREY; CHLAMYDOMONAS; ENRICHMENT</t>
  </si>
  <si>
    <t>Extreme habitats often harbor specific communities that differ substantially from non-extreme habitats. In many cases, these communities are characterized by archaea, bacteria and protists, whereas the number of species of metazoa and higher plants is relatively low. In extremely acidic habitats, mostly prokaryotes and protists thrive, and only very few metazoa thrive, for example, rotifers. Since many studies have investigated the physiology and ecology of individual species, there is still a gap in research on direct, trophic interactions among extremophiles. To fill this gap, we experimentally studied the trophic interactions between a predatory protist (Actinophrys sol, Heliozoa) and its prey, the rotifers Elosa woralli and Cephalodella sp., the ciliate Urosomoida sp. and the mixotrophic protist Chlamydomonas acidophila (a green phytoflagellate, Chlorophyta). We found substantial predation pressure on all animal prey. High densities of Chlamydomonas acidophila reduced the predation impact on the rotifers by interfering with the feeding behaviour of A. sol. These trophic relations represent a natural case of intraguild predation, with Chlamydomonas acidophila being the common prey and the rotifers/ciliate and A. sol being the intraguild prey and predator, respectively. We further studied this intraguild predation along a resource gradient using Cephalodella sp. as the intraguild prey. The interactions among the three species led to an increase in relative rotifer abundance with increasing resource (Chlamydomonas) densities. By applying a series of laboratory experiments, we revealed the complexity of trophic interactions within a natural extremophilic community.</t>
  </si>
  <si>
    <t>[Weithoff, Guntram; Bell, Elanor M.] Univ Potsdam, Dept Ecol &amp; Ecosyst Modelling, D-14469 Potsdam, Germany; [Weithoff, Guntram] Berlin Brandenburg Inst Biodivers Res, D-14195 Berlin, Germany; [Bell, Elanor M.] Australian Antarctic Div, Channel Highway, Kingston, Tas 7054, Australia</t>
  </si>
  <si>
    <t>University of Potsdam; Australian Antarctic Division</t>
  </si>
  <si>
    <t>Weithoff, G (corresponding author), Univ Potsdam, Dept Ecol &amp; Ecosyst Modelling, D-14469 Potsdam, Germany.;Weithoff, G (corresponding author), Berlin Brandenburg Inst Biodivers Res, D-14195 Berlin, Germany.</t>
  </si>
  <si>
    <t>weithoff@uni-potsdam.de; elanor.bell@awe.gov.au</t>
  </si>
  <si>
    <t>European Union Marie Curie Host Fellowship [EVK1-CT-2000-56006]; Deutscher Akademischer Austausch Dienst: International Quality Network</t>
  </si>
  <si>
    <t>European Union Marie Curie Host Fellowship(European Union (EU)); Deutscher Akademischer Austausch Dienst: International Quality Network</t>
  </si>
  <si>
    <t>E.M.B. was funded through a European Union Marie Curie Host Fellowship (EVK1-CT-2000-56006) and the Deutscher Akademischer Austausch Dienst: International Quality Network.</t>
  </si>
  <si>
    <t>10.3390/microorganisms10071340</t>
  </si>
  <si>
    <t>3I0GU</t>
  </si>
  <si>
    <t>WOS:000832405800001</t>
  </si>
  <si>
    <t>Qin, Q; Wang, ZM; Liu, CY; Cheng, C</t>
  </si>
  <si>
    <t>Qin, Qing; Wang, Zhaomin; Liu, Chengyan; Cheng, Chen</t>
  </si>
  <si>
    <t>Open-Ocean Polynyas in the Cooperation Sea, Antarctica</t>
  </si>
  <si>
    <t>Antarctica; Sea ice; Southern Ocean; Atmosphere-ocean interaction</t>
  </si>
  <si>
    <t>INDIAN-OCEAN; ICE EXTENT; WEDDELL POLYNYA; BOTTOM WATER; PRYDZ BAY; DEEP-WATER; CIRCULATION; VARIABILITY; CYCLE; RISE</t>
  </si>
  <si>
    <t>Extensive studies have addressed the characteristics and mechanisms of open-ocean polynyas in the Weddell and Cosmonaut Seas. Here, we show that more persistent open-ocean polynyas occur in the Cooperation Sea (CS) (60 degrees-90 degrees E), a sector of the Southern Ocean off the Prydz Bay continental shelf, between 2002 and 2019. Polynyas are formed annually mainly within the 62 degrees-65 degrees S band, as identified by sea ice concentrations less than 0.7. The polynyas usually began to emerge in April and expanded to large sizes during July-October, with sizes often larger than those of the Maud Rise polynya in 2017. The annual maximum size of polynyas ranged from 115.3 x 10(3) km(2) in 2013 to 312.4 x 10(3) km(2) in 2010, with an average value of 188.9 x 10(3) km(2). The Antarctic Circumpolar Current (ACC) travels closer to the continental shelf and brings the upper circumpolar deep water to much higher latitudes in the CS than in most other sectors; cyclonic ocean circulations often develop between the ACC and the Antarctic Slope Current, with many of them being associated with local topographic features and dense water cascading. These oceanic preconditions, along with cyclonic wind forcing in the Antarctic Divergence zone, generated polynyas in the CS. These findings offer a more complete circumpolar view of open-ocean polynyas in the Southern Ocean and have implications for physical, biological, and biogeochemical studies of the Southern Ocean. Future efforts should be particularly devoted to more extensively observing the ocean circulation to understand the variability of open-ocean polynyas in the CS. Significance StatementAn open-ocean polynya is an offshore area of open water or low sea ice cover surrounded by pack ice. Open-ocean polynyas are important for driving the physical, biogeochemical, and biological processes in the Southern Ocean. Extensive studies have addressed the characteristics and mechanisms of open-ocean polynyas in the Weddell and Cosmonaut Seas. The purpose of this study is to document the existence of more persistent open-ocean polynyas in the Cooperation Sea (60 degrees-90 degrees E) and explore the atmospheric and oceanic forcing mechanisms responsible for the formation of the open-ocean polynyas. Our results would offer a more complete circumpolar view of open-ocean polynyas in the Southern Ocean and have implications for physical, biological, and biogeochemical studies of the Southern Ocean.</t>
  </si>
  <si>
    <t>[Qin, Qing; Wang, Zhaomin] Hohai Univ, Key Lab Marine Hazards Forecasting, Minist Nat Resources, Nanjing, Peoples R China; [Qin, Qing; Wang, Zhaomin] Hohai Univ, Coll Oceanog, Nanjing, Peoples R China; [Wang, Zhaomin; Liu, Chengyan; Cheng, Chen] Southern Marine Sci &amp; Engn Guangdong Lab Zhuhai, Zhuhai, Peoples R China</t>
  </si>
  <si>
    <t>Hohai University; Ministry of Natural Resources of the People's Republic of China; Hohai University; Southern Marine Science &amp; Engineering Guangdong Laboratory; Southern Marine Science &amp; Engineering Guangdong Laboratory (Zhuhai)</t>
  </si>
  <si>
    <t>Wang, ZM (corresponding author), Hohai Univ, Key Lab Marine Hazards Forecasting, Minist Nat Resources, Nanjing, Peoples R China.;Wang, ZM (corresponding author), Hohai Univ, Coll Oceanog, Nanjing, Peoples R China.;Wang, ZM; Liu, CY (corresponding author), Southern Marine Sci &amp; Engn Guangdong Lab Zhuhai, Zhuhai, Peoples R China.</t>
  </si>
  <si>
    <t>zhaomin.wang@hhu.edu.cn; liuchengyan@sml-zhuhai.cn</t>
  </si>
  <si>
    <t>cheng, cheng/JBR-8359-2023; LI, XIAO/JCE-6169-2023; Zhang, xiaohui/KEE-5747-2024; LI, Xiang-Yang/JZE-0275-2024; zhang, luyu/JJC-4227-2023</t>
  </si>
  <si>
    <t>National Natural Science Foundation of China (NSFC) Projects [41941007, 41876220]; Innovation Group Project of Southern Marine Science and Engineering Guangdong Laboratory (Zhuhai) [311021008]</t>
  </si>
  <si>
    <t>National Natural Science Foundation of China (NSFC) Projects(National Natural Science Foundation of China (NSFC)); Innovation Group Project of Southern Marine Science and Engineering Guangdong Laboratory (Zhuhai)</t>
  </si>
  <si>
    <t>This work was supported by the National Natural Science Foundation of China (NSFC) Projects (41941007; 41876220) and the Innovation Group Project of Southern Marine Science and Engineering Guangdong Laboratory (Zhuhai) (311021008). We thank Dr Fabien Roquet and the anonymous reviewer for their comments that helped improve the original manuscript.</t>
  </si>
  <si>
    <t>10.1175/JPO-D-21-0197.1</t>
  </si>
  <si>
    <t>3F3MH</t>
  </si>
  <si>
    <t>WOS:000830574200003</t>
  </si>
  <si>
    <t>Passerotti, G; Bennetts, LG; Polach, FVU; Alberello, A; Puolakka, O; Dolatshah, A; Monbaliu, J; Toffoli, A</t>
  </si>
  <si>
    <t>Passerotti, Giulio; Bennetts, Luke G.; Polach, Franz von Bock Und; Alberello, Alberto; Puolakka, Otto; Dolatshah, Azam; Monbaliu, Jaak; Toffoli, Alessandro</t>
  </si>
  <si>
    <t>Interactions between Irregular Wave Fields and Sea Ice: A Physical Model for Wave Attenuation and Ice Breakup in an Ice Tank</t>
  </si>
  <si>
    <t>Sea ice; Waves; oceanic; Laboratory; physical models</t>
  </si>
  <si>
    <t>IN-SITU MEASUREMENTS; FLOE-SIZE; OCEAN WAVES; PROPAGATION; PART; TRANSECTS; CURRENTS</t>
  </si>
  <si>
    <t>Irregular, unidirectional surface water waves incident on model ice in an ice tank are used as a physical model of ocean surface wave interactions with sea ice. Results are given for an experiment consisting of three tests, starting with a continuous ice cover and in which the incident wave steepness increases between tests. The incident waves range from causing no breakup of the ice cover to breakup of the full length of ice cover. Temporal evolution of the ice edge, breaking front, and mean floe sizes are reported. Floe size distributions in the different tests are analyzed. The evolution of the wave spectrum with distance into the ice-covered water is analyzed in terms of changes of energy content, mean wave period, and spectral bandwidth relative to their incident counterparts, and pronounced differences are found between the tests. Further, an empirical attenuation coefficient is derived from the measurements and shown to have a power-law dependence on frequency comparable to that found in field measurements. Links between wave properties and ice breakup are discussed.</t>
  </si>
  <si>
    <t>[Passerotti, Giulio; Dolatshah, Azam; Toffoli, Alessandro] Univ Melbourne, Melbourne, Vic, Australia; [Bennetts, Luke G.] Univ Adelaide, Adelaide, SA, Australia; [Polach, Franz von Bock Und] Hamburg Univ Technol, Hamburg, Germany; [Polach, Franz von Bock Und] Univ Hamburg, Hamburg, Germany; [Alberello, Alberto] Univ Torino, Turin, Italy; [Puolakka, Otto] Aalto Univ, Helsinki, Finland; [Monbaliu, Jaak] Katholieke Univ Leuven, Leuven, Belgium</t>
  </si>
  <si>
    <t>University of Melbourne; Melbourne Bioinformatics; University of Adelaide; Hamburg University of Technology; University of Hamburg; University of Turin; Aalto University; KU Leuven</t>
  </si>
  <si>
    <t>Passerotti, G; Toffoli, A (corresponding author), Univ Melbourne, Melbourne, Vic, Australia.</t>
  </si>
  <si>
    <t>giuliopasserotti@gmail.com; toffoli.alessandro@gmail.com</t>
  </si>
  <si>
    <t>; Bennetts, Luke/F-1623-2010</t>
  </si>
  <si>
    <t>Toffoli, Alessandro/0000-0003-3112-6856; Bennetts, Luke/0000-0001-9386-7882</t>
  </si>
  <si>
    <t>HYDRALAB(syn) program [654110]; ACE Foundation; Ferring Pharmaceuticals; Australian Research Council [DP200102828, FT190100404]; Australian Antarctic Science Program [4434]; Australia-Germany Joint Research Cooperation Scheme Project [5744547]; Japanese Society for the Promotion of Science [PE19055]; Australian Research Council [FT190100404, DP200102828] Funding Source: Australian Research Council</t>
  </si>
  <si>
    <t>HYDRALAB(syn) program; ACE Foundation; Ferring Pharmaceuticals(Ferring Pharmaceuticals); Australian Research Council(Australian Research Council); Australian Antarctic Science Program; Australia-Germany Joint Research Cooperation Scheme Project; Japanese Society for the Promotion of Science(Ministry of Education, Culture, Sports, Science and Technology, Japan (MEXT)Japan Society for the Promotion of Science); Australian Research Council(Australian Research Council)</t>
  </si>
  <si>
    <t>The HYDRALAB(syn) program supported the experiments (Contract 654110). AT and GP are supported by the ACE Foundation and Ferring Pharmaceuticals. LGB is supported by the Australian Research Council Grant FT190100404. LGB and AT are supported by the Australian Research Council Grant DP200102828. AA, LGB, and AT are supported by the Australian Antarctic Science Program Project 4434. AT, AD, FvBuP, and GP are supported by the Australia-Germany Joint Research Cooperation Scheme Project 5744547. AA is supported by the Japanese Society for the Promotion of Science (PE19055). GP, AA, AD, and AT acknowledge technical support from the Air-Sea-Ice Lab Project.</t>
  </si>
  <si>
    <t>10.1175/JPO-D-21-0238.1</t>
  </si>
  <si>
    <t>WOS:000830574200007</t>
  </si>
  <si>
    <t>Chouksey, M; Griesel, A; Eden, C; Steinfeldt, R</t>
  </si>
  <si>
    <t>Chouksey, Manita; Griesel, Alexa; Eden, Carsten; Steinfeldt, Reiner</t>
  </si>
  <si>
    <t>Transit Time Distributions and Ventilation Pathways Using CFCs and Lagrangian Backtracking in the South Atlantic of an Eddying Ocean Model</t>
  </si>
  <si>
    <t>South Atlantic Ocean; Southern Ocean; Lagrangian circulation; transport; Mesoscale processes; Ocean circulation; Mesoscale models; Tracers</t>
  </si>
  <si>
    <t>ANTHROPOGENIC CO2; CIRCULATION; WATER; CFC-11</t>
  </si>
  <si>
    <t>Transit time distributions (TTDs) for the Antarctic Intermediate Water (AAIW) in the South Atlantic Ocean are estimated from an eddying ocean model with a twofold scope: validation of the TTD method and identifying pathways of the AAIW. The TTDs are inferred both from Lagrangian particle backtracking and the modeled CFC-11 concentrations, under the assumption that the TTDs can be described with an inverse Gaussian function. A bimodal distribution is obtained for the Lagrangian TTDs with four major subduction regions identified: near the Agulhas retroflection, south of New Zealand, west of the Drake Passage (smallest mean age Gamma = 13 years), and in the Argentine basin (largest mean age Gamma = 25 years). With the Southern Ocean as source region, the inverse Gaussian is a reasonable representation for the TTDs in the eastern Atlantic basin (40 degrees-35 degrees S, 0 degrees-20 degrees E), whereas the fit for region west (40 degrees-35 degrees S, 60 degrees-40 degrees W) of the mid-Atlantic ridge is not as good and overestimates the TTDs for transit times &lt; 15 years. Mean ages from the modeled CFC-11 are mostly larger (up to 12 years) in the eastern Atlantic basin, and they are mostly smaller than the Lagrangian mean ages in the west. Both methods yield mean ages smaller in the western than in the eastern Atlantic basin and an aging of AAIW from the 1990s to the 2000s that is consistent with reduced flow velocities. The Antarctic Circumpolar Current appears to be the prime determinant of the transit times. The results suggest that the inverse Gaussian, despite assuming 1D advection-diffusion with constant mean flow and diffusivity, is a surprisingly good fit. Significance StatementIn this article, we assess the transit time distribution method, often used to estimate anthropogenic carbon uptake in the ocean from observations, thereby exploring particle pathways from the surface into the ocean interior in the South Atlantic Ocean. We track thousands of particles in a model from their point of origin near the surface to the ocean interior. The tracking reveals multiple routes and gives the actual travel time of these particles, which we compare with the travel times predicted by theory. Thus, this research deepens our understanding of the routes and travel times of the water particles, which is important for the ocean circulation, and provides insights to improve the methods to infer anthropogenic carbon uptake, storage, and transport.</t>
  </si>
  <si>
    <t>[Chouksey, Manita; Griesel, Alexa; Eden, Carsten] Univ Hamburg, Inst Meereskunde, Hamburg, Germany; [Chouksey, Manita; Steinfeldt, Reiner] Univ Bremen, Inst Umweltphys, Bremen, Germany</t>
  </si>
  <si>
    <t>University of Hamburg; University of Bremen</t>
  </si>
  <si>
    <t>Chouksey, M (corresponding author), Univ Hamburg, Inst Meereskunde, Hamburg, Germany.;Chouksey, M (corresponding author), Univ Bremen, Inst Umweltphys, Bremen, Germany.</t>
  </si>
  <si>
    <t>manita.chouksey@uni-hamburg.de</t>
  </si>
  <si>
    <t>Deutsche Forschungsgemeinschaft (DFG; German Research Foundation); DFG [274762653]</t>
  </si>
  <si>
    <t>Deutsche Forschungsgemeinschaft (DFG; German Research Foundation)(German Research Foundation (DFG)); DFG(German Research Foundation (DFG))</t>
  </si>
  <si>
    <t>We acknowledge the helpful comments of two anonymous reviewers. This study is a part of the project C_ant (Changes in anthropogenic carbon inventories and formation rates of intermediate, deep, and bottom water in the global ocean) funded by the Deutsche Forschungsgemeinschaft (DFG; German Research Foundation). This paper is a contribution to the Collaborative Research Centre TRR 181 Energy Transfers in Atmosphere and Ocean funded by the DFG, Projektnummer 274762653. We thank Mathew Maltrud for support with the model code and providing restart files and Nils Bruggemann for substantial help with CMS. We also acknowledge the computational support from the North German Supercomputing Alliance (HLRN) and the Julich Supercomputing Center (JSC), Germany.</t>
  </si>
  <si>
    <t>10.1175/JPO-D-21-0070.1</t>
  </si>
  <si>
    <t>WOS:000830574200013</t>
  </si>
  <si>
    <t>Si, YDF; Stewart, AL; Eisenman, I</t>
  </si>
  <si>
    <t>Si, Yidongfang; Stewart, Andrew L.; Eisenman, Ian</t>
  </si>
  <si>
    <t>Coupled Ocean-Sea Ice Dynamics of the Antarctic Slope Current Driven by Topographic Eddy Suppression and Sea Ice Momentum Redistribution</t>
  </si>
  <si>
    <t>Antarctica; Continental shelf; slope; Sea ice; Eddies; Ocean dynamics; Tides</t>
  </si>
  <si>
    <t>CIRCUMPOLAR DEEP-WATER; BOTTOM WATER; WIND-DRIVEN; TIDAL RECTIFICATION; WAVE BREAKING; WEDDELL SEA; SHELF; MODEL; VARIABILITY; CIRCULATION</t>
  </si>
  <si>
    <t>The Antarctic Slope Current (ASC) plays a central role in redistributing water masses, sea ice, and tracer properties around the Antarctic margins, and in mediating cross-slope exchanges. While the ASC has historically been understood as a wind-driven circulation, recent studies have highlighted important momentum transfers due to mesoscale eddies and tidal flows. Furthermore, momentum input due to wind stress is transferred through sea ice to the ASC during most of the year, yet previous studies have typically considered the circulations of the ocean and sea ice independently. Thus, it remains unclear how the momentum input from the winds is mediated by sea ice, tidal forcing, and transient eddies in the ocean, and how the resulting momentum transfers serve to structure the ASC. In this study the dynamics of the coupled ocean-sea ice-ASC circulation are investigated using high-resolution process-oriented simulations and interpreted with the aid of a reduced-order model. In almost all simulations considered here, sea ice redistributes almost 100% of the wind stress away from the continental slope, resulting in approximately identical sea ice and ocean surface flows in the core of the ASC in a fully spun-up equilibrium state. This ice-ocean coupling results from suppression of vertical momentum transfer by mesoscale eddies over the continental slope, which allows the sea ice to accelerate the ocean surface flow until the speeds coincide. Tidal acceleration of the along-slope flow exaggerates this effect and may even result in ocean-to-ice momentum transfer. The implications of these findings for along- and across-slope transport of water masses and sea ice around Antarctica are discussed.</t>
  </si>
  <si>
    <t>[Si, Yidongfang; Stewart, Andrew L.] Univ Calif Los Angeles, Dept Atmospher &amp; Ocean Sci, Los Angeles, CA 90095 USA; [Eisenman, Ian] Univ Calif San Diego, Scripps Inst Oceanog, San Diego, CA USA</t>
  </si>
  <si>
    <t>University of California System; University of California Los Angeles; University of California System; University of California San Diego; Scripps Institution of Oceanography</t>
  </si>
  <si>
    <t>Si, YDF (corresponding author), Univ Calif Los Angeles, Dept Atmospher &amp; Ocean Sci, Los Angeles, CA 90095 USA.</t>
  </si>
  <si>
    <t>ysi@ucla.edu</t>
  </si>
  <si>
    <t>Eisenman, Ian/B-9329-2009</t>
  </si>
  <si>
    <t>Si, Yidongfang/0000-0003-3343-406X; Stewart, Andrew/0000-0001-5861-4070</t>
  </si>
  <si>
    <t>Faculty Early Career Development Program of the National Science Foundation [OCE-1751386, OPP-2023244, OCE-2048590, OPP-1643445]; National Science Foundation [ACI-1548562]; China Scholarship Council</t>
  </si>
  <si>
    <t>Faculty Early Career Development Program of the National Science Foundation; National Science Foundation(National Science Foundation (NSF)); China Scholarship Council(China Scholarship Council)</t>
  </si>
  <si>
    <t>Acknowledgments. This work is supported by the Faculty Early Career Development Program of the National Science Foundation, under Awards OCE-1751386 and OPP-2023244, as well as Awards OCE-2048590 and OPP-1643445. This work used the Extreme Science and Engineering Discovery Environment (XSEDE; Towns et al. 2014), which is supported by National Science Foundation Grant ACI-1548562. We thank the MITgcm team for their contribution to numerical modeling, and making their code available. Y. Si acknowledges the scholarship provided by China Scholarship Council that supports her study at UCLA. The authors sincerely thank Dr. Tore Hattermann and the other anonymous reviewer for their insightful suggestions and comments.</t>
  </si>
  <si>
    <t>10.1175/JPO-D-21-0142.1</t>
  </si>
  <si>
    <t>WOS:000830574200015</t>
  </si>
  <si>
    <t>Ahmmed, MK; Bhowmik, S; Giteru, SG; Zilani, MNH; Adadi, P; Islam, SS; Kanwugu, ON; Haq, M; Ahmmed, F; Ng, CCW; Chan, YS; Asadujjaman, M; Chan, GHH; Naude, R; Bekhit, AEA; Ng, TB; Wong, JH</t>
  </si>
  <si>
    <t>Ahmmed, Mirja Kaizer; Bhowmik, Shuva; Giteru, Stephen G.; Zilani, Md Nazmul Hasan; Adadi, Parise; Islam, Shikder Saiful; Kanwugu, Osman N.; Haq, Monjurul; Ahmmed, Fatema; Ng, Charlene Cheuk Wing; Chan, Yau Sang; Asadujjaman, Md; Chan, Gabriel Hoi Huen; Naude, Ryno; Bekhit, Alaa El-Din Ahmed; Ng, Tzi Bun; Wong, Jack Ho</t>
  </si>
  <si>
    <t>An Update of Lectins from Marine Organisms: Characterization, Extraction Methodology, and Potential Biofunctional Applications</t>
  </si>
  <si>
    <t>adhesins; hemagglutinins; marine lectins; characterization; extraction and purification; bio-functional roles; immunomodulation</t>
  </si>
  <si>
    <t>C-TYPE LECTIN; RHAMNOSE-BINDING LECTINS; F-TYPE LECTIN; TURBOT SCOPHTHALMUS-MAXIMUS; BURKITTS-LYMPHOMA CELLS; LILY-TYPE LECTIN; CARBOHYDRATE-RECOGNITION DOMAIN; TANDEM-REPEAT GALECTIN-9; INNATE IMMUNE-SYSTEM; MOLECULAR CHARACTERIZATION</t>
  </si>
  <si>
    <t>Lectins are a unique group of nonimmune carbohydrate-binding proteins or glycoproteins that exhibit specific and reversible carbohydrate-binding activity in a non-catalytic manner. Lectins have diverse sources and are classified according to their origins, such as plant lectins, animal lectins, and fish lectins. Marine organisms including fish, crustaceans, and mollusks produce a myriad of lectins, including rhamnose binding lectins (RBL), fucose-binding lectins (FTL), mannose-binding lectin, galectins, galactose binding lectins, and C-type lectins. The widely used method of extracting lectins from marine samples is a simple two-step process employing a polar salt solution and purification by column chromatography. Lectins exert several immunomodulatory functions, including pathogen recognition, inflammatory reactions, participating in various hemocyte functions (e.g., agglutination), phagocytic reactions, among others. Lectins can also control cell proliferation, protein folding, RNA splicing, and trafficking of molecules. Due to their reported biological and pharmaceutical activities, lectins have attracted the attention of scientists and industries (i.e., food, biomedical, and pharmaceutical industries). Therefore, this review aims to update current information on lectins from marine organisms, their characterization, extraction, and biofunctionalities.</t>
  </si>
  <si>
    <t>[Ahmmed, Mirja Kaizer; Giteru, Stephen G.; Adadi, Parise; Bekhit, Alaa El-Din Ahmed] Univ Otago, Dept Food Sci, POB 56, Dunedin 9054, New Zealand; [Ahmmed, Mirja Kaizer] Chittagong Vet &amp; Anim Sci Univ, Fac Fisheries, Dept Fishing &amp; Postharvest Technol, Chittagong 4225, Bangladesh; [Bhowmik, Shuva] Univ Otago, Fac Dent, Ctr Bioengn &amp; Nanomed, Div Hlth Sci, POB 56, Dunedin 9054, New Zealand; [Bhowmik, Shuva] Noakhali Sci &amp; Technol Univ, Dept Fisheries &amp; Marine Sci, Noakhali 3814, Bangladesh; [Giteru, Stephen G.] Alliance Grp Ltd, Invercargill 9840, New Zealand; [Zilani, Md Nazmul Hasan] Jashore Univ Sci &amp; Technol, Dept Pharm, Jashore 7408, Bangladesh; [Islam, Shikder Saiful] Univ Tasmania, Inst Marine &amp; Antarctic Studies, Launceston, Tas 7250, Australia; [Islam, Shikder Saiful] Khulna Univ, Life Sci Sch, Fisheries &amp; Marine Resource Technol Discipline, Khulna 9208, Bangladesh; [Kanwugu, Osman N.] Ural Fed Univ, Inst Chem Engn, Mira St 28, Ekaterinburg 620002, Russia; [Haq, Monjurul] Jashore Univ Sci &amp; Technol, Dept Fisheries &amp; Marine Biosci, Jashore 7408, Bangladesh; [Ahmmed, Fatema] Univ Otago, Dept Chem, POB 56, Dunedin 9054, New Zealand; [Ng, Charlene Cheuk Wing] Medway NHS Fdn Trust, Medway Maritime Hosp, Gillingham ME7 5NY, Kent, England; [Chan, Yau Sang] Univ Hong Kong, LKS Fac Med, Dept Obstet &amp; Gynaecol, Hong Kong, Peoples R China; [Asadujjaman, Md] Khulna Agr Univ, Fac Fisheries &amp; Ocean Sci, Dept Aquaculture, Khulna 9100, Bangladesh; [Chan, Gabriel Hoi Huen] Hong Kong Polytech Univ, Coll Profess &amp; Continuing Educ, Div Sci Engn &amp; Hlth Studies, Hong Kong, Peoples R China; [Naude, Ryno] Nelson Mandela Univ, Dept Biochem &amp; Microbiol, ZA-6031 Port Elizabeth, South Africa; [Ng, Tzi Bun] Chinese Univ Hong Kong, Sch Life Sci, Hong Kong, Peoples R China; [Wong, Jack Ho] Caritas Inst Higher Educ, Sch Hlth Sci, Hong Kong, Peoples R China</t>
  </si>
  <si>
    <t>University of Otago; University of Otago; Noakhali Science &amp; Technology University (NSTU); University of Tasmania; Khulna University; Ural Federal University; University of Otago; Medway Maritime Hospital; University of Hong Kong; Hong Kong Polytechnic University; Nelson Mandela University; Chinese University of Hong Kong; Saint Francis University Hong Kong</t>
  </si>
  <si>
    <t>Bekhit, AEA (corresponding author), Univ Otago, Dept Food Sci, POB 56, Dunedin 9054, New Zealand.;Wong, JH (corresponding author), Caritas Inst Higher Educ, Sch Hlth Sci, Hong Kong, Peoples R China.</t>
  </si>
  <si>
    <t>mirja.ahmmed@postgrad.otago.ac.nz; shuva.bhowmik@postgrad.otago.ac.nz; stephen.giteru@postgrad.otago.ac.nz; mnhzilani09@gmail.com; parise.adadi@postgrad.otago.ac.nz; shikdersaiful.islam@gmail.com; nabayire@gmail.com; mr.haq@just.edu.bd; ahmfa773@student.otago.ac.nz; charlene.cw.ng@gmail.com; bomberharo@gmail.com; manikdof@yahoo.com; gabriel.chan@cpce-polyu.edu.hk; ryno.naude@mandela.ac.za; aladin.bekhit@otago.ac.nz; tzibunng@cuhk.edu.hk; hwong@cihe.edu.hk</t>
  </si>
  <si>
    <t>Islam, Shikder Saiful/ABC-3688-2021; AHMMED, MIRJA KAIZER/AAA-5000-2019; Kanwugu, Osman/AAG-2642-2019; Bhowmik, Shuva/AAO-8441-2020; Parise, Adadi, PhD/V-6317-2018; Zilani, Nazmul Hasan/AAQ-1450-2021; Chan, Gabriel/L-1130-2015; Giteru, Stephen/D-4840-2017</t>
  </si>
  <si>
    <t>Islam, Shikder Saiful/0000-0001-7134-6736; AHMMED, MIRJA KAIZER/0000-0003-4467-0615; Kanwugu, Osman/0000-0003-3887-1058; Bhowmik, Shuva/0000-0002-3858-7359; Parise, Adadi, PhD/0000-0003-4724-9463; Zilani, Nazmul Hasan/0000-0002-5339-6665; Chan, Gabriel/0000-0003-1218-3302; Haq, Monjurul/0000-0001-8498-2619; Giteru, Stephen/0000-0001-5278-8424</t>
  </si>
  <si>
    <t>Ural Federal University</t>
  </si>
  <si>
    <t>The author O.N.K. is grateful to the Priority 2030 program of the Ural Federal University for support.</t>
  </si>
  <si>
    <t>10.3390/md20070430</t>
  </si>
  <si>
    <t>3G6NX</t>
  </si>
  <si>
    <t>WOS:000831469900001</t>
  </si>
  <si>
    <t>Mahesh, BS; Mello, CNED; Nair, A; Warrier, AK; Mohan, R</t>
  </si>
  <si>
    <t>Mahesh, B. S.; Mello, Cheryl Noronha E. D.; Nair, Abhilash; Warrier, Anish Kumar; Mohan, Rahul</t>
  </si>
  <si>
    <t>Environmental Changes and Geomorphological Factors Influencing the Sediment Flux to a Coastal Lake Spanning the Deglacial- Early Holocene Period in East Antarctica</t>
  </si>
  <si>
    <t>JOURNAL OF THE GEOLOGICAL SOCIETY OF INDIA</t>
  </si>
  <si>
    <t>MCMURDO DRY VALLEYS; GRAIN-SIZE; LARSEMANN HILLS; CLIMATE; LACUSTRINE</t>
  </si>
  <si>
    <t>The geomorphological settings of the lakes in the coastal oases of East Antarctica play a significant role in the lake's response to the local and regional environment. A 63-cm radiocarbon-dated sediment core spanning between 18.7 and 7.2 cal ka BP was retrieved from Discussion Lake, Larsemann Hills of East Antarctica in order to understand the pathways of sediment transport and deposition and the mechanisms involved in response to changing environmental settings. This was achieved by analyzing the sedimentary sequence of this coastal lake for its grain size (sand-silt-clay) and organic matter content variations. Two cluster zones were identified viz., LZ1 (18.7 to 8.2 cal ka BP) and LZ2 (8.2 to 7.7 cal ka BP). LZ1 was dominated by fine-grained sediments (clay-silt), indicating wind and low meltwater influx influenced deposition of higher silt content. In addition, the lake during this period was in a moated or partially ice-free phases. On the other hand, coarser grains (sand) were predominant in LZ2 suggesting increased flux of the meltwater to the ice-free lake. Thus, the distinct shift in the sedimentary grains fractions (finer-to-coarser), indicated a change in environmental conditions of the lacustrine system, i.e., from an ice-covered lake to an ice-free lake in response to the regional warming trends and local geomorphological features. Furthermore, the environmental conditions, proximity of the lakes to coast or the ice-sheet, elevation and area, defines the sedimentological characteristics of the lake.</t>
  </si>
  <si>
    <t>[Mahesh, B. S.; Mello, Cheryl Noronha E. D.; Nair, Abhilash; Mohan, Rahul] Minist Earth Sci, Natl Ctr Polar &amp; Ocean Res NCPOR, Antarctic Sci, Vasco Da Gama 403804, Goa, India; [Warrier, Anish Kumar] Manipal Acad Higher Educ, Manipal Inst Technol, Ctr Climate Studies, Dept Civil Engn, Manipal 576104, Karnataka, India</t>
  </si>
  <si>
    <t>Ministry of Earth Sciences (MoES) - India; National Centre for Polar and Ocean Research (NCPOR); Manipal Academy of Higher Education (MAHE)</t>
  </si>
  <si>
    <t>Mahesh, BS (corresponding author), Minist Earth Sci, Natl Ctr Polar &amp; Ocean Res NCPOR, Antarctic Sci, Vasco Da Gama 403804, Goa, India.</t>
  </si>
  <si>
    <t>mahesh@ncpor.res.in</t>
  </si>
  <si>
    <t>Warrier, Anish Kumar/AAW-8890-2020</t>
  </si>
  <si>
    <t>Warrier, Anish Kumar/0000-0003-0044-6224</t>
  </si>
  <si>
    <t>NCPOR</t>
  </si>
  <si>
    <t>We thank the Secretary-Ministry of Earth Sciences, New Delhi and Director, NCPOR, for their encouragement and support under the project Polar Micropaleontology and Past Climate. We thank Ponzan Radiocarbon Laboratory, Poland for measuring the AMS 14-C dates. The authors thank the Indian Antarctic Program and members of the 36th-Indian Scientific Expedition to Antarctica for their help in the field campaign. The authors are thankful to the Editor and Reviewers for their comments which enhanced the quality of the manuscript. This is NCPOR contribution number: J-10/2022-23</t>
  </si>
  <si>
    <t>SPRINGER INDIA</t>
  </si>
  <si>
    <t>NEW DELHI</t>
  </si>
  <si>
    <t>7TH FLOOR, VIJAYA BUILDING, 17, BARAKHAMBA ROAD, NEW DELHI, 110 001, INDIA</t>
  </si>
  <si>
    <t>0016-7622</t>
  </si>
  <si>
    <t>0974-6889</t>
  </si>
  <si>
    <t>J GEOL SOC INDIA</t>
  </si>
  <si>
    <t>J. Geol. Soc. India</t>
  </si>
  <si>
    <t>10.1007/s12594-022-2094-y</t>
  </si>
  <si>
    <t>2Y6GW</t>
  </si>
  <si>
    <t>WOS:000825994000005</t>
  </si>
  <si>
    <t>Wong, HJ; Mohamad-Fauzi, N; Rizman-Idid, M; Convey, P; Smykla, J; Alias, SA</t>
  </si>
  <si>
    <t>Wong, Hao Jie; Mohamad-Fauzi, Nuradilla; Rizman-Idid, Mohammed; Convey, Peter; Smykla, Jerzy; Alias, Siti Aisyah</t>
  </si>
  <si>
    <t>UV-B-induced DNA damage and repair pathways in polar Pseudogymnoascus sp. from the Arctic and Antarctic regions and their effects on growth, pigmentation and conidiogenesis</t>
  </si>
  <si>
    <t>NUCLEOTIDE EXCISION-REPAIR; CYCLOBUTANE PYRIMIDINE DIMERS; BEAUVERIA-BASSIANA; CELLULAR-DNA; PCR DATA; RADIATION; LIGHT; GENE; MECHANISMS; RESPONSES</t>
  </si>
  <si>
    <t>Solar radiation regulates most biological activities on Earth. Prolonged exposure to solar UV radiation can cause deleterious effects by inducing two major types of DNA damage, namely, cyclobutane pyrimidine dimers (CPDs) and pyrimidine 6-4 pyrimidone photoproducts. These lesions may be repaired by the photoreactivation (Phr) and nucleotide excision repair (NER) pathways; however, the principal UV-induced DNA repair pathway is not known in the fungal genus Pseudogymnoascus. In this study, we demonstrated that an unweighted UV-B dosage of 1.6 kJ m(-2) d(-1) significantly reduced fungal growth rates (by between 22% and 35%) and inhibited conidia production in a 10 d exposure. The comparison of two DNA repair conditions, light or dark, which respectively induced photoreactivation (Phr) and NER, showed that the UV-B-induced CPDs were repaired significantly more rapidly in light than in dark conditions. The expression levels of two DNA repair genes, RAD2 and PHR1 (encoding a protein in NER and Phr respectively), demonstrated that NER rather than Phr was primarily activated for repairing UV-B-induced DNA damage in these Pseudogymnoascus strains. In contrast, Phr was inhibited after exposure to UV-B radiation, suggesting that PHR1 may have other functional roles. We present the first study to examine the capability of the Arctic and Antarctic Pseudogymnoascus sp. to perform photoreactivation and/or NER via RT-qPCR approaches, and also clarify the effects of light on UV-B-induced DNA damage repair in vivo by quantifying cyclobutene pyrimidine dimers and pyrimidine 6-4 pyrimidone photoproducts. Physiological response data, including relative growth rate, pigmentation and conidia production in these Pseudogymnoascus isolates exposed to UV-B radiation are also presented.</t>
  </si>
  <si>
    <t>[Wong, Hao Jie] Nara Inst Sci &amp; Technol, Div Biol Sci, Lab Gene Regulat Res, Ikoma, Nara 6300192, Japan; [Mohamad-Fauzi, Nuradilla; Rizman-Idid, Mohammed; Alias, Siti Aisyah] Univ Malaya, Inst Ocean &amp; Earth Sci, Inst Adv Studies, Kuala Lumpur 50603, Malaysia; [Mohamad-Fauzi, Nuradilla] Univ Malaya, Fac Sci, Inst Biol Sci, Kuala Lumpur 50603, Malaysia; [Mohamad-Fauzi, Nuradilla; Rizman-Idid, Mohammed; Convey, Peter; Alias, Siti Aisyah] Univ Malaya, Natl Antarctic Res Ctr, Inst Adv Studies, Kuala Lumpur 50603, Malaysia; [Convey, Peter] British Antarctic Survey, NERC, Madingley Rd, Cambridge CB3 OET, England; [Convey, Peter] Univ Johannesburg, Dept Zool, POB 524, ZA-2006 Auckland Pk, South Africa; [Smykla, Jerzy] Polish Acad Sci, Inst Nat Conservat, Mickiewicza 33, PL-31120 Krakow, Poland</t>
  </si>
  <si>
    <t>Nara Institute of Science &amp; Technology; Universiti Malaya; Universiti Malaya; Universiti Malaya; UK Research &amp; Innovation (UKRI); Natural Environment Research Council (NERC); NERC British Antarctic Survey; University of Johannesburg; Polish Academy of Sciences</t>
  </si>
  <si>
    <t>Alias, SA (corresponding author), Univ Malaya, Inst Ocean &amp; Earth Sci, Inst Adv Studies, Kuala Lumpur 50603, Malaysia.;Alias, SA (corresponding author), Univ Malaya, Natl Antarctic Res Ctr, Inst Adv Studies, Kuala Lumpur 50603, Malaysia.</t>
  </si>
  <si>
    <t>siti.alias@gmail.com</t>
  </si>
  <si>
    <t>Mohamad-Fauzi, Nuradilla/W-4003-2017; Convey, Peter/AAV-5728-2020; FASc, SITI AISYAH A. HJ ALIAS/B-9785-2010; IDID, MOHAMMED RIZMAN/B-9058-2010; Smykla, Jerzy/N-3288-2014</t>
  </si>
  <si>
    <t>Convey, Peter/0000-0001-8497-9903; FASc, SITI AISYAH A. HJ ALIAS/0000-0002-6759-5745; IDID, MOHAMMED RIZMAN/0000-0002-2231-2502; Wong, Hao Jie/0000-0001-5035-6636; Smykla, Jerzy/0000-0001-8228-6695</t>
  </si>
  <si>
    <t>Malaysian Ministry of Higher Education (MOHE) through their Higher Centre of Excellence (HiCoE) funding programme [IOES-2014G]; Malaysian Ministry of Science, Technology, and Innovation (MOSTI) [GA006-2014FL]; Ministry of Higher Education - Polish Ministry of Science and Higher Education [NN305376438]; NERC</t>
  </si>
  <si>
    <t>Malaysian Ministry of Higher Education (MOHE) through their Higher Centre of Excellence (HiCoE) funding programme; Malaysian Ministry of Science, Technology, and Innovation (MOSTI)(Ministry of Energy, Science, Technology, Environment and Climate Change (MESTECC), Malaysia); Ministry of Higher Education - Polish Ministry of Science and Higher Education; NERC(UK Research &amp; Innovation (UKRI)Natural Environment Research Council (NERC))</t>
  </si>
  <si>
    <t>This work was supported by the Malaysian Ministry of Higher Education (MOHE) through their Higher Centre of Excellence (HiCoE) funding programme (grant number IOES-2014G), and the Malaysian Ministry of Science, Technology, and Innovation (MOSTI) through the Flagship grant (GA006-2014FL), postgraduate sponsorship from the Ministry of Higher Education (MyMaster Scholarship Programme), funding provided by Polish Ministry of Science and Higher Education (within the program 'Supporting International Mobility of Scientists' edition III, project no. 2 and grant no. NN305376438 to J.S.), continued collaboration between the Institute of Ocean and Earth Sciences (IOES) with the National Antarctic Research Centre (NARC) and British Antarctic Survey (BAS). P. Convey is supported by NERC core funding to the BAS 'Biodiversity, Evolution and Adaptation' Team.</t>
  </si>
  <si>
    <t>10.1111/1462-2920.16073</t>
  </si>
  <si>
    <t>3A9ZD</t>
  </si>
  <si>
    <t>WOS:000827609300023</t>
  </si>
  <si>
    <t>Torrens, CL; Gooseff, MN; McKnight, DM</t>
  </si>
  <si>
    <t>Torrens, Christa L.; Gooseff, Michael N.; McKnight, Diane M.</t>
  </si>
  <si>
    <t>Dissolved Organic Carbon Chemostasis in Antarctic Polar Desert Streams</t>
  </si>
  <si>
    <t>Ephemeral streams; Antarctica; DOC; concentration-discharge; chemostasis; LTER</t>
  </si>
  <si>
    <t>MCMURDO DRY VALLEYS; GLACIAL MELTWATER STREAMS; TRANSIENT STORAGE; TAYLOR VALLEY; MATTER; TRANSPORT; DYNAMICS; FLUXES; FLOW; GEOCHEMISTRY</t>
  </si>
  <si>
    <t>Dissolved organic carbon (DOC) is a key variable impacting stream biogeochemical processes. The relationship between DOC concentration (C) and stream discharge (q) can elucidate spatial and temporal DOC source dynamics in watersheds. In the ephemeral glacial meltwater streams of the McMurdo Dry Valleys (MDV), Antarctica, the C-q relationship has been applied to dissolved inorganic nitrogen and weathering solutes including silica, which all exhibit chemostatic C-q behavior; but DOC-q dynamics have not been studied. DOC concentrations here are low compared to temperate streams, in the range of 0.1-2 mg C l(-1), and their chemical signal clearly indicates derivation from microbial biomass (benthic mats and hyporheic biofilm). To investigate whether the DOC generation rate from these autochthonous organic matter pools was sufficient to maintain chemostasis for DOC, despite these streams' large diel and interannual fluctuations in discharge, we fit the long-term DOC-q data to a power law and an advection-reaction model. Model outputs and coefficients of variation characterize the DOC-q relationship as chemostatic for several MDV streams. We propose a conceptual model in which hyporheic carbon storage, hyporheic exchange rates, and net DOC generation rates are key interacting components that enable chemostatic DOC-q behavior in MDV streams. This model clarifies the role of autochthonous carbon stores in maintaining DOC chemostasis and may be useful for examining these relationships in temperate systems, which typically have larger sources of bioavailable autochthonous organic carbon than MDV streams but where this autochthonous signal could be masked by a stronger allochthonous contribution.</t>
  </si>
  <si>
    <t>[Torrens, Christa L.; Gooseff, Michael N.; McKnight, Diane M.] Univ Colorado, Inst Arctic &amp; Alpine Res, Boulder, CO 80309 USA</t>
  </si>
  <si>
    <t>University of Colorado System; University of Colorado Boulder</t>
  </si>
  <si>
    <t>Torrens, CL (corresponding author), Univ Colorado, Inst Arctic &amp; Alpine Res, Boulder, CO 80309 USA.</t>
  </si>
  <si>
    <t>christa.torrens@colorado.edu</t>
  </si>
  <si>
    <t>Gooseff, Michael N/N-6087-2015</t>
  </si>
  <si>
    <t>Gooseff, Michael N/0000-0003-4322-8315; Torrens, Christa/0000-0002-1036-7645; MCKNIGHT, DIANE/0000-0002-4171-1533</t>
  </si>
  <si>
    <t>National Science Foundation [9211773, 9813061, 9810219, 0096250, 0423595, 0832755, 1041742, 1115245, 1637708]</t>
  </si>
  <si>
    <t>Funding for this work was provided by the National Science Foundation, for the initial LTER grant and subsequent renewals (award numbers 9211773, 9813061, 9810219, 0096250, 0423595, 0832755, 1041742, 1115245, and 1637708). The authors would also like to acknowledge and thank the numerous collaborators and students who helped carry out lab and fieldwork associated with the project, as well as the logistical and helicopter support contractors who have facilitated the MCM LTER field research in Antarctica since 1993 through the US Antarctic Program: Antarctic Support Associates, Raytheon Polar Services, Antarctic Support Contractors, and Petroleum Helicopters International, Inc.</t>
  </si>
  <si>
    <t>e2021JG006649</t>
  </si>
  <si>
    <t>10.1029/2021JG006649</t>
  </si>
  <si>
    <t>2X6ZM</t>
  </si>
  <si>
    <t>WOS:000825349500001</t>
  </si>
  <si>
    <t>Cowart, DA; Schiaparelli, S; Alvaro, MC; Cecchetto, M; Le Port, AS; Jollivet, D; Hourdez, S</t>
  </si>
  <si>
    <t>Cowart, Dominique A.; Schiaparelli, Stefano; Alvaro, Maria Chiara; Cecchetto, Matteo; Le Port, Anne-Sophie; Jollivet, Didier; Hourdez, Stephane</t>
  </si>
  <si>
    <t>Origin, diversity, and biogeography of Antarctic scale worms (Polychaeta: Polynoidae): a wide-scale barcoding approach</t>
  </si>
  <si>
    <t>Antarctic biogeography; benthic invertebrate; DNA barcoding; gene flow; polynoid; Southern Ocean; species connectivity</t>
  </si>
  <si>
    <t>SOUTHERN-OCEAN; CLIMATE-CHANGE; ROSS SEA; PROMACHOCRINUS-KERGUELENSIS; MOLECULAR PHYLOGENY; BENTHIC COMMUNITIES; POLAR FRONT; GENE FLOW; DNA; DISPERSAL</t>
  </si>
  <si>
    <t>The Antarctic marine environment hosts diversified and highly endemic benthos owing to its unique geologic and climatic history. Current warming trends have increased the urgency of understanding Antarctic species history to predict how environmental changes will impact ecosystem functioning. Antarctic benthic lineages have traditionally been examined under three hypotheses: (1) high endemism and local radiation, (2) emergence of deep-sea taxa through thermohaline circulation, and (3) species migrations across the Polar Front. In this study, we investigated which hypotheses best describe benthic invertebrate origins by examining Antarctic scale worms (Polynoidae). We amassed 691 polynoid sequences from the Southern Ocean and neighboring areas: the Kerguelen and Tierra del Fuego (South America) archipelagos, the Indian Ocean, and waters around New Zealand. We performed phylogenetic reconstructions to identify lineages across geographic regions, aided by mitochondrial markers cytochrome c oxidase subunit I (Cox1) and 16S ribosomal RNA (16S). Additionally, we produced haplotype networks at the species scale to examine genetic diversity, biogeographic separations, and past demography. The Cox1 dataset provided the most illuminating insights into the evolution of polynoids, with a total of 36 lineages identified. Eunoe sp. was present at Tierra del Fuego and Kerguelen, in favor of the latter acting as a migration crossroads. Harmothoe fuligineum, widespread around the Antarctic continent, was also present but isolated at Kerguelen, possibly resulting from historical freeze-thaw cycles. The genus Polyeunoa appears to have diversified prior to colonizing the continent, leading to the co-occurrence of at least three cryptic species around the Southern and Indian Oceans. Analyses identified that nearly all populations are presently expanding following a bottleneck event, possibly caused by habitat reduction from the last glacial episodes. Findings support multiple origins for contemporary Antarctic polynoids, and some species investigated here provide information on ancestral scenarios of (re)colonization. First, it is apparent that species collected from the Antarctic continent are endemic, as the absence of closely related species in the Kerguelen and Tierra del Fuego datasets for most lineages argues in favor of Hypothesis 1 of local origin. Next, Eunoe sp. and H. fuligineum, however, support the possibility of Kerguelen and other sub-Antarctic islands acting as a crossroads for larvae of some species, in support of Hypothesis 3. Finally, the genus Polyeunoa, conversely, is found at depths greater than 150 m and may have a deep origin, in line with Hypothesis 2. These non endemic groups, nevertheless, have a distribution that is either north or south of the Antarctic Polar Front, indicating that there is still a barrier to dispersal, even in the deep sea.</t>
  </si>
  <si>
    <t>[Cowart, Dominique A.] Univ Illinois, Dept Evolut Ecol &amp; Behav, Urbana, IL USA; [Cowart, Dominique A.] Co Open Ocean Observat &amp; Logging COOOL, La Reunion, France; [Schiaparelli, Stefano; Alvaro, Maria Chiara; Cecchetto, Matteo] Univ Genoa, Dept Earth Environm &amp; Life Sci DiSTAV, Genoa, Italy; [Schiaparelli, Stefano; Cecchetto, Matteo] Univ Genoa, Italian Natl Antarctic Museum MNA, Sect Genoa, Genoa, Italy; [Le Port, Anne-Sophie; Jollivet, Didier; Hourdez, Stephane] Sorbonne Univ, Team Dynam Diversite Marine DyDiv, Adaptat &amp; Diversite Milieux Marins AD2M, CNRS,UMR 7144,Stn Biol Roscoff, F-29688 Roscoff, France; [Hourdez, Stephane] Sorbonne Univ, Observ Oceanol Banyuls, Lab Ecogeochim Environm Benth LECOB, UMR 8222,CNRS, Banyuls Sur Mer, France</t>
  </si>
  <si>
    <t>University of Illinois System; University of Illinois Urbana-Champaign; University of Genoa; University of Genoa; Centre National de la Recherche Scientifique (CNRS); CNRS - Institute of Ecology &amp; Environment (INEE); Sorbonne Universite; Sorbonne Universite; Centre National de la Recherche Scientifique (CNRS); CNRS - Institute of Ecology &amp; Environment (INEE)</t>
  </si>
  <si>
    <t>Hourdez, S (corresponding author), Sorbonne Univ, Team Dynam Diversite Marine DyDiv, Adaptat &amp; Diversite Milieux Marins AD2M, CNRS,UMR 7144,Stn Biol Roscoff, F-29688 Roscoff, France.</t>
  </si>
  <si>
    <t>hourdez@obs-banyuls.fr</t>
  </si>
  <si>
    <t>Cowart, Dominique/0000-0002-2581-0355; Le Port, Anne-Sophie/0009-0004-2370-6994</t>
  </si>
  <si>
    <t>New Zealand Ministry of Fisheries (MFish); NIWA (Wellington); EC2CO grant; UIUC STEM fellowship; Italian National Antarctic Research Program (PNRA) [PNRA16_00120-A1, PNRA18_00078]; Census of Antarctic Marine Life (CAML)</t>
  </si>
  <si>
    <t>New Zealand Ministry of Fisheries (MFish); NIWA (Wellington); EC2CO grant; UIUC STEM fellowship; Italian National Antarctic Research Program (PNRA)(Ministry of Education, Universities and Research (MIUR)); Census of Antarctic Marine Life (CAML)</t>
  </si>
  <si>
    <t>We are especially grateful to Karin Gerard (University of Magallanes, Chile), Marie-Laure Guillemin (Universidad Austral de Chile), Melyne Hautecoeur (Museum National d'Histoire Naturelle), Marc Eleaume (Museum National d'Histoire Naturelle), and Melody Clark (British Antarctic Survey) for their contributions to this project that include the collection and sharing of samples. We would like to acknowledge the crew of the Tangaroa expedition IPY-CAML TAN0802 for logistic support during the cruise and we are indebted to the New Zealand Ministry of Fisheries (MFish) and NIWA (Wellington) for the financial support of the cruise and related study activities. Logistics were provided by Institut Polaire Paul Emile Victor (IPEV) program POLARIS to SH. We thank the staff at bases/stations at Dumont d'Urville and Rothera, as well as Dr. Julian Gutt (Alfred Wegener Institute) for the invitation to the AWI PS81 ANT-XXIX/3 and the donation of samples to the Italian National Antarctic Museum (MNA). We would also like to thank Pierre Chevaldonne, dive partner of SH during the POLARIS expeditions and avid naturalist; his involvement was essential for the collection of samples and documenting biodiversity in the area. Finally, we thank Olivier Soubigou for his assistance with aspects of the manuscript. This research was supported by an EC2CO grant to SH (ANTARES) and a UIUC STEM fellowship to DAC. Funding was also obtained through the Italian National Antarctic Research Program (PNRA, www.pnra.it) projects PNRA16_00120-A1 (TNB-CODE), PNRA18_00078 (RossMODE) and the Census of Antarctic Marine Life (CAML) to SS.</t>
  </si>
  <si>
    <t>e9093</t>
  </si>
  <si>
    <t>10.1002/ece3.9093</t>
  </si>
  <si>
    <t>2Y9FY</t>
  </si>
  <si>
    <t>WOS:000826194400001</t>
  </si>
  <si>
    <t>Sahashi, R; Nomura, D; Toyota, T; Tozawa, M; Ito, M; Wongpan, P; Ono, K; Simizu, D; Naoki, K; Nosaka, Y; Tamura, T; Aoki, S; Ushio, S</t>
  </si>
  <si>
    <t>Sahashi, Reishi; Nomura, Daiki; Toyota, Takenobu; Tozawa, Manami; Ito, Masato; Wongpan, Pat; Ono, Kazuya; Simizu, Daisuke; Naoki, Kazuhiro; Nosaka, Yuichi; Tamura, Takeshi; Aoki, Shigeru; Ushio, Shuki</t>
  </si>
  <si>
    <t>Effects of Snow and Remineralization Processes on Nutrient Distributions in Multi-Year Antarctic Landfast Sea Ice</t>
  </si>
  <si>
    <t>sea ice; snow; nutrients; remineralization; multi-year landfast ice; fast ice; East Antarctica</t>
  </si>
  <si>
    <t>LUTZOW-HOLM BAY; EAST ANTARCTICA; PLATELET ICE; WINTER; NITROGEN; SUMMER; COMPONENTS; OXYGEN; ROSS</t>
  </si>
  <si>
    <t>We elucidated the effects of snow and remineralization processes on nutrient distributions in multi-year landfast sea ice (fast ice) in Lutzow-Holm Bay, East Antarctica. Based on sea-ice salinity, oxygen isotopic ratios, and thin section analyses, we found that the multi-year fast ice grew upward due to the year-by-year accumulation of snow. Compared to ice of seawater origin, nutrient concentrations in shallow fast ice were low due to replacement by clean and fresh snow. In deeper ice of seawater origin (the lower half of the multi-year fast ice column), remineralization was dominated by the degradation of organic matter. By comparison between first- and muti-year ice, the biological uptake and the remineralization were dominated in relatively young ice and older ice, respectively, under the physical process of brine drainage.</t>
  </si>
  <si>
    <t>[Sahashi, Reishi; Nomura, Daiki; Tozawa, Manami] Hokkaido Univ, Fac Fisheries Sci, Sapporo, Hokkaido, Japan; [Nomura, Daiki] Hokkaido Univ, Field Sci Ctr Northern Biosphere, Sapporo, Hokkaido, Japan; [Nomura, Daiki] Hokkaido Univ, Arctic Res Ctr, Sapporo, Hokkaido, Japan; [Toyota, Takenobu; Wongpan, Pat; Ono, Kazuya; Aoki, Shigeru] Hokkaido Univ, Inst Low Temp Sci, Sapporo, Hokkaido, Japan; [Ito, Masato; Simizu, Daisuke; Tamura, Takeshi; Ushio, Shuki] Natl Inst Polar Res, Tachikawa, Tokyo, Japan; [Wongpan, Pat] Univ Tasmania, Inst Marine &amp; Antarctic Studies, Hobart, Tas, Australia; [Wongpan, Pat] Japan Soc Promot Sci, Tokyo, Japan; [Naoki, Kazuhiro] Tokai Univ, Res &amp; Inimmat Ctr, Tokyo, Japan; [Nosaka, Yuichi] Tokai Univ, Sch Biol Sci, Sapporo, Hokkaido, Japan; [Tamura, Takeshi; Ushio, Shuki] Grad Univ Adv Studies SOKENDAI, Tachikawa, Tokyo, Japan</t>
  </si>
  <si>
    <t>Hokkaido University; Hokkaido University; Hokkaido University; Hokkaido University; Research Organization of Information &amp; Systems (ROIS); National Institute of Polar Research (NIPR) - Japan; University of Tasmania; Japan Society for the Promotion of Science; Tokai University; Tokai University; Graduate University for Advanced Studies - Japan</t>
  </si>
  <si>
    <t>Nomura, D (corresponding author), Hokkaido Univ, Fac Fisheries Sci, Sapporo, Hokkaido, Japan.;Nomura, D (corresponding author), Hokkaido Univ, Field Sci Ctr Northern Biosphere, Sapporo, Hokkaido, Japan.;Nomura, D (corresponding author), Hokkaido Univ, Arctic Res Ctr, Sapporo, Hokkaido, Japan.</t>
  </si>
  <si>
    <t>daiki.nomura@fish.hokudai.ac.jp</t>
  </si>
  <si>
    <t>Wongpan, Pat/AAX-6946-2020; Toyota, Takenobu/D-9101-2012</t>
  </si>
  <si>
    <t>Wongpan, Pat/0000-0002-7113-8221; Tozawa, Manami/0000-0002-9278-2753; Ono, Kazuya/0000-0002-8282-5801; SIMIZU, Daisuke/0000-0003-4214-6756; Toyota, Takenobu/0000-0003-1264-1844</t>
  </si>
  <si>
    <t>Japan Society for the Promotion of Science [17H04715, 17H04710, 17H06317, 17H06322, 18F18794, 20H04345, 21H04931]; Science Program of the Japanese Antarctic Research Expedition (JARE) [AJ0902]; National Institute of Polar Research (NIPR) [KP-303, 28-14, 2-13]; Center for the Promotion of Integrated Sciences of SOKENDAI; Joint Research Program of the Institute of Low Temperature Science, Hokkaido University</t>
  </si>
  <si>
    <t>Japan Society for the Promotion of Science(Ministry of Education, Culture, Sports, Science and Technology, Japan (MEXT)Japan Society for the Promotion of Science); Science Program of the Japanese Antarctic Research Expedition (JARE); National Institute of Polar Research (NIPR)(National Institute of Polar Research (NIPR) - Japan); Center for the Promotion of Integrated Sciences of SOKENDAI; Joint Research Program of the Institute of Low Temperature Science, Hokkaido University</t>
  </si>
  <si>
    <t>We express our heartfelt thanks to the sea ice team, members of the JARE, the crew of the Japan Maritime Self-Defense Force icebreaker Shirase, and cruise members for their support in conducting field work. We thank Prof. K. Kawashima, K. Murakami, H. Nakajima, M. Kiuchi, T. Ishino, and T. P. Tamura for their support in the low temperature room, M. Hirabayashi for oxygen isotopic analyses, and A. Ooki for nutrient analyses. We benefitted greatly from advice and useful comments on the nutrient data offered by A. Ooki and T. Ishino. This work was supported by grants from the Japan Society for the Promotion of Science (Nos. 17H04715, 17H04710, 17H06317, 17H06322, 18F18794, 20H04345, 21H04931), the Science Program of the Japanese Antarctic Research Expedition (JARE) as Prioritized Research AJ0902 (ROBOTICA), the National Institute of Polar Research (NIPR) through Project Research KP-303 and General Collaboration Project Nos. 28-14, 2-13 and the grant for young scientist, the Center for the Promotion of Integrated Sciences of SOKENDAI, and the Joint Research Program of the Institute of Low Temperature Science, Hokkaido University.</t>
  </si>
  <si>
    <t>e2021JC018371</t>
  </si>
  <si>
    <t>10.1029/2021JC018371</t>
  </si>
  <si>
    <t>2Z0XZ</t>
  </si>
  <si>
    <t>WOS:000826311300001</t>
  </si>
  <si>
    <t>Jamson, KM; Moon, BC; Fraass, AJ</t>
  </si>
  <si>
    <t>Jamson, Katie M.; Moon, Benjamin C.; Fraass, Andrew J.</t>
  </si>
  <si>
    <t>Diversity dynamics of microfossils from the Cretaceous to the Neogene show mixed responses to events</t>
  </si>
  <si>
    <t>PALAEONTOLOGY</t>
  </si>
  <si>
    <t>microfossil; diversity dynamics; macroevolution; PyRate; Bayesian; selectivity</t>
  </si>
  <si>
    <t>OCEANIC ANOXIC EVENT; EOCENE THERMAL MAXIMUM; WESTERN NORTH-ATLANTIC; DEEP-WATER CIRCULATION; ANTARCTIC ICE-SHEET; MIDDLE EOCENE; PLANKTONIC-FORAMINIFERA; SOUTHERN-OCEAN; PALEOENVIRONMENTAL CHANGES; CHICXULUB IMPACT</t>
  </si>
  <si>
    <t>Microfossils have a ubiquitous and well-studied fossil record with temporally and spatially fluctuating diversity, but how this arises and how major events affect speciation and extinction is uncertain. We present one of the first applications of PyRate to a micropalaeontological global occurrence dataset, reconstructing diversification rates within a Bayesian framework from the Mesozoic to the Neogene in four microfossil groups: planktic foraminiferans, calcareous nannofossils, radiolarians and diatoms. Calcareous and siliceous groups demonstrate opposed but inconsistent responses in diversification. Radiolarian origination increases from c. 104 Ma, maintaining high rates into the Cenozoic. Calcareous microfossil diversification rates significantly declines across the Cretaceous-Palaeogene boundary, while rates in siliceous microfossil groups remain stable until the Paleocene-Eocene transition. Diversification rates in the Cenozoic are largely stable in calcareous groups, whereas the Palaeogene is a turbulent time for diatoms. Diversification fluctuations are driven by climate change and fluctuations in sea surface temperatures, leading to different responses in the groups generating calcareous or siliceous microfossils. Extinctions are apparently induced by changes in anoxia, acidification and stratification; speciation tends to be associated with upwelling, productivity and ocean circulation. These results invite further micropalaeontological quantitative analysis and study of the effects of major transitions in the fossil record. Despite extensive occurrence data, regional diversification events were not recovered; neither were some global events. These unexpected results show the need to consider multiple spatiotemporal levels of diversity and diversification analyses and imply that occurrence datasets of different clades may be more appropriate for testing some hypotheses than others.</t>
  </si>
  <si>
    <t>[Jamson, Katie M.; Moon, Benjamin C.; Fraass, Andrew J.] Univ Bristol, Sch Earth Sci, Palaeobiol Res Grp, Wills Mem Bldg,Queens Rd, Bristol BS8 1RJ, Avon, England; [Fraass, Andrew J.] Drexel Univ, Acad Nat Sci, 1900 Benjamin Franklin Pkwy, Philadelphia, PA 19103 USA; [Jamson, Katie M.; Fraass, Andrew J.] Univ Victoria, Sch Earth &amp; Ocean Sci, Bob Wright Ctr A405, Victoria, BC V8W 2Y2, Canada</t>
  </si>
  <si>
    <t>University of Bristol; Drexel University; University of Victoria</t>
  </si>
  <si>
    <t>Jamson, KM (corresponding author), Univ Bristol, Sch Earth Sci, Palaeobiol Res Grp, Wills Mem Bldg,Queens Rd, Bristol BS8 1RJ, Avon, England.;Jamson, KM (corresponding author), Univ Victoria, Sch Earth &amp; Ocean Sci, Bob Wright Ctr A405, Victoria, BC V8W 2Y2, Canada.</t>
  </si>
  <si>
    <t>katiejamson@uvic.ca; ben@bcmoon.uk; andyfraass@uvic.ca</t>
  </si>
  <si>
    <t>Moon, Benjamin/I-6718-2019</t>
  </si>
  <si>
    <t>Moon, Benjamin/0000-0002-0136-432X; Jamson, Katie/0000-0003-3849-191X</t>
  </si>
  <si>
    <t>NERC BETR grant [NE/P013724/1]; ERC [788203]; University of Bristol; Micropalaeontology group at the University of Bristol; European Research Council (ERC) [788203] Funding Source: European Research Council (ERC)</t>
  </si>
  <si>
    <t>NERC BETR grant(UK Research &amp; Innovation (UKRI)Natural Environment Research Council (NERC)); ERC(European Research Council (ERC)); University of Bristol; Micropalaeontology group at the University of Bristol; European Research Council (ERC)(European Research Council (ERC)Spanish Government)</t>
  </si>
  <si>
    <t>We would like to thank D. Schmidt and the entire Micropalaeontology group at the University of Bristol for their continued support, thought-provoking discussion, and useful feedback during the preparation of this manuscript. We thank D. Silvestro for answering our queries regarding PyRate and its functioning. Thank you to D. Lazarus and J. Renaudie for granting us access to NSB and pointing us in the direction of useful literature. We also extend our thanks to the shipboard scientists, drilling crews and technical staff for making this research possible. We thank the reviewers who took the time to critically read and review our manuscript; their comments and suggestions helped improve and refine this manuscript. BCM is funded by NERC BETR grant NE/P013724/1 and ERC grant 788203 (INNOVATION). AJF received funding from the University of Bristol Vice Chancellor's Fellowship.</t>
  </si>
  <si>
    <t>0031-0239</t>
  </si>
  <si>
    <t>1475-4983</t>
  </si>
  <si>
    <t>e12615</t>
  </si>
  <si>
    <t>10.1111/pala.12615</t>
  </si>
  <si>
    <t>2Y3XH</t>
  </si>
  <si>
    <t>WOS:000825833900001</t>
  </si>
  <si>
    <t>Choi, E; Lee, SJ; Jo, E; Kim, J; Parker, SJ; Kim, JH; Park, H</t>
  </si>
  <si>
    <t>Choi, Eunkyung; Lee, Seung Jae; Jo, Euna; Kim, Jinmu; Parker, Steven J.; Kim, Jeong-Hoon; Park, Hyun</t>
  </si>
  <si>
    <t>Genomic Survey and Microsatellite Marker Investigation of Patagonian Moray Cod (Muraenolepis orangiensis)</t>
  </si>
  <si>
    <t>Muraenolepis orangiensis; Patagonian moray cod; microsatellite; SSR; Illumina</t>
  </si>
  <si>
    <t>SOUTH GEORGIA; GADIFORMES</t>
  </si>
  <si>
    <t>Simple Summary Patagonian moray cod is known to inhabit the cold waters near Antarctica, and it belongs to the Muraenolepis genus. This genus has seven species, and five of them are recently reported. The Muraenolepis genus has similar morphological characters, and this is a limitation of taxonomical classification. In this study, a genome survey and microsatellite marker analysis were conducted to characterize the genome profile for classification. As a result, genomic data such as genome size and microsatellite motifs were obtained. The Muraenolepididae family of fishes, known as eel cods, inhabits continental slopes and shelves in the Southern Hemisphere. This family belongs to the Gadiformes order, which constitutes one of the most important commercial fish resources worldwide, but the classification of the fish species in this order is ambiguous because it is only based on the morphological and habitat characteristics of the fishes. Here, the genome of Patagonian moray cod was sequenced using the Illumina HiSeq platform, and screened for microsatellite motifs. The genome was predicted to be 748.97 Mb, with a heterozygosity rate of 0.768%, via K-mer analysis (K = 25). The genome assembly showed that the total size of scaffolds was 711.92 Mb and the N50 scaffold length was 1522 bp. Additionally, 4,447,517 microsatellite motifs were identified from the genome survey assembly, and the most abundant motif type was found to be AC/GT. In summary, these data may facilitate the identification of molecular markers in Patagonian moray cod, which would be a good basis for further whole-genome sequencing with long read sequencing technology and chromosome conformation capture technology, as well as population genetics.</t>
  </si>
  <si>
    <t>[Choi, Eunkyung; Lee, Seung Jae; Jo, Euna; Kim, Jinmu; Park, Hyun] Korea Univ, Coll Life Sci &amp; Biotechnol, Div Biotechnol, Seoul 02841, South Korea; [Jo, Euna; Kim, Jeong-Hoon] Korea Polar Res Inst KOPRI, Incheon 21990, South Korea; [Parker, Steven J.] Commiss Conservat Antarctic Marine Living Resourc, Hobart, Tas 7000, Australia</t>
  </si>
  <si>
    <t>amy_choi@korea.ac.kr; skullcap@korea.ac.kr; eunajo@koprise.kr; rlawlsan04@korea.ac.kr; steve.parker@ccamlr.org; jhkim94@kopri.re.kr; hpark@korea.ac.kr</t>
  </si>
  <si>
    <t>Lee, Seungjae/0000-0002-2404-3107; Kim, Jeong-Hoon/0000-0002-2397-2668; Kim, Jinmu/0000-0003-4045-7227; Jo, Euna/0000-0003-2666-6743; Choi, Eunkyung/0000-0003-4823-2532</t>
  </si>
  <si>
    <t>Ministry of Oceans and Fisheries, Korea [20170336, 20220547, PM21060, PM22060]; Korea University</t>
  </si>
  <si>
    <t>Ministry of Oceans and Fisheries, Korea; Korea University</t>
  </si>
  <si>
    <t>This study was supported by a grant from the project Ecosystem Structure and Function of Marine Protected Area (MPA) in Antarctica (PM21060) and Conservation Measure Impact on Ecosystem Change in the Ross Sea Region MPA (PM22060), funded by the Ministry of Oceans and Fisheries (20170336 and 20220547), Korea, and by a grant from Korea University.</t>
  </si>
  <si>
    <t>10.3390/ani12131608</t>
  </si>
  <si>
    <t>2Y1TT</t>
  </si>
  <si>
    <t>WOS:000825675300001</t>
  </si>
  <si>
    <t>Alvarado, R; Fuentes, A; Ortiz, J; Herrera, H; Arriagada, C</t>
  </si>
  <si>
    <t>Alvarado, Roxana; Fuentes, Alejandra; Ortiz, Javier; Herrera, Hector; Arriagada, Cesar</t>
  </si>
  <si>
    <t>Metal(loid)-resistant bacterial consortia with antimycotic properties increase tolerance of Chenopodium quinoa Wild. to metal(loid) stress</t>
  </si>
  <si>
    <t>RHIZOSPHERE</t>
  </si>
  <si>
    <t>Biocontrol; Bioremediation; Extremophiles; Plant growth-promoting bacteria; Rhizosphere</t>
  </si>
  <si>
    <t>GROWTH PROMOTING BACTERIA; ENVIRONMENT; FUNGI; SOIL</t>
  </si>
  <si>
    <t>Bacteria associated with plants colonizing extreme environments in Chile (Atacama and Antarctic Desert soils) provide a model to study plant growth-promoting mechanisms that can be useful to improve the growth of crops such as Chenopodium quinoa Wild. (Amaranthaceae) growing under severe environmental conditions. This study aimed to determine the tolerance of extremophile rhizobacteria to multiple metal(loid)s and evaluate the effects of formulated consortia in seed germination and growth-promotion of C. quinoa. In our work, five rhizobacteria were isolated and classified into the bacteria genera Streptomyces, Bacillus, and Pseudomonas. The five bacteria showed optimum growth at 26 degrees C, pH 6, and 1% NaCl. In addition, the isolated were resistant to arsenic, manganese, zinc, copper, chromium and showed plant growth-promoting traits, including indole acetic acid production, siderophores production, phosphate solubilization, ACC deaminase activity, and ammonia production. According to compatibility tests, three bacterial consortia were formulated: i) consortium A (Pseudomonas sp. and Bacillus sp. (T1B41)); ii) consortium B (Pseudomonas sp. and Bacillus sp. (B2B24)); and iii) consortium C (Streptomyces sp., Bacillus sp. (B2B24) and Bacillus sp. (T3B45)). In vitro antagonism against phytopathogenic fungi showed that Bacillus sp. (B2B24) and Bacillus sp. (T3B45) have a significant level of antagonism (up to 18.7 and 6.8%, respectively) and consortia were the most effective against B. cinerea (up to 100%). Consortia B and C significantly improved the germination rate (%) of C. quinoa seeds (86 +/- 3.3 and 77 +/- 1.7, respectively) and the number of leaves, wet stem weight, length stem length, wet root weight, and root diameter in the presence of metal(loid)s. Our results showed that rhizobacterial consortia based on extremophile microorganisms can enhance the growth of C. quinoa seedlings under metal(loid) stress, demonstrating beneficial characteristics that may be key in the early stages of development.</t>
  </si>
  <si>
    <t>[Alvarado, Roxana; Fuentes, Alejandra; Ortiz, Javier; Herrera, Hector; Arriagada, Cesar] Univ La Frontera, Fac Ciencias Agr &amp; Forestales, Dept Ciencias Forestales, Lab Biorremediac, Temuco 4811230, Chile; [Alvarado, Roxana] Univ La Frontera, Programa Doctorado Ciencias Recursos Nat, Temuco 4811230, Chile</t>
  </si>
  <si>
    <t>Universidad de La Frontera; Universidad de La Frontera</t>
  </si>
  <si>
    <t>Arriagada, C (corresponding author), Univ La Frontera, Fac Ciencias Agr &amp; Forestales, Dept Ciencias Forestales, Lab Biorremediac, Temuco 4811230, Chile.</t>
  </si>
  <si>
    <t>cesar.arriagada@ufrontera.cl</t>
  </si>
  <si>
    <t>herrera, hector/AAG-5080-2019</t>
  </si>
  <si>
    <t>herrera, hector/0000-0002-2862-4726; Alvarado Beltran, Maria Roxana/0000-0001-9811-4855; Arriagada, Cesar/0000-0002-8549-6302</t>
  </si>
  <si>
    <t>Fondo Nacional de Desarrollo Cientifico y Tecnologico of Chile [1211857]; [21190207]</t>
  </si>
  <si>
    <t>Fondo Nacional de Desarrollo Cientifico y Tecnologico of Chile;</t>
  </si>
  <si>
    <t>This study was supported by the Fondo Nacional de Desarrollo Cientifico y Tecnologico of Chile grant number 1211857 and Doctoral Fellowship 21190207.</t>
  </si>
  <si>
    <t>2452-2198</t>
  </si>
  <si>
    <t>RHIZOSPHERE-NETH</t>
  </si>
  <si>
    <t>Rhizosphere</t>
  </si>
  <si>
    <t>10.1016/j.rhisph.2022.100569</t>
  </si>
  <si>
    <t>Agronomy; Plant Sciences; Soil Science</t>
  </si>
  <si>
    <t>Agriculture; Plant Sciences</t>
  </si>
  <si>
    <t>2X3AO</t>
  </si>
  <si>
    <t>WOS:000825080600001</t>
  </si>
  <si>
    <t>Smith, AW; Forsyth, C; Rae, IJ; Garton, TM; Jackman, CM; Bakrania, M; Shore, RM; Richardson, GS; Beggan, CD; Heyns, MJ; Eastwood, JP; Thomson, AWP; Johnson, JM</t>
  </si>
  <si>
    <t>Smith, A. W.; Forsyth, C.; Rae, I. J.; Garton, T. M.; Jackman, C. M.; Bakrania, M.; Shore, R. M.; Richardson, G. S.; Beggan, C. D.; Heyns, M. J.; Eastwood, J. P.; Thomson, A. W. P.; Johnson, J. M.</t>
  </si>
  <si>
    <t>On the Considerations of Using Near Real Time Data for Space Weather Hazard Forecasting</t>
  </si>
  <si>
    <t>geomagnetically induced currents; forecasting; near real time; operational; research to operations</t>
  </si>
  <si>
    <t>GEOMAGNETICALLY INDUCED CURRENTS; GROUND MAGNETIC-FIELD; PREDICTION; MODEL; RECONSTRUCTION; IMPACT; VALIDATION; NETWORK; SYSTEM; STORM</t>
  </si>
  <si>
    <t>Space weather represents a severe threat to ground-based infrastructure, satellites and communications. Accurately forecasting when such threats are likely (e.g., when we may see large induced currents) will help to mitigate the societal and financial costs. In recent years computational models have been created that can forecast hazardous intervals, however they generally use post-processed science solar wind data from upstream of the Earth. In this work we investigate the quality and continuity of the data that are available in Near-Real-Time (NRT) from the Advanced Composition Explorer and Deep Space Climate Observatory (DSCOVR) spacecraft. In general, the data available in NRT corresponds well with post-processed data, however there are three main areas of concern: greater short-term variability in the NRT data, occasional anomalous values and frequent data gaps. Some space weather models are able to compensate for these issues if they are also present in the data used to fit (or train) the model, while others will require extra checks to be implemented in order to produce high quality forecasts. We find that the DSCOVR NRT data are generally more continuous, though they have been available for small fraction of a solar cycle and therefore DSCOVR has experienced a limited range of solar wind conditions. We find that short gaps are the most common, and are most frequently found in the plasma data. To maximize forecast availability we suggest the implementation of limited interpolation if possible, for example, for gaps of 5 min or less, which could increase the fraction of valid input data considerably.</t>
  </si>
  <si>
    <t>[Smith, A. W.; Forsyth, C.; Bakrania, M.] UCL, Mullard Space Sci Lab, Dorking, Surrey, England; [Rae, I. J.] Northumbria Univ, Dept Math Phys &amp; Elect Engn, Newcastle Upon Tyne, Tyne &amp; Wear, England; [Garton, T. M.; Jackman, C. M.] Dublin Inst Adv Studies, DIAS Dunsink Observ, Sch Cosm Phys, Dublin, Ireland; [Shore, R. M.] British Antarctic Survey, Cambridge, England; [Richardson, G. S.; Beggan, C. D.; Thomson, A. W. P.] British Geol Survey, Edinburgh, Midlothian, Scotland; [Heyns, M. J.; Eastwood, J. P.] Imperial Coll London, London, England; [Johnson, J. M.] Univ Colorado, Cooperat Inst Res Environm Sci, Boulder, CO USA; [Johnson, J. M.] NOAA, Space Weather Predict Ctr, Boulder, CO USA</t>
  </si>
  <si>
    <t>University of London; University College London; Northumbria University; Dublin Institute for Advanced Studies; UK Research &amp; Innovation (UKRI); Natural Environment Research Council (NERC); NERC British Antarctic Survey; UK Research &amp; Innovation (UKRI); Natural Environment Research Council (NERC); NERC British Geological Survey; Imperial College London; University of Colorado System; University of Colorado Boulder; National Oceanic Atmospheric Admin (NOAA) - USA</t>
  </si>
  <si>
    <t>Smith, Andy/AAT-7849-2020; Rae, Jonathan/D-8132-2013; Forsyth, Colin/E-4159-2010</t>
  </si>
  <si>
    <t>Smith, Andy/0000-0001-7321-4331; Rae, Jonathan/0000-0002-2637-4786; Heyns, Michael/0000-0003-4462-8791; Forsyth, Colin/0000-0002-0026-8395; Shore, Robert/0000-0002-8386-1425; Richardson, Gemma/0000-0002-9504-4457; Bakrania, Mayur/0000-0001-6225-9163</t>
  </si>
  <si>
    <t>NERC [NE/V002694/1, NE/P017150/1, NE/V003070/1, NE/N014480/1, NE/V002724/1]; Science Foundation Ireland [18/FRL/6199]; NERC [NE/N014480/1, NE/P017150/1] Funding Source: UKRI; SPF [NE/V002724/1, NE/V003070/1] Funding Source: UKRI; STFC [ST/V006320/1] Funding Source: UKRI</t>
  </si>
  <si>
    <t>NERC(UK Research &amp; Innovation (UKRI)Natural Environment Research Council (NERC)); Science Foundation Ireland(Science Foundation Ireland); NERC(UK Research &amp; Innovation (UKRI)Natural Environment Research Council (NERC)); SPF; STFC(UK Research &amp; Innovation (UKRI)Science &amp; Technology Facilities Council (STFC))</t>
  </si>
  <si>
    <t>We acknowledge and thank the ACE and DSCOVR teams for the solar wind data and NASA GSFC's Space Physics Data Facility's CDAWeb service for data availability. The authors would like to thank Howard Singer for helpful discussions and suggestions. A. W. Smith, C. Forsyth and I. J. Rae were supported by NERC grants NE/P017150/1 and NE/V002724/1. C. Forsyth was also supported by the NERC Independent Research Fellowship NE/N014480/1. J. P. Eastwood and M. J. Heyns were supported by NERC grant NE/V003070/1. C. M. Jackman was supported by the Science Foundation Ireland Grant 18/FRL/6199. A. W. P. Thomson, C. D. Beggan and G. S. Richardson are supported by NERC award NE/V002694/1 (SWIMMR Activities in Ground Effects, SAGE). The analysis in this paper was performed using python, including the TensorFlow (Abadi et al., 2015), pandas (McKinney, 2010), numpy (Van Der Walt et al., 2011), scikit-learn (Pedregosa et al., 2011), scipy (Virtanen et al., 2020) and matplotlib (Hunter, 2007) libraries.</t>
  </si>
  <si>
    <t>e2022SW003098</t>
  </si>
  <si>
    <t>10.1029/2022SW003098</t>
  </si>
  <si>
    <t>2X6YR</t>
  </si>
  <si>
    <t>WOS:000825347400001</t>
  </si>
  <si>
    <t>Bailey, I; Hemming, S; Reilly, BT; Rollinson, G; Williams, T; Weber, ME; Raymo, ME; Peck, VL; Ronge, TA; Brachfeld, S; O'Connell, S; Tauxe, L; Warnock, JP; Armbrecht, L; Cardillo, FG; Du, ZH; Fauth, G; Garcia, M; Glueder, A; Guitard, M; Gutjahr, M; Hernández-Almeida, I; Hoem, FS; Hwang, JH; Iizuka, M; Kato, Y; Kenlee, B; Martos, YM; Pérez, LF; Seki, O; Tripathi, S; Zheng, XF</t>
  </si>
  <si>
    <t>Bailey, Ian; Hemming, Sidney; Reilly, Brendan T.; Rollinson, Gavyn; Williams, Trevor; Weber, Michael E.; Raymo, Maureen E.; Peck, Victoria L.; Ronge, Thomas A.; Brachfeld, Stefanie; O'Connell, Suzanne; Tauxe, Lisa; Warnock, Jonathan P.; Armbrecht, Linda; Cardillo, Fabricio G.; Du, Zhiheng; Fauth, Gerson; Garcia, Marga; Glueder, Anna; Guitard, Michelle; Gutjahr, Marcus; Hernandez-Almeida, Ivan; Hoem, Frida S.; Hwang, Ji-Hwan; Iizuka, Mutsumi; Kato, Yuji; Kenlee, Bridget; Martos, Yasmina M.; Perez, Lara F.; Seki, Osamu; Tripathi, Shubham; Zheng, Xufeng</t>
  </si>
  <si>
    <t>Episodes of Early Pleistocene West Antarctic Ice Sheet Retreat Recorded by Iceberg Alley Sediments</t>
  </si>
  <si>
    <t>provenance; Ar-Ar; SEM; QEMSCAN; MicroCT; IODP; scotia sea; pirie basin; southern ocean; ice rafted debris; Antarctic Ice Sheet; West Antarctic Ice Sheet; ice-sheet retreat; deglaciation; IODP expedition 382; iceberg alley</t>
  </si>
  <si>
    <t>SEA-LEVEL RISE; MARINE-SEDIMENTS; SOUTHERN-OCEAN; CLIMATE VARIABILITY; EAST ANTARCTICA; 40AR/39AR AGES; RAFTED DEBRIS; MASS-LOSS; PLIOCENE; PROVENANCE</t>
  </si>
  <si>
    <t>Ice loss in the Southern Hemisphere has been greatest over the past 30 years in West Antarctica. The high sensitivity of this region to climate change has motivated geologists to examine marine sedimentary records for evidence of past episodes of West Antarctic Ice Sheet (WAIS) instability. Sediments accumulating in the Scotia Sea are useful to examine for this purpose because they receive iceberg-rafted debris (IBRD) sourced from the Pacific- and Atlantic-facing sectors of West Antarctica. Here we report on the sedimentology and provenance of the oldest of three cm-scale coarse-grained layers recovered from this sea at International Ocean Discovery Program Site U1538. These layers are preserved in opal-rich sediments deposited similar to 1.2 Ma during a relatively warm regional climate. Our microCT-based analysis of the layer's in-situ fabric confirms its ice-rafted origin. We further infer that it is the product of an intense but short-lived episode of IBRD deposition. Based on the petrography of its sand fraction and the Phanerozoic 40Ar/39Ar ages of hornblende and mica it contains, we conclude that the IBRD it contains was likely sourced from the Weddell Sea and/or Amundsen Sea embayment(s) of West Antarctica. We attribute the high concentrations of IBRD in these layers to dirty icebergs calved from the WAIS following its retreat inland from its modern grounding line. These layers also sit at the top of a similar to 366-m thick Pliocene and early Pleistocene sequence that is much more dropstone-rich than its overlying sediments. We speculate this fact may reflect that WAIS mass-balance was highly dynamic during the similar to 41-kyr (inter)glacial world.</t>
  </si>
  <si>
    <t>[Bailey, Ian; Rollinson, Gavyn] Univ Exeter, Camborne Sch Mines, Penryn Campus, Penryn, Cornwall, England; [Hemming, Sidney; Raymo, Maureen E.] Columbia Univ, Lamont Doherty Earth Observ, Palisades, NY USA; [Reilly, Brendan T.; Tauxe, Lisa] Univ Calif San Diego, Scripps Inst Oceanog, La Jolla, CA 92093 USA; [Williams, Trevor] Texas A&amp;M Univ, Int Ocean Discovery Program, College Stn, TX USA; [Weber, Michael E.] Univ Bonn, Inst Geosci, Dept Geochem &amp; Petrol, Bonn, Germany; [Peck, Victoria L.; Perez, Lara F.] British Antarctic Survey, Cambridge, England; [Ronge, Thomas A.] Helmholtz Zentrum Polar &amp; Meeresforsch, Alfred Wegener Inst, Bremerhaven, Germany; [Brachfeld, Stefanie] Montclair State Univ, Earth &amp; Environm Studies, Montclair, NJ USA; [O'Connell, Suzanne] Wesleyan Univ, Dept Earth &amp; Environm Sci, Middletown, CT USA; [Warnock, Jonathan P.] Indiana Univ Penn, Dept Geosci, Indiana, PA USA; [Armbrecht, Linda] Univ Tasmania, Inst Marine &amp; Antarctic Studies, Battery Point, Tas, Australia; [Cardillo, Fabricio G.] Minist Def, Serv Hidrog Naval, Dept Oceanog, Buenos Aires, DF, Argentina; [Du, Zhiheng] Northwest Inst Ecoenvironm &amp; Resources, State Key Lab Cryospher Sci, Lanzhou, Peoples R China; [Fauth, Gerson] Univ Vale Rio dos Sinos, Geol Program, Sao Leopoldo, Brazil; [Garcia, Marga] Andalusian Inst Earth Sci CSIC UGR, Granada, Spain; [Garcia, Marga] CSIC, Cadiz Oceanog Ctr IEO, Cadiz, Spain; [Glueder, Anna] Oregon State Univ, Coll Earth Ocean &amp; Atmospher Sci, Corvallis, OR 97331 USA; [Guitard, Michelle] Univ S Florida, Coll Marine Sci, St Petersburg, FL USA; [Gutjahr, Marcus] Univ Kiel, Helmholtz Ctr Ocean Res, GEOMAR, Kiel, Germany; [Hernandez-Almeida, Ivan] Swiss Fed Inst Technol, Dept Earth Sci, Zurich, Switzerland; [Hoem, Frida S.] Univ Utrecht, Dept Earth Sci Marine Palynol &amp; Paleoceang, Utrecht, Netherlands; [Hwang, Ji-Hwan] Korea Basic Sci Inst, Earth Environm Sci, Cheongju, Chungbuk, South Korea; [Iizuka, Mutsumi] Tokyo City Univ, Knowledge Engn, Tokyo, Japan; [Kato, Yuji] Univ Tsukuba, Fac Life &amp; Environm Sci, Tsukuba, Ibaraki, Japan; [Kenlee, Bridget] Univ Calif Riverside, Dept Earth Sci, Riverside, CA 92521 USA; [Martos, Yasmina M.] NASA, Goddard Space Flight Ctr, Planetary Magnetospheres Lab, Greenbelt, MD USA; [Martos, Yasmina M.] Univ Maryland, Dept Astron, College Pk, MD 20742 USA; [Perez, Lara F.] Aarhus Univ City, Geol Survey Denmark &amp; Greenland, Dept Marine Geol, Aarhus, Denmark; [Seki, Osamu] Hokkaido Univ, Inst Low Temp Sci, Sapporo, Hokkaido, Japan; [Tripathi, Shubham] Minist Earth Sci, Natl Ctr Polar &amp; Ocean Res, Marine Stable Isotope Lab, Vasco Da Gama, India; [Zheng, Xufeng] Chinese Acad Sci, South China Sea Inst Oceanol, Guangzhou, Peoples R China</t>
  </si>
  <si>
    <t>University of Exeter; Columbia University; University of California System; University of California San Diego; Scripps Institution of Oceanography; Texas A&amp;M University System; Texas A&amp;M University College Station; University of Bonn; UK Research &amp; Innovation (UKRI); Natural Environment Research Council (NERC); NERC British Antarctic Survey; Helmholtz Association; Alfred Wegener Institute, Helmholtz Centre for Polar &amp; Marine Research; Montclair State University; Wesleyan University; Pennsylvania State System of Higher Education (PASSHE); Indiana University of Pennsylvania; University of Tasmania; Servicio de Hidrografia Naval; Chinese Academy of Sciences; Universidade do Vale do Rio dos Sinos (Unisinos); Consejo Superior de Investigaciones Cientificas (CSIC); CSIC - Instituto Andaluz de Ciencias de la Tierra (IACT); Consejo Superior de Investigaciones Cientificas (CSIC); Oregon State University; State University System of Florida; University of South Florida; University of Kiel; Helmholtz Association; GEOMAR Helmholtz Center for Ocean Research Kiel; Swiss Federal Institutes of Technology Domain; ETH Zurich; Utrecht University; Korea Basic Science Institute (KBSI); Tokyo City University; University of Tsukuba; University of California System; University of California Riverside; National Aeronautics &amp; Space Administration (NASA); NASA Goddard Space Flight Center; University System of Maryland; University of Maryland College Park; Geological Survey Of Denmark &amp; Greenland; Hokkaido University; Ministry of Earth Sciences (MoES) - India; National Centre for Polar and Ocean Research (NCPOR); Chinese Academy of Sciences; South China Sea Institute of Oceanology, CAS</t>
  </si>
  <si>
    <t>Bailey, I (corresponding author), Univ Exeter, Camborne Sch Mines, Penryn Campus, Penryn, Cornwall, England.</t>
  </si>
  <si>
    <t>i.baileyexeter@gmail.com</t>
  </si>
  <si>
    <t>郑, 旭/JAO-2624-2023; Weber, Michael E/G-8707-2012; Gutjahr, Marcus/L-9158-2013; Garcia, Marga/L-7410-2014; ALMEIDA, IVAN HERNANDEZ/G-3134-2015; Armbrecht, Linda/GZB-0547-2022; Pérez, Lara F./H-3572-2015; Fauth, Gerson/AAE-3353-2021; Zheng, Xufeng/HPC-4252-2023; Williams, Trevor/L-7670-2014</t>
  </si>
  <si>
    <t>Gutjahr, Marcus/0000-0003-2556-2619; Garcia, Marga/0000-0003-2632-6132; ALMEIDA, IVAN HERNANDEZ/0000-0002-9329-8357; Pérez, Lara F./0000-0002-6229-4564; Warnock, Jonathan/0000-0002-0900-613X; Kato, Yuji/0000-0001-9420-487X; Weber, Michael E/0000-0003-2175-8980; Ronge, Thomas/0000-0003-2625-719X; Brachfeld, Stefanie/0000-0003-4612-2866; Reilly, Brendan/0000-0003-3666-4338</t>
  </si>
  <si>
    <t>US National Science Foundation; Major Research Instrumentation Program of NSF's Earth Science (EAR) directorate [1531316]; National Science Foundation (NSF) [OPP 2114763, 2114764, 2114769, 2114777, 2114786, 2114768]; US Science Support Program; Columbia University (NSF) [OCE 1450528]; Natural Environmental Research Council (NERC) (UK IODP Grant) [NE/T006609/1, NE/T013648/1]; European Union's Horizon 2020 research and innovation programme under the Marie Skodowska-Curie grant [792773]; Deutsche Forschungsgemeinschaft (DFG) [We2039/17-1]; NASA [80GSFC21M0002]; Australian and New Zealand International Ocean Discovery Program Consortium (ANZIC); Australian Research Council (ARC) Discovery Early Career Researcher (DECRA) Fellowship [DE210100929]; Spanish MINECO [CTM2017-89711-C2-1-P, CGL2015-74216-JIN]; SCAR Scientific Research Programme PAIS; NERC [NE/T013648/1, NE/T006609/1] Funding Source: UKRI; Directorate For Geosciences; Division Of Earth Sciences [1531316] Funding Source: National Science Foundation; Marie Curie Actions (MSCA) [792773] Funding Source: Marie Curie Actions (MSCA); Australian Research Council [DE210100929] Funding Source: Australian Research Council</t>
  </si>
  <si>
    <t>US National Science Foundation(National Science Foundation (NSF)); Major Research Instrumentation Program of NSF's Earth Science (EAR) directorate; National Science Foundation (NSF)(National Science Foundation (NSF)); US Science Support Program; Columbia University (NSF); Natural Environmental Research Council (NERC) (UK IODP Grant); European Union's Horizon 2020 research and innovation programme under the Marie Skodowska-Curie grant; Deutsche Forschungsgemeinschaft (DFG)(German Research Foundation (DFG)); NASA(National Aeronautics &amp; Space Administration (NASA)); Australian and New Zealand International Ocean Discovery Program Consortium (ANZIC); Australian Research Council (ARC) Discovery Early Career Researcher (DECRA) Fellowship(Australian Research Council); Spanish MINECO(Spanish Government); SCAR Scientific Research Programme PAIS; NERC(UK Research &amp; Innovation (UKRI)Natural Environment Research Council (NERC)); Directorate For Geosciences; Division Of Earth Sciences(National Science Foundation (NSF)NSF - Directorate for Geosciences (GEO)); Marie Curie Actions (MSCA)(Marie Curie Actions); Australian Research Council(Australian Research Council)</t>
  </si>
  <si>
    <t>This research used samples provided by International Ocean Discovery Program (IODP), which is sponsored by the US National Science Foundation and participating countries under management of Joint Oceanographic Institutions, Inc. We thank H. Kuhlmann and A. Wuelbers for help with sampling. This work was made possible by the use of the Oregon State University microCT facility (), a user facility developed with support from the Major Research Instrumentation Program of NSF's Earth Science (EAR) directorate under award #1531316. We also thank Dorthe Wildenschild and Douglas Meisenheimer for help with the collection and analysis of the microCT data. We thank the editor (Matthew Huber), Tim Naish and two other anonymous reviewers for constructive feedback that helped to improve the final version of this manuscript. I. Bailey, S. Hemming, B. T. Reilly, T. Williams, J. P. Warnock, S. O'Connell, S. Brachfeld and L. Tauxe acknowledge support from a National Science Foundation (NSF) award (OPP 2114763, 2114764, 2114769, 2114777, 2114786, 2114768). US participants on Expedition 382 acknowledge support from the US Science Support Program and Columbia University (NSF award OCE 1450528). I. Bailey and L. F. Perez. also thank the Natural Environmental Research Council (NERC) for financial support for their participation in IODP Exp. 382 and for I. Bailey's subsequent research on the materials examined for this study (UK IODP Grant NE/T006609/1 and NE/T013648/1, respectively). L. F. Perez also received funding from the European Union's Horizon 2020 research and innovation programme under the Marie Skodowska-Curie grant (agreement No. 792773). M. E. Weber received funding for this research from the Deutsche Forschungsgemeinschaft (DFG-Priority Programme 527, Grant We2039/17-1). Y. M. Martos acknowledges the support of NASA (award number 80GSFC21M0002). L. Armbrecht was supported by the Australian and New Zealand International Ocean Discovery Program Consortium (ANZIC), and an Australian Research Council (ARC) Discovery Early Career Researcher (DECRA) Fellowship (DE210100929). M. Garcia acknowledges the funding of projects CTM2017-89711-C2-1-P and CGL2015-74216-JIN by the Spanish MINECO and support from the SCAR Scientific Research Programme PAIS.</t>
  </si>
  <si>
    <t>e2022PA004433</t>
  </si>
  <si>
    <t>10.1029/2022PA004433</t>
  </si>
  <si>
    <t>2X7CG</t>
  </si>
  <si>
    <t>WOS:000825357000001</t>
  </si>
  <si>
    <t>Martín-Orti, R; Tostado-Marcos, C; Loureiro, JP; Molpeceres-Diego, I; Tendillo-Domínguez, E; Santos-Alvarez, I; Pérez-Lloret, P; González-Soriano, J</t>
  </si>
  <si>
    <t>Martin-Orti, Rosario; Tostado-Marcos, Carlos; Loureiro, Juan-Pablo; Molpeceres-Diego, Ignacio; Tendillo-Dominguez, Enrique; Santos-Alvarez, Inmaculada; Perez-Lloret, Pilar; Gonzalez-Soriano, Juncal</t>
  </si>
  <si>
    <t>The Digestive System of the Arctocephalus australis in Comparison to the Dog as a Land-Carnivore Model</t>
  </si>
  <si>
    <t>Arctocephalus australis; anatomy; digestive system; adaptations</t>
  </si>
  <si>
    <t>ANTARCTIC FUR SEALS; DIET; ZIMMERMAN; ANATOMY; GROSS; SIZE</t>
  </si>
  <si>
    <t>Simple Summary Marine mammals are warm-blooded vertebrates that behave in the same way as land mammals do but they spend most or all of their lives in the ocean. There is much previous research on whales, dolphins, or even different types of seals, including their behavior, health, anatomy or perception. Between all these fields, it is commonly accepted that anatomy is considered critical to understanding many physiological adaptations. For example, their ability to dive by holding their breath underwater for long periods of time. During this process they can postpone digestion for several hours. However, and contrary to what might be expected, our results show that being a carnivore seems to be the critical characteristic defining their digestive apparatus, the adaptations to the aquatic environment being less significant. Marine mammals play a critical ecological role as both predator and prey. They are divided into three groups that share similar adaptations to their aquatic life, but that have very different origins and life patterns: sirenians, pinnipeds, cetaceans. The species object of our interest is the South American fur seal or Arctocephalus australis, a carnivore classified within the group of pinnipeds. The objective of the present study was to evaluate whether the anatomical characteristics of the Arctocephalus australis' digestive system are similar to that of other land-carnivores or if, on the contrary, this species shows anatomical adaptations related to their life in the ocean. The study was carried out on 11 cadavers of the species Arctocephalus australis, made up of two adults and nine juveniles, by means of the anatomical dissection of their entire isolated digestive system. We demonstrate that, with several exceptions, the anatomical characteristics of the digestive system of the Arctocephalus australis are similar to those in other carnivores. Therefore, our data constitute an important contribution for clinical diagnostic and conservation purposes, for both veterinarians and biologists.</t>
  </si>
  <si>
    <t>[Martin-Orti, Rosario; Santos-Alvarez, Inmaculada; Perez-Lloret, Pilar; Gonzalez-Soriano, Juncal] Univ Complutense, Fac Vet, Dept Anat &amp; Embriol, Secc Dept Anat Embriol Vet, Ave Puerta Hierro S-N, Madrid 28040, Spain; [Tostado-Marcos, Carlos; Loureiro, Juan-Pablo; Molpeceres-Diego, Ignacio; Tendillo-Dominguez, Enrique] Fdn Mundo Marino, Av X 157,San Clemente Tuyu B7105, Buenos Aires, Argentina</t>
  </si>
  <si>
    <t>Complutense University of Madrid</t>
  </si>
  <si>
    <t>González-Soriano, J (corresponding author), Univ Complutense, Fac Vet, Dept Anat &amp; Embriol, Secc Dept Anat Embriol Vet, Ave Puerta Hierro S-N, Madrid 28040, Spain.</t>
  </si>
  <si>
    <t>rosamart@ucm.es; tostadomarcoscarlos@gmail.com; juanploureiro@gmail.com; ignamolp11@gmail.com; enriquetd95@gmail.com; inmasant@ucm.es; pilper01@ucm.es; juncalgs@vet.ucm.es</t>
  </si>
  <si>
    <t>GONZALEZ SORIANO, JUNCAL/HQZ-4549-2023; Molpeceres Diego, Ignacio/JFS-2316-2023</t>
  </si>
  <si>
    <t>Molpeceres Diego, Ignacio/0000-0002-3679-9331; Santos Alvarez, Inmaculada/0000-0002-2962-5974</t>
  </si>
  <si>
    <t>10.3390/ani12131634</t>
  </si>
  <si>
    <t>2V9ND</t>
  </si>
  <si>
    <t>WOS:000824162400001</t>
  </si>
  <si>
    <t>Ordóñez-León, EA; Martínez-Rodero, I; García-Martínez, T; López-Béjar, M; Yeste, M; Mercade, E; Mogas, T</t>
  </si>
  <si>
    <t>Alina Ordonez-Leon, Erika; Martinez-Rodero, Iris; Garcia-Martinez, Tania; Lopez-Bejar, Manel; Yeste, Marc; Mercade, Elena; Mogas, Teresa</t>
  </si>
  <si>
    <t>Exopolysaccharide ID1 Improves Post-Warming Outcomes after Vitrification of In Vitro-Produced Bovine Embryos</t>
  </si>
  <si>
    <t>cryopreservation; blastocyst; total cell number; inner cell mass; TUNEL; embryo development; gene expression regulation</t>
  </si>
  <si>
    <t>MATURE MOUSE OOCYTES; PROTEIN TYPE-III; IN-VITRO; ANTIFREEZE PROTEINS; HYPOTHERMIC STORAGE; SURVIVAL; BLASTOCYSTS; EXPRESSION; BACTERIUM; CULTURE</t>
  </si>
  <si>
    <t>This study aimed to assess the cryoprotectant role of exopolysaccharide (EPS) ID1, produced by Antarctic Pseudomonas sp., in the vitrification of in vitro-produced (IVP) bovine embryos. IVP day 7 (D7) and day 8 (D8) expanded blastocysts derived from cow or calf oocytes were vitrified without supplementation (EPS0) or supplemented with 10 mu g/mL (EPS10) or 100 mu g/mL (EPS100) EPS ID1. The effect of EPS ID1 was assessed in post-warming re-expansion and hatching rates, differential cell count, apoptosis rate, and gene expression. EPS100 re-expansion rates were significantly higher than those observed for the EPS0 and EPS10 treatments, regardless of culture length or oocyte source. EPS100 hatching rate was similar to the one of the fresh blastocysts except for those D7 blastocysts derived from calf oocytes. No differences were observed among EPS ID1 treatments when the inner cell mass, trophectoderm, and total cell number were assessed. Although apoptosis rates were higher (p &lt;= 0.05) in vitrified groups compared to fresh embryos, EPS100 blastocysts had a lower number (p &lt;= 0.05) of apoptotic nuclei than the EPS0 or EPS10 groups. No differences in the expression of BCL2, AQP3, CX43, and SOD1 genes between treatments were observed. Vitrification without EPS ID1 supplementation produced blastocysts with significantly higher BAX gene expression, whereas treatment with 100 mu g/mL EPS ID1 returned BAX levels to those observed in non-vitrified blastocysts. Our results suggest that 100 mu g/mL EPS ID1 added to the vitrification media is beneficial for embryo cryopreservation because it results in higher re-expansion and hatching ability and it positively modulates apoptosis.</t>
  </si>
  <si>
    <t>[Alina Ordonez-Leon, Erika; Martinez-Rodero, Iris; Garcia-Martinez, Tania; Mogas, Teresa] Autonomous Univ Barcelona, Dept Anim Med &amp; Surg, ES-08193 Barcelona, Spain; [Alina Ordonez-Leon, Erika] Brasuca In Vitro, MX-86040 Villahermosa, Tabasco, Mexico; [Lopez-Bejar, Manel] Autonomous Univ Barcelona, Dept Anim Hlth &amp; Anat, ES-08193 Barcelona, Spain; [Yeste, Marc] Univ Girona, Inst Food &amp; Agr Technol, Dept Biol, ES-17004 Girona, Spain; [Mercade, Elena] Univ Barcelona, Dept Biol Hlth &amp; Environm, ES-08007 Barcelona, Spain</t>
  </si>
  <si>
    <t>Autonomous University of Barcelona; Autonomous University of Barcelona; Universitat de Girona; University of Barcelona</t>
  </si>
  <si>
    <t>Mogas, T (corresponding author), Autonomous Univ Barcelona, Dept Anim Med &amp; Surg, ES-08193 Barcelona, Spain.</t>
  </si>
  <si>
    <t>alina.mvzalina@gmail.com; iris.martinez@outlook.com; taniagarciamartinez@gmail.com; manel.lopez.bejar@uab.cat; marc.yeste@udg.edu; mmercade@ub.edu; teresa.mogas@uab.cat</t>
  </si>
  <si>
    <t>Martínez Rodero, Iris/JFJ-5447-2023; Mercade, Elena/L-5218-2014; Lopez-Bejar, Manel/E-8200-2012; Yeste, Marc/G-5945-2012; Mogas, Teresa/M-3746-2015</t>
  </si>
  <si>
    <t>Martinez-Rodero, Iris/0000-0001-7057-2045; Garcia Martinez, Tania/0000-0002-3428-3075; Mercade, Elena/0000-0001-7828-2210; Lopez-Bejar, Manel/0000-0001-9490-6126; Yeste, Marc/0000-0002-2209-340X; Mogas, Teresa/0000-0002-6733-1328</t>
  </si>
  <si>
    <t>Spanish Ministry of Science and Innovation [PID2020-116531RB-I00]; Generalitat de Catalunya [2017 SGR 1229]; Mexican National Conseil for Science and Technology [CONACYT-45193]; Spanish Ministry of Science, Innovation [BES-2017-081962]</t>
  </si>
  <si>
    <t>Spanish Ministry of Science and Innovation(Spanish Government); Generalitat de Catalunya(Generalitat de Catalunya); Mexican National Conseil for Science and Technology; Spanish Ministry of Science, Innovation(Spanish Government)</t>
  </si>
  <si>
    <t>This study was supported by the Spanish Ministry of Science and Innovation (Project PID2020-116531RB-I00) and Generalitat de Catalunya (Project No. 2017 SGR 1229). Alina OrdonezLeon was awarded a post-doctoral scholarship from the Mexican National Conseil for Science and Technology (CONACYT-45193). Iris Martinez-Rodero was awarded a scholarship from the Spanish Ministry of Science, Innovation, and Universities (BES-2017-081962).</t>
  </si>
  <si>
    <t>10.3390/ijms23137069</t>
  </si>
  <si>
    <t>2W1MQ</t>
  </si>
  <si>
    <t>WOS:000824297100001</t>
  </si>
  <si>
    <t>Han, C; Burn, LJ; Vallelonga, P; Do Hur, S; Boutron, CF; Han, Y; Lee, S; Lee, A; Hong, S</t>
  </si>
  <si>
    <t>Han, Changhee; Burn, Laurie J.; Vallelonga, Paul; Do Hur, Soon; Boutron, Claude F.; Han, Yeongcheol; Lee, Sanghee; Lee, Ahhyung; Hong, Sungmin</t>
  </si>
  <si>
    <t>Lead Isotopic Constraints on the Provenance of Antarctic Dust and Atmospheric Circulation Patterns Prior to the Mid-Brunhes Event (∼430 kyr ago)</t>
  </si>
  <si>
    <t>lead isotopes; EPICA Dome C ice core; Mid-Brunhes Event; dust and volcanic sources; isotope mixing model; southern westerly winds</t>
  </si>
  <si>
    <t>SEA-SURFACE TEMPERATURE; C ICE-CORE; DOME-C; EAST ANTARCTICA; SOUTHERN-HEMISPHERE; VOLCANIC-ROCKS; MANTLE SOURCES; TRACE-ELEMENT; MOUNT EREBUS; INDIAN-OCEAN</t>
  </si>
  <si>
    <t>A lead (Pb) isotopic record, covering the two oldest glacial-interglacial cycles (similar to 572 to 801 kyr ago) characterized by lukewarm interglacials in the European Project for Ice Coring in Antarctica Dome C ice core, provides evidence for dust provenance in central East Antarctic ice prior to the Mid-Brunhes Event (MBE), similar to 430 kyr ago. Combined with published post-MBE data, distinct isotopic compositions, coupled with isotope mixing model results, suggest Patagonia/Tierra del Fuego (TdF) as the most important sources of dust during both pre-MBE and post-MBE cold and intermediate glacial periods. During interglacials, central-western Argentina emerges as a major contributor, resulting from reduced dust supply from Patagonia/TdF after the MBE, contrasting to the persistent dominance of dust from Patagonia/TdF before the MBE. The data also show a small fraction of volcanic Pb transferred from extra-Antarctic volcanoes during post-MBE interglacials, as opposed to abundant transfer prior to the MBE. These differences are most likely attributed to the enhanced wet removal efficiency with the hydrological cycle intensified over the Southern Ocean, associated with a poleward shift of the southern westerly winds (SWW) during warmer post-MBE interglacials, and vice versa during cooler pre-MBE ones. Our results highlight sensitive responses of the SWW and the associated atmospheric conditions to stepwise Antarctic warming.</t>
  </si>
  <si>
    <t>[Han, Changhee; Lee, Sanghee; Lee, Ahhyung; Hong, Sungmin] Inha Univ, Dept Ocean Sci, 100 Inha Ro, Incheon 22212, South Korea; [Han, Changhee; Do Hur, Soon; Han, Yeongcheol] Korea Polar Res Inst, Div Glacial Environm Res, 26 Songdomirae Ro, Incheon 21990, South Korea; [Burn, Laurie J.; Vallelonga, Paul] Curtin Univ Technol, Dept Imaging &amp; Appl Phys, GPO Box U1987, Perth, WA 6845, Australia; [Vallelonga, Paul] Univ Western Australia, Oceans Grad Sch, Crawley, WA 6009, Australia; [Vallelonga, Paul] Univ Western Australia, UWA Oceans Inst, Crawley, WA 6009, Australia; [Boutron, Claude F.] Univ Grenoble Alpes, Inst Geosci Environm, CNRS, 54 Rue Moliere, F-38400 St Martin Dheres, France; [Lee, Sanghee] Korea Polar Res Inst, Res Unit Frontier Explorat, 26 Songdomirae Ro, Incheon 21990, South Korea</t>
  </si>
  <si>
    <t>Inha University; Korea Polar Research Institute (KOPRI); Curtin University; University of Western Australia; University of Western Australia; Communaute Universite Grenoble Alpes; Universite Grenoble Alpes (UGA); Centre National de la Recherche Scientifique (CNRS); Korea Polar Research Institute (KOPRI)</t>
  </si>
  <si>
    <t>Hong, S (corresponding author), Inha Univ, Dept Ocean Sci, 100 Inha Ro, Incheon 22212, South Korea.</t>
  </si>
  <si>
    <t>hch@inha.ac.kr; lburn81@outlook.com; paul.vallelonga@uwa.edu.au; sdhur@kopri.re.kr; claudeboutron@orange.fr; yhan@kopri.re.kr; sanghee@koprise.kr; leeahyung@inha.edu; smhong@inha.ac.kr</t>
  </si>
  <si>
    <t>Han, Changhee/0000-0003-0282-0400; Han, Yeongcheol/0000-0002-1729-7870</t>
  </si>
  <si>
    <t>Korea Polar Research Institute [PE20190]; Basic Science Research Program through the National Research Foundation of Korea (NRF) - Ministry of Education, Science and Technology [NRF-2018R1A2B2006489]; Villum Investigator Project IceFlow [NR.16572]</t>
  </si>
  <si>
    <t>Korea Polar Research Institute(Korea Polar Research Institute of Marine Research Placement (KOPRI)); Basic Science Research Program through the National Research Foundation of Korea (NRF) - Ministry of Education, Science and Technology(National Research Foundation of Korea); Villum Investigator Project IceFlow</t>
  </si>
  <si>
    <t>This work was supported by research grants from the Korea Polar Research Institute (PE20190) and the Basic Science Research Program through the National Research Foundation of Korea (NRF) funded by the Ministry of Education, Science and Technology (NRF-2018R1A2B2006489). This work was also supported by the Villum Investigator Project IceFlow (NR.16572).</t>
  </si>
  <si>
    <t>10.3390/molecules27134208</t>
  </si>
  <si>
    <t>2V9LK</t>
  </si>
  <si>
    <t>WOS:000824157900001</t>
  </si>
  <si>
    <t>Huot, M; Dalgleish, F; Rehm, E; Piché, M; Archambault, P</t>
  </si>
  <si>
    <t>Huot, Matthieu; Dalgleish, Fraser; Rehm, Eric; Piche, Michel; Archambault, Philippe</t>
  </si>
  <si>
    <t>Underwater Multispectral Laser Serial Imager for Spectral Differentiation of Macroalgal and Coral Substrates</t>
  </si>
  <si>
    <t>multispectral; laser; imaging; fluorescence; automated; discrimination; macroalgae; coral</t>
  </si>
  <si>
    <t>FLUORESCENCE; EMISSION; COAST</t>
  </si>
  <si>
    <t>The advancement of innovative underwater remote sensing detection and imaging methods, such as continuous wave laser line scan or pulsed laser (i.e., LiDAR-Light Detection and Ranging) imaging approaches can provide novel solutions for studying biological substrates and manmade objects/surfaces often encountered in underwater coastal environments. Such instruments can be used shipboard or coupled with proven and available deployment platforms as AUVs (Autonomous Underwater Vehicles). With the right planning, large areas can be surveyed, and more extreme and difficult-to-reach environments can be studied. A prime example, and representing a certain navigational challenge, is the under ice in the Arctic/Antarctic or winter/polar environments or deep underwater survey. Among many marine biological substrates, numerous species of macroalgae can be found worldwide in shallow down to 70+ m (clear water) coastal habitats and are essential ecosystem service providers through the habitat they provide for other species, the potential food resource value, and carbon sink they represent. Similarly, corals also provide important ecosystem services through their structure and diversity, are found to harbor increased local diversity, and are equally valid targets as keystone species. Hence, we expand current underwater remote sensing methods to combine macroalgal and coral surveys via the development of a multispectral laser serial imager designed for classification via spectral response. By using multiple continuous wave laser wavelength sources to scan and illuminate recreated benthic environments composed of macroalgae and coral, we show how elastic (i.e., reflectance) and inelastic (i.e., fluorescence) spectral responses can potentially be used to differentiate algal color groups and certain coral genus. Experimentally, three laser diodes (450 nm, 490 nm, 520 nm) are sequentially used in conjunction with up to 5 emission filters (450 nm, 490 nm, 520 nm, 580 nm, 685 nm) to acquire images generated by laser line scan pattern via high-speed galvanometric mirrors. Placed directly adjacent to a large saltwater imaging tank fitted with optical viewports, the optical system records target substrate spectral response using a photomultiplier preceded by a filter and is synchronously digitized to the scan rate by a high sample rate Analog-to-Digital Converter (ADC). Acquired images are normalized to correct for imager optical effects allowing for fluorescence intensity-based pixel segmentation via intensity thresholding. Overall, the multispectral laser serial imaging technique shows that the resulting high resolution data can be used for detection and classification of benthic substrates by their spectral response. These methods highlight a path towards eventual pixel-wise spectral response analysis for spectral differentiation.</t>
  </si>
  <si>
    <t>[Huot, Matthieu; Archambault, Philippe] Univ Laval, Dept Biol, Quebec Ocean, Takuvik, Quebec City, PQ G1V 0A6, Canada; [Dalgleish, Fraser] BeamSea Associates, Loxahatchee, FL 33470 USA; [Rehm, Eric] Sea Bird Sci, Bellevue, WA 98005 USA; [Piche, Michel] Univ Laval, Dept Phys Genie Phys &amp; Opt, Quebec City, PQ G1V 0A6, Canada</t>
  </si>
  <si>
    <t>Laval University; Laval University</t>
  </si>
  <si>
    <t>Huot, M (corresponding author), Univ Laval, Dept Biol, Quebec Ocean, Takuvik, Quebec City, PQ G1V 0A6, Canada.</t>
  </si>
  <si>
    <t>matthieu.huot.1@ulaval.ca; fdalgleish@beam-sea.com; eric.rehm@gmail.com; michel.piche@phy.ulaval.ca; philippe.archambault@bio.ulaval.ca</t>
  </si>
  <si>
    <t>Huot, Matthieu/GZH-0792-2022</t>
  </si>
  <si>
    <t>Huot, Matthieu/0000-0002-7750-5715; Archambault, Philippe/0000-0001-5986-6149; Dalgleish, Fraser/0000-0003-1220-4935</t>
  </si>
  <si>
    <t>Sentinel North; Link Foundation; Arcticnet</t>
  </si>
  <si>
    <t>This research was in part funded by Sentinel North to P.A. and M.P. and the Link Foundation, the latter providing a major portion of funding for the Harbor Branch Oceanographic Institute Summer Intern Program for which some aspects of this work were made possible. PhD Scholarship to M.H. was paid by Sentinel North and partly by Arcticnet.</t>
  </si>
  <si>
    <t>10.3390/rs14133105</t>
  </si>
  <si>
    <t>2V7FW</t>
  </si>
  <si>
    <t>WOS:000824008200001</t>
  </si>
  <si>
    <t>Mikesell, TD; Mordret, A; Xu, ZB; Frank, WB</t>
  </si>
  <si>
    <t>Mikesell, Thomas Dylan; Mordret, Aurelien; Xu, Zongbo; Frank, William B.</t>
  </si>
  <si>
    <t>Crustal Structure across the West Antarctic Rift System from Multicomponent Ambient Noise Surface Wave Tomography</t>
  </si>
  <si>
    <t>SEISMOLOGICAL RESEARCH LETTERS</t>
  </si>
  <si>
    <t>MARIE-BYRD-LAND; UPPER-MANTLE STRUCTURE; EAST-AFRICAN RIFT; TRANSANTARCTIC MOUNTAINS; SEISMIC VELOCITY; RAYLEIGH-WAVE; ROSS SEA; BENEATH; MODEL; BASIN</t>
  </si>
  <si>
    <t>Approximately 2 yr (2010???2011) of continuous seismic records from a subset of the Antarctic component of the Polar Earth Observing Network (POLENET-ANET) seismic network deployed in West Antarctica are used to compute the nine components of the correlation tensor between each pair of stations in the network. Rayleigh wave velocity information from the vertical and radial components was extracted in the form of group and phase velocity dispersion curves, whereas the transverse component provided complimentary Love wave velocity information. The multicomponent Rayleigh wave measurements (ZZ, RR, ZR, and RZ) were averaged and used to infer the measurement uncertainties. The Rayleigh and Love wave group and phase velocities were then regionalized in space using a 2D deterministic tomography. A transect that spans the West Antarctic rift system was extracted from the tomography at individual periods between 7 and 60 s for the four types of surface wave velocities (i.e., Rayleigh and Love phase and group velocities). A transdimensional Bayesian joint inversion algorithm was used to invert these four datasets for a 1D model of isotropic shear-wave velocity versus depth at each point along the transect. In this way, surface wave dispersion curves from multicomponent noise correlations were used to build a 2D isotropic shear-wave velocity model down to -55 km depth. In this model, the top of the large low-velocity zone beneath Marie Byrd Land was imaged (up to a 5% decrease in velocity at -50 km depth), which provides further evidence for a mantle hot spot beneath the crust that supports the high topography in this region. We also observed a large velocity contrast in the lower crust beneath Marie Byrd Land at a depth where previous long-period seismicity has been observed. This strong contrast occurs more shallow than in previous crustal models, which compared to our model identify a deeper Moho ( -5???10 km deeper) beneath Marie Byrd Land. This new model has implications for interpreting earthquake locations in this region and perhaps necessitates that we revisit past hypocenter estimation studies using updated velocity models for the region.</t>
  </si>
  <si>
    <t>[Mikesell, Thomas Dylan; Xu, Zongbo] Boise State Univ, Environm Seismol Lab, Dept Geosci, Boise, ID 83725 USA; [Mikesell, Thomas Dylan] Norwegian Geotech Inst, Oslo, Norway; [Mordret, Aurelien; Frank, William B.] MIT, Dept Earth Atmospher &amp; Planetary Sci, Cambridge, MA USA; [Mordret, Aurelien] Univ Grenoble Alpes, Univ Savoie Mt Blanc, CNRS, IRD,UGE,ISTerre, Grenoble, France; [Xu, Zongbo] Univ Paris Cite, Inst Phys Globe Paris, CNRS, Paris, France</t>
  </si>
  <si>
    <t>Idaho; Boise State University; Norwegian Geotechnical Institute, NGI; Massachusetts Institute of Technology (MIT); Communaute Universite Grenoble Alpes; Universite Grenoble Alpes (UGA); Centre National de la Recherche Scientifique (CNRS); Institut de Recherche pour le Developpement (IRD); Universite Gustave-Eiffel; Universite Savoie Mont Blanc; Centre National de la Recherche Scientifique (CNRS); Universite Paris Cite</t>
  </si>
  <si>
    <t>Mikesell, TD (corresponding author), Boise State Univ, Environm Seismol Lab, Dept Geosci, Boise, ID 83725 USA.;Mikesell, TD (corresponding author), Norwegian Geotech Inst, Oslo, Norway.</t>
  </si>
  <si>
    <t>dylan.mikesell@ngi.no</t>
  </si>
  <si>
    <t>Mikesell, Thomas/GZG-3386-2022; Mordret, Aurelien/HGB-2775-2022; Xu, Zongbo/AFV-1499-2022; Frank, William/C-7249-2016</t>
  </si>
  <si>
    <t>Mikesell, Thomas/0000-0001-9900-9846; Mordret, Aurelien/0000-0002-7998-5417; Xu, Zongbo/0000-0002-5670-6761; Frank, William/0000-0001-7892-3081</t>
  </si>
  <si>
    <t>National Science Foundation [PLR-1643761]</t>
  </si>
  <si>
    <t>This research is supported by the National Science Foundation under Grant Number PLR-1643761. The authors are grateful for the constructive reviews of an anonymous reviewer, Julien Chaput, and Guest Editor Myrto Pirli; their comments helped to improve the quality and clarity of this study.</t>
  </si>
  <si>
    <t>SEISMOLOGICAL SOC AMER</t>
  </si>
  <si>
    <t>ALBANY</t>
  </si>
  <si>
    <t>400 EVELYN AVE, SUITE 201, ALBANY, CA 94706-1375 USA</t>
  </si>
  <si>
    <t>0895-0695</t>
  </si>
  <si>
    <t>1938-2057</t>
  </si>
  <si>
    <t>SEISMOL RES LETT</t>
  </si>
  <si>
    <t>Seismol. Res. Lett.</t>
  </si>
  <si>
    <t>10.1785/0220210026</t>
  </si>
  <si>
    <t>2U9VG</t>
  </si>
  <si>
    <t>WOS:000823501000001</t>
  </si>
  <si>
    <t>Kelson, JR; Petersen, SV; Niemi, NA; Passey, BH; Curley, AN</t>
  </si>
  <si>
    <t>Kelson, Julia R.; Petersen, Sierra, V; Niemi, Nathan A.; Passey, Benjamin H.; Curley, Allison N.</t>
  </si>
  <si>
    <t>Looking upstream with clumped and triple oxygen isotopes of estuarine oyster shells in the early Eocene of California, USA</t>
  </si>
  <si>
    <t>SOUTHERN SIERRA-NEVADA; PALEOTOPOGRAPHY</t>
  </si>
  <si>
    <t>The 618O of carbonate minerals that formed at Earth's surface is widely used to investigate paleoclimates and paleo-elevations. However, a multitude of hydrologic processes can affect 618O values, including mixing, evaporation, distillation of parent waters, and carbonate growth temperatures. We combined traditional carbon and oxygen isotope analyses with clumped (Delta 47) and triple oxygen isotopes (Delta ' 17O) analyses in oyster shells (Acutostrea idriaensis) of the Goler Formation in southern California (USA) to obtain insights into surface temperatures and delta 18O values of meteoric waters during the early Eocene hothouse climate. The Delta 47-derived temperatures ranged from 9 degrees C to 20 degrees C. We found a correlation between the 618O of growth water (delta 18Ogw) (calculated using Delta 47 temperatures and 618O of carbonate) and the 613C values of shells. The Delta ' 17O values of shell growth waters (0.006%0-0.013%0 relative to Vienna standard mean ocean water-standard light Antarctic precipitation [VSMOW-SLAP]) calculated from Delta ' 17O of carbonate (-0.087%0 to -0.078%0 VSMOW-SLAP) were lower than typical meteoric waters. These isotopic compositions are consistent with oyster habitation in an estuary. We present a new triple oxygen isotope mixing model to estimate the 618O value of freshwater supplying the estuary (618Ofw). The reconstructed 618Ofw of -11.3%0 to -14.7%0 (VSMOW) is significantly lower than the delta 18Ogw of -4.4%0 to -9.9%0 that would have been calculated using only Delta 47 and 618O values of carbonate. This 618Ofw estimate supports paleogeographic reconstructions of a Paleogene river fed by high-elevation catchments of the paleo-southern Sierra Nevada. Our study highlights the potential for paired Delta 47 and Delta ' 17O analyses to improve reconstructions of meteoric water 618O, with implications for understanding ancient climates and elevations.</t>
  </si>
  <si>
    <t>[Kelson, Julia R.; Petersen, Sierra, V; Niemi, Nathan A.; Passey, Benjamin H.; Curley, Allison N.] Univ Michigan, Dept Earth &amp; Environm Sci, 1100 North Univ Ave, Ann Arbor, MI 48109 USA</t>
  </si>
  <si>
    <t>University of Michigan System; University of Michigan</t>
  </si>
  <si>
    <t>Kelson, JR (corresponding author), Univ Michigan, Dept Earth &amp; Environm Sci, 1100 North Univ Ave, Ann Arbor, MI 48109 USA.</t>
  </si>
  <si>
    <t>Passey, Benjamin H/F-9644-2010</t>
  </si>
  <si>
    <t>Kelson, Julia/0000-0002-0588-5018; Curley, Allison/0000-0002-5885-4733; Petersen, Sierra/0000-0002-4498-9776; Niemi, Nathan Alan/0000-0002-3380-3024</t>
  </si>
  <si>
    <t>U.S. National Science Foundation [EAR-PF 1854873, OCE-PF 1420902]</t>
  </si>
  <si>
    <t>Oyster shells from the Goler Formation were provided by D. Lofgren from collections at the Raymond Alf Museum. R. Mulcrone assisted in collecting modern mollusk shells. T. Huth, D. Yarian, K. Lohmann, and L. Wingate assisted with analyses. Funding came from U.S. National Science Foundation grant EAR-PF 1854873 to J.R. Kelson and grant OCE-PF 1420902 to S.V. Petersen.</t>
  </si>
  <si>
    <t>10.1130/G49634.1</t>
  </si>
  <si>
    <t>2T5HU</t>
  </si>
  <si>
    <t>WOS:000822506400001</t>
  </si>
  <si>
    <t>Lai, YH; Yang, J</t>
  </si>
  <si>
    <t>Lai, Yanhong; Yang, Jun</t>
  </si>
  <si>
    <t>Thermocline Depth on Water-rich Exoplanets</t>
  </si>
  <si>
    <t>OCEAN CIRCULATION; PLANETS; TEMPERATURE; SENSITIVITY; WIND</t>
  </si>
  <si>
    <t>Water-rich exoplanets are a type of terrestrial planet that is water-rich and whose ocean depth can reach tens to hundreds of kilometers with no exposed continents. Due to the lack of exposed continents, neither western boundary current nor coastal upwelling exists, and ocean overturning circulation becomes the most important way to return the nutrients deposited in the deep ocean back to the thermocline and to the surface ocean. Here we investigate the depth of the thermocline in both wind-dominated and mixing-dominated systems on water-rich exoplanets using the global ocean model MITgcm. We find that the wind-driven circulation is dominated by overturning cells through Ekman pumping and subduction and by zonal (west-east) circum-longitudinal currents, similar to the Antarctic Circumpolar Current on Earth. The wind-influenced thermocline depth shows little dependence on the ocean depth, and under a large range of parameters, the thermocline is restricted within the upper layers of the ocean. The mixing-influenced thermocline is limited within the upper 10 km of the ocean and cannot reach the bottom of the ocean even under extremely strong vertical mixing. The scaling theories for the thermocline depth on Earth are applicable for the thermocline depth on water-rich exoplanets. However, due to the lack of exposed continents, the zonal and meridional flow speeds are not in the same magnitude as that in the oceans of Earth, which results in scaling relationships for water-rich exoplanets being a little different from that used on Earth.</t>
  </si>
  <si>
    <t>[Lai, Yanhong; Yang, Jun] Peking Univ, Sch Phys, Dept Atmospher &amp; Ocean Sci, Lab Climate &amp; Ocean Atmosphere Studies, Beijing 100871, Peoples R China</t>
  </si>
  <si>
    <t>Peking University</t>
  </si>
  <si>
    <t>Yang, J (corresponding author), Peking Univ, Sch Phys, Dept Atmospher &amp; Ocean Sci, Lab Climate &amp; Ocean Atmosphere Studies, Beijing 100871, Peoples R China.</t>
  </si>
  <si>
    <t>junyang@pcku.edu.cn</t>
  </si>
  <si>
    <t>Yang, Jun/AAI-6219-2021</t>
  </si>
  <si>
    <t>Yang, Jun/0000-0001-6031-2485</t>
  </si>
  <si>
    <t>National Natural Science Foundation of China (NSFC) [42161144011, 42075046]</t>
  </si>
  <si>
    <t>We are grateful to Yonggang Liu, Yongyun Hu, Xiaozhou Ruan, and Ru Chen for their helpful discussions. J.Y. is supported by the National Natural Science Foundation of China (NSFC) under grants 42161144011 and 42075046.</t>
  </si>
  <si>
    <t>10.3847/1538-4357/ac7221</t>
  </si>
  <si>
    <t>2U1IK</t>
  </si>
  <si>
    <t>WOS:000822916400001</t>
  </si>
  <si>
    <t>Freitas, FS; Arndt, S; Hendry, KR; Faust, JC; Tessin, AC; März, C</t>
  </si>
  <si>
    <t>Freitas, F. S.; Arndt, S.; Hendry, K. R.; Faust, J. C.; Tessin, A. C.; Marz, C.</t>
  </si>
  <si>
    <t>Benthic Organic Matter Transformation Drives pH and Carbonate Chemistry in Arctic Marine Sediments</t>
  </si>
  <si>
    <t>reaction-transport model; benthic carbon fluxes; ocean acidification; authigenic CaCO3 precipitation; calcite dissolution; Barents Sea</t>
  </si>
  <si>
    <t>DISSOLVED INORGANIC CARBON; GULF-OF-MEXICO; CO2 UPTAKE CAPACITY; BARENTS SEA; CALCIUM-CARBONATE; OCEAN ACIDIFICATION; PORE WATERS; MICROELECTRODE MEASUREMENTS; CACO3 PRECIPITATION; FE(III) REDUCTION</t>
  </si>
  <si>
    <t>Carbonate chemistry of the Arctic Ocean seafloor and its vulnerability to ocean acidification remains poorly explored. This limits our ability to quantify how biogeochemical processes and bottom water conditions shape sedimentary carbonate chemistry, and to predict how climate change may affect such biogeochemical processes at the Arctic Ocean seafloor. Here, we employ an integrated data-model assessment that explicitly resolves benthic pH and carbonate chemistry along a South-North transect in the Barents Sea. We identify the main drivers of observed carbonate dynamics and estimate benthic fluxes of dissolved inorganic carbon and alkalinity to the Arctic Ocean. We explore how bottom water conditions and in-situ organic matter degradation shape these processes and show that organic matter transformation strongly impacts pH and carbonate saturation (ohm) variations. Aerobic organic matter degradation drives a negative pH shift (pH &lt; 7.6) in the upper 2-5 cm, producing ohm &lt; 1. This causes shallow carbonate dissolution, buffering porewater pH to around 8.0. Organic matter degradation via metal oxide (Mn/Fe) reduction pathways further increases pH and carbonate saturation state. At the northern stations, where ohm &gt; 5 at around 10-25 cm, model simulations result in authigenic carbonate precipitation. Furthermore, benthic fluxes of dissolved inorganic carbon (12.5-59.5 mu mol cm(-2) yr(-1)) and alkalinity (11.3-63.2 mu mol cm(-2) yr(-1)) are 2-3-fold greater in the northern sites due to greater carbonate dissolution. Our assessment is of significant relevance to predict how changes in the Arctic Ocean may shift carbon burial and pH buffering into the next century.</t>
  </si>
  <si>
    <t>[Freitas, F. S.; Hendry, K. R.] Univ Bristol, Sch Earth Sci, Bristol, Avon, England; [Freitas, F. S.; Arndt, S.] Univ Libre Bruxellels, Dept Earth Environm Sci, BGeosys, Brussels, Belgium; [Hendry, K. R.] British Antarctic Survey, Cambridge, England; [Faust, J. C.] Univ Bremen, MARUM Ctr Marine Environm Sci, Bremen, Germany; [Tessin, A. C.] Kent State Univ, Dept Geol, Kent, OH 44242 USA; [Marz, C.] Univ Leeds, Sch Earth &amp; Environm, Leeds, W Yorkshire, England; [Marz, C.] Univ Bonn, Inst Geowissensch, Bonn, Germany</t>
  </si>
  <si>
    <t>University of Bristol; UK Research &amp; Innovation (UKRI); Natural Environment Research Council (NERC); NERC British Antarctic Survey; University of Bremen; University System of Ohio; Kent State University; Kent State University Kent; Kent State University Salem; University of Leeds; University of Bonn</t>
  </si>
  <si>
    <t>Freitas, FS (corresponding author), Univ Bristol, Sch Earth Sci, Bristol, Avon, England.;Freitas, FS (corresponding author), Univ Libre Bruxellels, Dept Earth Environm Sci, BGeosys, Brussels, Belgium.</t>
  </si>
  <si>
    <t>felipe.salesdefreitas@bristol.ac.uk</t>
  </si>
  <si>
    <t>, Christian/0000-0003-2558-4711; Faust, Johan C./0000-0001-8177-7097; Hendry, Katharine/0000-0002-0790-5895; Sales de Freitas, Felipe/0000-0001-8279-5772</t>
  </si>
  <si>
    <t>UKRI-NERC [NE/P006493/1, NE/P005942-1]; Fonds de la Recherche Scientifique de Belgique (F.R.S.-FNRS) [2.5020.11]; Walloon Region, Belgium; European Union's Horizon 2020 research and innovation programme under the Marie Sklodowska-Curie grant [709175]; NERC [NE/P006493/1] Funding Source: UKRI; Marie Curie Actions (MSCA) [709175] Funding Source: Marie Curie Actions (MSCA)</t>
  </si>
  <si>
    <t>UKRI-NERC(UK Research &amp; Innovation (UKRI)Natural Environment Research Council (NERC)); Fonds de la Recherche Scientifique de Belgique (F.R.S.-FNRS)(Fonds de la Recherche Scientifique - FNRS); Walloon Region, Belgium; European Union's Horizon 2020 research and innovation programme under the Marie Sklodowska-Curie grant(Marie Curie Actions); NERC(UK Research &amp; Innovation (UKRI)Natural Environment Research Council (NERC)); Marie Curie Actions (MSCA)(Marie Curie Actions)</t>
  </si>
  <si>
    <t>We thank the crew and participants of cruises JR16006 and JR17007, RRS James Clark Ross, and logistic support from the National Marine Facilities (NMF, Southampton, UK), and the British Antarctic Survey (BAS, Cambridge, UK). This work is part of the Changing Arctic Ocean Seafloor (ChAOS) project, funded by the UKRI-NERC (grant NE/P006493/1 and NE/P005942-1). Computational resources have been provided by the Consortium des Equipements de Calcul Intensif (CECI), funded by the Fonds de la Recherche Scientifique de Belgique (F.R.S.-FNRS) under Grant No. 2.5020.11 and by the Walloon Region, Belgium. AT received funding from the European Union's Horizon 2020 research and innovation programme under the Marie Sklodowska-Curie grant agreement No 709175.</t>
  </si>
  <si>
    <t>e2021GB007187</t>
  </si>
  <si>
    <t>10.1029/2021GB007187</t>
  </si>
  <si>
    <t>2U3NN</t>
  </si>
  <si>
    <t>WOS:000823067800001</t>
  </si>
  <si>
    <t>Prend, CJ; Gray, AR; Talley, LD; Gille, ST; Haumann, FA; Johnson, KS; Riser, SC; Rosso, I; Sauvé, J; Sarmiento, JL</t>
  </si>
  <si>
    <t>Prend, Channing J.; Gray, Alison R.; Talley, Lynne D.; Gille, Sarah T.; Haumann, F. Alexander; Johnson, Kenneth S.; Riser, Stephen C.; Rosso, Isabella; Sauve, Jade; Sarmiento, Jorge L.</t>
  </si>
  <si>
    <t>Indo-Pacific Sector Dominates Southern Ocean Carbon Outgassing</t>
  </si>
  <si>
    <t>carbon cycling; air-sea interactions; upper ocean and mixed layer processes</t>
  </si>
  <si>
    <t>GLOBAL SURFACE-OCEAN; MIXED-LAYER DEPTHS; ANTHROPOGENIC CARBON; NORTH-ATLANTIC; CO2 FLUXES; DRIVEN; PCO(2); VARIABILITY; SUBDUCTION; ALKALINITY</t>
  </si>
  <si>
    <t>The Southern Ocean modulates the climate system by exchanging heat and carbon dioxide (CO2) between the atmosphere and deep ocean. While this region plays an outsized role in the global oceanic anthropogenic carbon uptake, CO2 is also released to the atmosphere across large swaths of the Antarctic Circumpolar Current (ACC). Southern Ocean outgassing has long been attributed to remineralized carbon from upwelled deep water, but the precise mechanisms by which this water reaches the surface are not well constrained from observations. Using data from a novel array of autonomous biogeochemical profiling floats, we examine Southern Ocean air-sea CO2 fluxes and the pathways that transfer carbon from the ocean interior into the mixed layer where air-sea exchange occurs. These float-based flux estimates of unprecedented spatial resolution indicate that carbon outgassing occurs predominantly in the Indo-Pacific sector of the ACC due to variations in the mean surface ocean partial pressure of CO2 (pCO(2)). We show that this zonal asymmetry in surface pCO(2), and consequently air-sea carbon fluxes, stems primarily from regional variability in the mixed-layer entrainment of upwelled carbon-rich deep water. These results suggest that a sustained circumpolar observing system is crucial to monitor future changes in oceanic carbon release and uptake.</t>
  </si>
  <si>
    <t>[Prend, Channing J.; Talley, Lynne D.; Gille, Sarah T.; Rosso, Isabella] Univ Calif San Diego, Scripps Inst Oceanog, La Jolla, CA 92093 USA; [Gray, Alison R.; Riser, Stephen C.; Sauve, Jade] Univ Washington, Sch Oceanog, Seattle, WA 98195 USA; [Haumann, F. Alexander; Sarmiento, Jorge L.] Princeton Univ, Atmospher &amp; Ocean Sci Program, Princeton, NJ 08544 USA; [Haumann, F. Alexander] British Antarctic Survey, Cambridge, England; [Johnson, Kenneth S.] Monterey Bay Aquarium Res Inst, Moss Landing, CA USA</t>
  </si>
  <si>
    <t>University of California System; University of California San Diego; Scripps Institution of Oceanography; University of Washington; University of Washington Seattle; Princeton University; National Oceanic Atmospheric Admin (NOAA) - USA; UK Research &amp; Innovation (UKRI); Natural Environment Research Council (NERC); NERC British Antarctic Survey; Monterey Bay Aquarium Research Institute</t>
  </si>
  <si>
    <t>Prend, CJ (corresponding author), Univ Calif San Diego, Scripps Inst Oceanog, La Jolla, CA 92093 USA.</t>
  </si>
  <si>
    <t>cprend@ucsd.edu</t>
  </si>
  <si>
    <t>Haumann, Alexander/J-6679-2014</t>
  </si>
  <si>
    <t>Haumann, Alexander/0000-0002-8218-977X; Gille, Sarah/0000-0001-9144-4368; rosso, isabella/0000-0002-6761-7297; Gray, Alison/0000-0002-1644-7654; Prend, Channing/0000-0003-4661-0480; Talley, Lynne/0000-0003-1574-729X</t>
  </si>
  <si>
    <t>National Science Foundation Graduate Research Fellowship [DGE-1650112]; NSF [PLR-1425989, OPP-1936222, OCE-1756882]; SNSF [P2EZP2_175162, P400P2_186681]; NASA [80NSSC19K1115]; Swiss National Science Foundation (SNF) [P2EZP2_175162, P400P2_186681] Funding Source: Swiss National Science Foundation (SNF)</t>
  </si>
  <si>
    <t>National Science Foundation Graduate Research Fellowship(National Science Foundation (NSF)); NSF(National Science Foundation (NSF)); SNSF(Swiss National Science Foundation (SNSF)); NASA(National Aeronautics &amp; Space Administration (NASA)); Swiss National Science Foundation (SNF)(Swiss National Science Foundation (SNSF))</t>
  </si>
  <si>
    <t>Thanks to Katsumi Matsumoto and an anonymous reviewer for their helpful feedback. Thanks also to Peter Landschutzer and Haidi Chen for useful comments. C. J. Prend was supported by a National Science Foundation Graduate Research Fellowship under Grant DGE-1650112. A. R. Gray, L. D. Talley, S. T. Gille, F. A. Haumann, K. S. Johnson, S. C. Riser, I. Rosso, J. Sauve, and J. L. Sarmiento were supported by the NSF PLR-1425989 and OPP-1936222. A. R. Gray acknowledges additional support through the NSF award OCE-1756882. F. A. Haumann was also supported by the SNSF Grant No. P2EZP2_175162 and P400P2_186681, and the NASA Grant No. 80NSSC19K1115.</t>
  </si>
  <si>
    <t>e2021GB007226</t>
  </si>
  <si>
    <t>10.1029/2021GB007226</t>
  </si>
  <si>
    <t>2T8SK</t>
  </si>
  <si>
    <t>WOS:000822737800001</t>
  </si>
  <si>
    <t>Chisham, G; Burrell, AG; Thomas, EG; Chen, YJ</t>
  </si>
  <si>
    <t>Chisham, G.; Burrell, A. G.; Thomas, E. G.; Chen, Y. -J.</t>
  </si>
  <si>
    <t>Ionospheric Boundaries Derived From Auroral Images</t>
  </si>
  <si>
    <t>IMAGE FUV; auroral boundaries; open-closed boundary</t>
  </si>
  <si>
    <t>FIELD LINE BOUNDARY; POLAR-CAP BOUNDARY; CONVECTION REVERSAL BOUNDARY; MAGNETIC-FIELD; MAGNETOSPHERE; LATITUDE; SPACECRAFT; FUV; SUPERDARN; LOCATION</t>
  </si>
  <si>
    <t>This paper presents updated methods for locating the Poleward and Equatorward Auroral Luminosity Boundaries (PALB and EALB) directly from IMAGE Far UltraViolet (FUV) images of the Northern Hemisphere auroral oval. Separate boundaries are determined from images measured at different FUV wavelengths. In addition, new methods for indirectly estimating the Open-Closed magnetic field line Boundary (OCB) and the Equatorward Precipitation Boundary (EPB) locations are presented; these new boundaries are derived from a combination of the auroral luminosity boundary estimates with statistical latitudinal offsets derived from comparisons with low-altitude spacecraft Particle Precipitation Boundaries (PPBs). Subsequently, we derive new circle model fits for all these boundary data sets, as well as new quality control criteria for these model fits. The suitability of circle fits for each of the data sets is discussed, and the OCB and PALB circle fits are validated against the Convection Reversal Boundary (CRB), as measured by low-altitude in situ spacecraft. All the new boundary data sets, covering the epoch May 2000 to October 2002, are freely available online.</t>
  </si>
  <si>
    <t>[Chisham, G.] British Antarctic Survey, Cambridge, England; [Burrell, A. G.] US Naval Res Lab, Space Sci Div, Washington, DC USA; [Thomas, E. G.] Dartmouth Coll, Thayer Sch Engn, Hanover, NH 03755 USA; [Chen, Y. -J.] Univ Texas Dallas, Richardson, TX 75083 USA</t>
  </si>
  <si>
    <t>UK Research &amp; Innovation (UKRI); Natural Environment Research Council (NERC); NERC British Antarctic Survey; United States Department of Defense; United States Navy; Naval Research Laboratory; Dartmouth College; University of Texas System; University of Texas Dallas</t>
  </si>
  <si>
    <t>Chisham, G (corresponding author), British Antarctic Survey, Cambridge, England.</t>
  </si>
  <si>
    <t>gchi@bas.ac.uk</t>
  </si>
  <si>
    <t>; Thomas, Evan/B-3921-2017</t>
  </si>
  <si>
    <t>Chisham, Gareth/0000-0003-1151-5934; Thomas, Evan/0000-0001-8036-8793</t>
  </si>
  <si>
    <t>British Antarctic Survey Polar Science for Planet Earth Programme - UK Natural Environment Research Council (NERC) as part of UK Research and Innovation (UKRI); UK NERC [NE/V002732/1]; Office of Naval Research; National Science Foundation (NSF) [AGS-1934997]; AFOSR MURI grant [FA9559-16-1-0364]; NASA LWS grant [80NSSC20K177]; UK STFC grant [PP/E002110/1]</t>
  </si>
  <si>
    <t>British Antarctic Survey Polar Science for Planet Earth Programme - UK Natural Environment Research Council (NERC) as part of UK Research and Innovation (UKRI); UK NERC(UK Research &amp; Innovation (UKRI)Natural Environment Research Council (NERC)); Office of Naval Research(Office of Naval Research); National Science Foundation (NSF)(National Science Foundation (NSF)National Research Foundation of Korea); AFOSR MURI grant; NASA LWS grant; UK STFC grant(UK Research &amp; Innovation (UKRI)Science &amp; Technology Facilities Council (STFC))</t>
  </si>
  <si>
    <t>GC was supported by the British Antarctic Survey Polar Science for Planet Earth Programme, funded by the UK Natural Environment Research Council (NERC) as part of UK Research and Innovation (UKRI) as well as the UK NERC directed grant NE/V002732/1. AGB was supported by the Office of Naval Research. EGT was supported by the National Science Foundation (NSF) under grant AGS-1934997. YJC was supported by AFOSR MURI grant (FA9559-16-1-0364) and NASA LWS grant (80NSSC20K177). The authors would like to thank those involved in producing the original Boakes and Longden boundary data sets from the IMAGE data: Peter Boakes, Nicola Longden, Mervyn Freeman, Steve Milan, and Gary Abel. The derivation of the original Longden boundaries was funded by UK STFC grant PP/E002110/1.</t>
  </si>
  <si>
    <t>e2022JA030622</t>
  </si>
  <si>
    <t>10.1029/2022JA030622</t>
  </si>
  <si>
    <t>2T9DS</t>
  </si>
  <si>
    <t>WOS:000822767400001</t>
  </si>
  <si>
    <t>Mishev, AL; Kocharov, LG; Koldobskiy, SA; Larsen, N; Riihonen, E; Vainio, R; Usoskin, IG</t>
  </si>
  <si>
    <t>Mishev, Alexander L.; Kocharov, Leon G.; Koldobskiy, Sergey A.; Larsen, Nicholas; Riihonen, Esa; Vainio, Rami; Usoskin, Ilya G.</t>
  </si>
  <si>
    <t>High-Resolution Spectral and Anisotropy Characteristics of Solar Protons During the GLE N○73 on 28 October 2021 Derived with Neutron-Monitor Data Analysis</t>
  </si>
  <si>
    <t>SOLAR PHYSICS</t>
  </si>
  <si>
    <t>Solar energetic particles; Ground-level enhancement; Neutron monitor; Data analysis</t>
  </si>
  <si>
    <t>GROUND-LEVEL ENHANCEMENT; COSMIC-RAYS; PARTICLE-ACCELERATION; EVENT; TRANSMISSIVITY; INJECTION; TRANSPORT; SUN</t>
  </si>
  <si>
    <t>The first ground-level enhancement of the current Solar Cycle 25 occurred on 28 October 2021. It was observed by several space-borne and ground-based instruments, specifically neutron monitors. A moderate count-rate increase over the background was observed by high-altitude polar stations on the South Pole and Dome C stations at the Antarctic plateau. Most of the neutron monitors registered only marginal count-rate increases. Using detrended records and employing a method verified by direct space-borne measurements, we derive the rigidity spectra and angular distributions of the incoming solar protons in the vicinity of Earth. For the analysis, we employed a newly computed and parameterized neutron-monitor yield function. The rigidity spectra and anisotropy of solar protons were obtained in their time evolution throughout the event. A comparison with the Solar and Heliospheric Observatory/Energetic and Relativistic Nuclei and Electron (SOHO/ENRE) experiment data is also performed. We briefly discuss the results derived from our analysis.</t>
  </si>
  <si>
    <t>[Mishev, Alexander L.; Koldobskiy, Sergey A.; Usoskin, Ilya G.] Univ Oulu, Space Phys &amp; Astron Res Unit, Oulu, Finland; [Mishev, Alexander L.; Kocharov, Leon G.; Koldobskiy, Sergey A.; Larsen, Nicholas; Usoskin, Ilya G.] Univ Oulu, Sodankyla Geophys Observ, Oulu, Finland; [Riihonen, Esa; Vainio, Rami] Univ Turku, Dept Phys &amp; Astron, Turku, Finland</t>
  </si>
  <si>
    <t>University of Oulu; University of Oulu; University of Turku</t>
  </si>
  <si>
    <t>Mishev, AL (corresponding author), Univ Oulu, Space Phys &amp; Astron Res Unit, Oulu, Finland.;Mishev, AL (corresponding author), Univ Oulu, Sodankyla Geophys Observ, Oulu, Finland.</t>
  </si>
  <si>
    <t>alexander.mishev@oulu.fi; leon.kocharov@oulu.fi; sergey.koldobskiy@oulu.fi; nicholas.larsen@oulu.fi; riihonen@utu.fi; rami.vainio@utu.fi; ilya.usoskin@oulu.fi</t>
  </si>
  <si>
    <t>Vainio, Rami/A-5590-2009; Koldobskiy, Sergey/K-6507-2015</t>
  </si>
  <si>
    <t>Vainio, Rami/0000-0002-3298-2067; Koldobskiy, Sergey/0000-0001-9187-0383; Mishev, Alexander/0000-0002-7184-9664; Larsen, Nicholas/0000-0003-4713-1350</t>
  </si>
  <si>
    <t>Academy of Finland [321882, 330064, 336809]; University of Oulu; French-Italian Concordia Station (IPEV program) [n903]; French-Italian Concordia Station (PNRA Project) [LTCPAA PNRA14 00091]; Finnish Antarctic Research Program (FINNARP); Austrian Science Fund (FWF) [N903] Funding Source: Austrian Science Fund (FWF); Academy of Finland (AKA) [336809, 330064] Funding Source: Academy of Finland (AKA)</t>
  </si>
  <si>
    <t>Academy of Finland(Research Council of Finland); University of Oulu; French-Italian Concordia Station (IPEV program); French-Italian Concordia Station (PNRA Project); Finnish Antarctic Research Program (FINNARP); Austrian Science Fund (FWF)(Austrian Science Fund (FWF)); Academy of Finland (AKA)(Research Council of Finland)</t>
  </si>
  <si>
    <t>This work was supported by the Academy of Finland (projects ESPERA No. 321882, QUASARE No. 330064, and FORESAIL No. 336809), University of Oulu (Project SARPEDON). Operation of the DOMC/DOMB NM was possible due to support of the French-Italian Concordia Station (IPEV program n903 and PNRA Project LTCPAA PNRA14 00091), and the Finnish Antarctic Research Program (FINNARP). The work benefited from discussions in the framework of the International Space Science Institute International Team 441: High Energy Solar Particle Events Analysis (HEROIC). We acknowledge NMDB and all of the colleagues and PIs from the neutron-monitor stations who kindly provided the data used in this analysis, namely: Alma Ata, Apatity, Athens, Baksan, Calgary, Dome C, Dourbes, Forth Smith, Inuvik, Jang Bogo, Jungfraujoch, Kerguelen, Lomnicky Stit, Mexico City, Nain, Norilsk, Oulu, Peawanuck, Rome, Sanae, South Pole, Terre Adelie, Thule, Tixie, and Yakutsk. We thank the ACE/MAG and ACE/SWEPAM instrument teams and the ACE Science Center for providing the ACE data. SOHO is a project of international cooperation between ESA and NASA.</t>
  </si>
  <si>
    <t>0038-0938</t>
  </si>
  <si>
    <t>1573-093X</t>
  </si>
  <si>
    <t>SOL PHYS</t>
  </si>
  <si>
    <t>Sol. Phys.</t>
  </si>
  <si>
    <t>10.1007/s11207-022-02026-0</t>
  </si>
  <si>
    <t>2T2XU</t>
  </si>
  <si>
    <t>WOS:000822341700001</t>
  </si>
  <si>
    <t>Quéléver, LLJ; Dada, L; Asmi, E; Lampilahti, J; Chan, T; Ferrara, JE; Copes, GE; Pérez-Fogwill, G; Barreira, L; Aurela, M; Worsnop, DR; Jokinen, T; Sipilä, M</t>
  </si>
  <si>
    <t>Quelever, Lauriane L. J.; Dada, Lubna; Asmi, Eija; Lampilahti, Janne; Chan, Tommy; Ferrara, Jonathan E.; Copes, Gustavo E.; Perez-Fogwill, German; Barreira, Luis; Aurela, Minna; Worsnop, Douglas R.; Jokinen, Tuija; Sipila, Mikko</t>
  </si>
  <si>
    <t>Investigation of new particle formation mechanisms and aerosol processes at Marambio Station, Antarctic Peninsula</t>
  </si>
  <si>
    <t>NUCLEATION MODE PARTICLES; SULFURIC-ACID; SIZE DISTRIBUTION; MOLECULAR CLUSTERS; IODINE EMISSIONS; FORMATION EVENTS; NEUTRAL CLUSTER; SEA-ICE; GROWTH; ION</t>
  </si>
  <si>
    <t>Understanding chemical processes leading to the formation of atmospheric aerosol particles is crucial to improve our capabilities in predicting the future climate. However, those mechanisms are still inadequately characterized, especially in polar regions. In this study, we report observations of neutral and charged aerosol precursor molecules and chemical cluster composition (qualitatively and quantitatively), as well as air ions and aerosol particle number concentrations and size distributions from the Marambio research station (64 degrees 15' S, 56 degrees 38' W), located north of the Antarctic Peninsula. We conducted measurements during the austral summer, between 15 January and 25 February 2018. The scope of this study is to characterize new particle formation (NPF) event parameters and connect our observations of gas-phase compounds with the formation of secondary aerosols to resolve the nucleation mechanisms at the molecular scale. NPF occurred on 40% of measurement days. All NPF events were observed during days with high solar radiation, mostly with above-freezing temperatures and with low relative humidity. The averaged formation rate for 3 nm particles (J(3)) was 0.686 cm(-3) s(-1), and the average particle growth rate (GR(3.8-12 nm)) was 4.2 nm h(-1). Analysis of neutral aerosol precursor molecules showed measurable concentrations of iodic acid (IA), sulfuric acid (SA), and methane sulfonic acid (MSA) throughout the entire measurement period with significant increase in MSA and SA concentrations during NPF events. We highlight SA as a key contributor to NPF processes, while IA and MSA likely only contribute to particle growth. Mechanistically, anion clusters containing ammonia and/or dimethylamine (DMA) and SA were identified, suggesting significant concentration of ammonia and DMA as well. Those species are likely contributing to NPF events since SA alone is not sufficient to explain observed nucleation rates. Here, we provide evidence of the marine origin of the measured chemical precursors and discuss their potential contribution to the aerosol phase.</t>
  </si>
  <si>
    <t>[Quelever, Lauriane L. J.; Dada, Lubna; Lampilahti, Janne; Chan, Tommy; Worsnop, Douglas R.; Jokinen, Tuija; Sipila, Mikko] Univ Helsinki, Inst Atmospher &amp; Earth Syst Res INAR Phys, POB 64, Helsinki 00014, Finland; [Dada, Lubna] Ecole Polytech Fed Lausanne EPFL Valais, Extreme Environm Res Lab, CH-1951 Sion, Switzerland; [Dada, Lubna] Paul Scherrer Inst, Lab Atmospher Chem, CH-5232 Villigen, Switzerland; [Asmi, Eija; Ferrara, Jonathan E.; Copes, Gustavo E.; Perez-Fogwill, German] Serv Meteorol Nacl SMN, Av Dorrego 4019, Buenos Aires, DF, Argentina; [Asmi, Eija] Finnish Meteorol Inst FMI, Erik Palmenin Aukio 1, Helsinki 00560, Finland; [Worsnop, Douglas R.] Aerodyne Res Inc, Billerica, MA 01821 USA; [Jokinen, Tuija] Cyprus Inst, Climate &amp; Atmosphere Res Ctr CARE C, POB 27456, Nicosia, Cyprus</t>
  </si>
  <si>
    <t>University of Helsinki; Swiss Federal Institutes of Technology Domain; Ecole Polytechnique Federale de Lausanne; Swiss Federal Institutes of Technology Domain; Paul Scherrer Institute; Finnish Meteorological Institute; Aerodyne Research</t>
  </si>
  <si>
    <t>Quéléver, LLJ; Sipilä, M (corresponding author), Univ Helsinki, Inst Atmospher &amp; Earth Syst Res INAR Phys, POB 64, Helsinki 00014, Finland.</t>
  </si>
  <si>
    <t>lauriane.quelever@helsinki.fi; mikko.sipila@helsinki.fi</t>
  </si>
  <si>
    <t>Dada, Lubna/X-7559-2018; Worsnop, Douglas R/D-2817-2009; Barreira, Luis/HMW-0635-2023; Jokinen, Tuija/B-3365-2014; Sipila, Mikko/G-3024-2010</t>
  </si>
  <si>
    <t>Dada, Lubna/0000-0003-1105-9043; Jokinen, Tuija/0000-0002-1280-1396; Aurela, Minna/0000-0001-7561-2974; Sipila, Mikko/0000-0002-8594-7003; Quelever, Lauriane/0000-0001-8970-3594; Asmi, Eija/0000-0002-9226-2360; Chan, Tommy/0000-0002-5700-7209</t>
  </si>
  <si>
    <t>European Research Council; H2020 European Research Council (GASPARCON) [714621]; EMME-CARE project [856612]; Academy of Finland [296628, 328290, 335845, 337552]; Finnish Centre of Excellence Programme [307331, 334514]; H2020 European Research Council (COALA) [638703]; Academy of Finland (AKA) [335845, 334514, 296628, 328290] Funding Source: Academy of Finland (AKA)</t>
  </si>
  <si>
    <t>European Research Council(European Research Council (ERC)); H2020 European Research Council (GASPARCON); EMME-CARE project; Academy of Finland(Research Council of Finland); Finnish Centre of Excellence Programme(Research Council of Finland); H2020 European Research Council (COALA)(European Research Council (ERC)); Academy of Finland (AKA)(Research Council of Finland)</t>
  </si>
  <si>
    <t>This research has been supported by the European Research Council, H2020 European Research Council (GASPARCON (grant no. 714621) and COALA (grant no. 638703)), the EMME-CARE project (grant no. 856612), the Academy of Finland (grant nos. 296628, 328290, 335845, and 337552), and the Finnish Centre of Excellence Programme (projects nos. 307331 and 334514).</t>
  </si>
  <si>
    <t>10.5194/acp-22-8417-2022</t>
  </si>
  <si>
    <t>2P0EK</t>
  </si>
  <si>
    <t>WOS:000819424300001</t>
  </si>
  <si>
    <t>Prend, CJ; Keerthi, MG; Lévy, M; Aumont, O; Gille, ST; Talley, LD</t>
  </si>
  <si>
    <t>Prend, Channing J.; Keerthi, M. G.; Levy, Marina; Aumont, Olivier; Gille, Sarah T.; Talley, Lynne D.</t>
  </si>
  <si>
    <t>Sub-Seasonal Forcing Drives Year-To-Year Variations of Southern Ocean Primary Productivity</t>
  </si>
  <si>
    <t>MIXED-LAYER DEPTH; PHYTOPLANKTON BIOMASS; KERGUELEN PLATEAU; BLOOM PHENOLOGY; VARIABILITY; IRON; CHLOROPHYLL; OSCILLATIONS; MECHANISMS; RESTRATIFICATION</t>
  </si>
  <si>
    <t>Primary productivity in the Southern Ocean plays a key role in global biogeochemical cycles. While much focus has been placed on phytoplankton production seasonality, non-seasonal fluctuations exceed the amplitude of the seasonal cycle across large swaths of the Antarctic Circumpolar Current. This non-seasonal variability comprises a broad range of timescales from sub-seasonal (&lt;3 months) to multi-annual (&gt;1 year), all of which can project onto the annual mean value. However, year-to-year variations of surface chlorophyll (SChl), a proxy for phytoplankton biomass, are typically attributed to ocean circulation changes associated with the Southern Annular Mode (SAM), which implicitly assumes that sub-seasonal variability averages to near-zero over long timescales. Here, we test this assumption by applying a timeseries decomposition method to satellite-derived SChl in order to separate the low-frequency and high-frequency contributions to the non-seasonal variability. We find that throughout most of the Southern Ocean, year-to-year SChl variations are dominated by the sub-seasonal component, which is not strongly correlated with the SAM. The multi-annual component, while correlated with the SAM, only accounts for about 10% of the total SChl variance. This suggests that changes in annual mean SChl are related to intermittent forcing at small scales, rather than low-frequency climate variability, and thus do not remain correlated over large regions.</t>
  </si>
  <si>
    <t>[Prend, Channing J.; Gille, Sarah T.; Talley, Lynne D.] Univ Calif San Diego, Scripps Inst Oceanog, La Jolla, CA 92093 USA; [Keerthi, M. G.; Levy, Marina; Aumont, Olivier] Sorbonne Univ, CNRS, IPSL, LOCEAN, Paris, France</t>
  </si>
  <si>
    <t>University of California System; University of California San Diego; Scripps Institution of Oceanography; Centre National de la Recherche Scientifique (CNRS); Universite Paris Cite; Sorbonne Universite; Museum National d'Histoire Naturelle (MNHN)</t>
  </si>
  <si>
    <t>Levy, Marina/A-1315-2012; aumont, olivier/G-5207-2016</t>
  </si>
  <si>
    <t>Levy, Marina/0000-0003-2961-608X; Gille, Sarah/0000-0001-9144-4368; aumont, olivier/0000-0003-3954-506X; Talley, Lynne/0000-0003-1574-729X; Prend, Channing/0000-0003-4661-0480</t>
  </si>
  <si>
    <t>NSF [OPP-1936222]; National Science Foundation Graduate Research Fellowship [DGE-1650112]; Chateaubriand Fellowship from the Office for Science and Technology of the Embassy of France in the United States; CNRS; ANR-SOBUMS [ANR-16-CE01-0014]</t>
  </si>
  <si>
    <t>NSF(National Science Foundation (NSF)); National Science Foundation Graduate Research Fellowship(National Science Foundation (NSF)); Chateaubriand Fellowship from the Office for Science and Technology of the Embassy of France in the United States; CNRS(Centre National de la Recherche Scientifique (CNRS)); ANR-SOBUMS</t>
  </si>
  <si>
    <t>CJP, STG, and LDT are supported by NSF OPP-1936222. CJP was also supported by a National Science Foundation Graduate Research Fellowship under Grant DGE-1650112 and a Chateaubriand Fellowship from the Office for Science and Technology of the Embassy of France in the United States. MGK is supported by a postdoctoral fellowship from CNRS. ML and OA acknowledge support from ANR-SOBUMS under contract number ANR-16-CE01-0014.</t>
  </si>
  <si>
    <t>e2022GB007329</t>
  </si>
  <si>
    <t>10.1029/2022GB007329</t>
  </si>
  <si>
    <t>2O7PC</t>
  </si>
  <si>
    <t>WOS:000819245500001</t>
  </si>
  <si>
    <t>Liu, XJ; Wang, ZW; Lu, JY; Liu, JJ; Hu, HQ; Liu, J; Hu, ZJ; Wang, M; Zhao, K</t>
  </si>
  <si>
    <t>Liu, X. J.; Wang, Z. W.; Lu, J. Y.; Liu, J. J.; Hu, H. Q.; Liu, J.; Hu, Z. J.; Wang, M.; Zhao, K.</t>
  </si>
  <si>
    <t>Extreme Solar Flare-driven Short-wave Fadeout Observed by SuperDARN ZHO Radar</t>
  </si>
  <si>
    <t>X-RAY; IONOSPHERIC RESPONSE; DISTURBANCES; ABSORPTION; FREQUENCY; REGION; SLUGGISHNESS; NETWORK</t>
  </si>
  <si>
    <t>Based on the observations from the Super Dual Auroral Radar Network at the Zhongshan Station (-74.9 MLAT, 97.2 MLON) and GOES satellites X-ray sensor, we present the first statistical study of the dayside ionospheric short-wave fadeout (SWF) events on the Southern Hemispheric high latitude from the years 2010-2019 and provide a normal characteristic of SWF with onset of 6 minutes 54 s, blackout of 20 minutes 24 s, and recovery of 39 minutes 36 s, respectively. All the SWF events in this work are selected to be caused by extreme flares. The statistical analysis shows both short-type and long-type SWF onset phases. Onset/blackout phase duration of long events is highly correlated with flare duration (0.79, 0.60), the SWF is mainly driven by the flare radiation profile, and the soft X-ray flux rise rate is higher for short-onset events than for most long-onset events, which is the main reason for the difference between the two types of events. In addition, the effect of ionospheric sluggishness on long-onset events also needs to be considered. The relationship between each phase's durations of long SWFs and the effective peak X-ray flux is not obvious. However, the correlation between the integrated effective X-ray flux and the onset/blackout phase duration of long events is significant.</t>
  </si>
  <si>
    <t>[Liu, X. J.; Wang, Z. W.; Lu, J. Y.; Wang, M.; Zhao, K.] Nanjing Univ Informat Sci &amp; Technol, Coll Math &amp; Stat, Inst Space Weather, Nanjing, Peoples R China; [Wang, Z. W.; Liu, J. J.; Hu, H. Q.; Hu, Z. J.] Polar Res Inst China, MNR Key Lab Polar Sci, Shanghai, Peoples R China; [Liu, J.] Shandong Univ, Inst Space Sci, Weihai, Peoples R China</t>
  </si>
  <si>
    <t>Nanjing University of Information Science &amp; Technology; Polar Research Institute of China; Shandong University</t>
  </si>
  <si>
    <t>Lu, JY (corresponding author), Nanjing Univ Informat Sci &amp; Technol, Coll Math &amp; Stat, Inst Space Weather, Nanjing, Peoples R China.</t>
  </si>
  <si>
    <t>jylu@nuist.edu.cn; liujianjun@pric.org.cn</t>
  </si>
  <si>
    <t>Lu, Jianyong/F-8159-2014</t>
  </si>
  <si>
    <t>Lu, Jianyong/0000-0001-7042-5395; wang, zhiwei/0000-0002-5395-5447; Wang, Ming/0000-0002-3290-8721; Liu, Jing/0000-0002-6584-0647; Liu, Jianjun/0000-0003-0465-6210</t>
  </si>
  <si>
    <t>Chinese Meridian Project; National Natural Science Foundation of China [42030203, 41974190, 42074195, 41974185]; National Key Research and Development Plan of China [2018YFC1407300, 2021YFE0106400]; Basic Research Institute Stabilization Support Project [A131901W14, A131902W03]</t>
  </si>
  <si>
    <t>Chinese Meridian Project; National Natural Science Foundation of China(National Natural Science Foundation of China (NSFC)); National Key Research and Development Plan of China; Basic Research Institute Stabilization Support Project</t>
  </si>
  <si>
    <t>The authors acknowledge the use of SuperDARN data (http://vt.superdarn.org).SuperDARN is a collection of radars funded by national scientific funding agencies of Australia, Canada, China, France, Italy, Japan, Norway, South Africa, the United Kingdom, and the United States of America. Zhongshan HF radar as a member of SuperDARN is funded by the Chinese Meridian Project. We thank PRIC (http://www.pric.org.cn) for providing a computing server and SuperDARN data. Raw files can also be accessed via the SuperDARN data mirrors hosted by the British Antarctic Survey (https://www.bas.ac.uk/project/superdarn/#data) and University of Saskatchewan (https://superdarn.ca).We wish to acknowledge the use of the NOAA/GOES X-ray data from (http://www.ngdc.noaa.gov/stp/satellite/goes/dataaccess.html) for flare confirmation and analysis. We are thankful to the SEM/SOHO team for providing the data from the SEM experiment on their website https://dornsifecms.usc.edu/spacesciences-center/download-sem-data/).This work is supported in part by the National Natural Science Foundation of China (grant Nos. 42030203, 41974190, 42074195, and 41974185), the National Key Research and Development Plan of China (2018YFC1407300, 2021YFE0106400), and the Basic Research Institute Stabilization Support Project (A131901W14, A131902W03).</t>
  </si>
  <si>
    <t>10.3847/1538-4357/ac6f56</t>
  </si>
  <si>
    <t>2P4SX</t>
  </si>
  <si>
    <t>WOS:000819734100001</t>
  </si>
  <si>
    <t>Yun, S; Lee, WS; Dziak, RP; Matsumoto, H</t>
  </si>
  <si>
    <t>Yun, Sukyoung; Lee, Won Sang; Dziak, Robert P.; Matsumoto, Haruyoshi</t>
  </si>
  <si>
    <t>Numerical Study on the Characteristics of Abyssal T-Wave Envelopes Controlled by Earthquake Source Parameters</t>
  </si>
  <si>
    <t>SEISMICITY; SCATTERING; VOLCANO; PHASE; MAGNITUDES; GENERATION; EXCITATION; SPECTRA; EVENT; RIDGE</t>
  </si>
  <si>
    <t>Hydroacoustics has been successfully applied to detect and locate small-to-intermediate submarine tectonic activities infrequently recorded in land-based seismic arrays. However, to extend the utilization of T waves to extract other important earthquake source parameters, such as source strength, the roles of earthquake focal mechanisms, and source depths in T-wave envelopes must be thoroughly understood. We performed 3D numerical modeling considering anisotropic source radiation and realistic scattering in the oceanic crust for two focal mechanisms (normal and strike-slip faults) and three depths (5, 10, and 15 km) to investigate the effect of source radiation and focal depth on abyssal T waves. By analyzing the synthetic T-wave envelopes, we showed that stronger SV-energy radiation from a normal-fault earthquake event generates higher-intensity T waves of the same source magnitude. The anisotropic source radiation of a double-couple source causes azimuthal changes in the shapes of T waves, and deeper earthquakes cause gentle-sloped envelopes; however, the slopes also vary with respect to the azimuths of receivers and focal mechanisms. Temporal changes in the slopes of T-wave envelopes of magmatic swarm events near Wordie Volcano, Bransfield Strait, Antarctic Peninsula, imply that the depth dependency can be utilized to determine relative depths for hydrothermal-vent events or sequenced earthquakes.</t>
  </si>
  <si>
    <t>[Yun, Sukyoung; Lee, Won Sang] Korea Polar Res Inst, Div Glacial Environm Res, Incheon, South Korea; [Dziak, Robert P.; Matsumoto, Haruyoshi] NOAA, Pacific Marine Environm Lab, Newport, OR USA; [Matsumoto, Haruyoshi] Oregon State Univ, Hatfield Marine Sci Ctr, Cooperat Inst Marine Resources Studies, Newport, OR USA</t>
  </si>
  <si>
    <t>Korea Polar Research Institute (KOPRI); National Oceanic Atmospheric Admin (NOAA) - USA; Oregon State University</t>
  </si>
  <si>
    <t>Lee, WS (corresponding author), Korea Polar Res Inst, Div Glacial Environm Res, Incheon, South Korea.</t>
  </si>
  <si>
    <t>wonsang@kopri.re.kr</t>
  </si>
  <si>
    <t>Yun, Sukyoung/0000-0003-0778-7259; Lee, Won Sang/0000-0002-1074-7672</t>
  </si>
  <si>
    <t>Korean Ministry of Oceans and Fisheries [KIMST20190361, PM21020]; National Oceanic and Atmospheric Administration (NOAA)/Pacific Marine Environmental Laboratory [5206]</t>
  </si>
  <si>
    <t>Korean Ministry of Oceans and Fisheries; National Oceanic and Atmospheric Administration (NOAA)/Pacific Marine Environmental Laboratory</t>
  </si>
  <si>
    <t>This work was sponsored by a research grant from the Korean Ministry of Oceans and Fisheries (KIMST20190361; PM21020) and the National Oceanic and Atmospheric Administration (NOAA)/Pacific Marine Environmental Laboratory Contribution Number 5206. The authors thank two anonymous reviewers who helped them to greatly improve the original article. S. Y. and W. S. L. devised the project and wrote the text. S. Y. performed numerical simulations and W. S. L. prepared figures. W. S. L., R. P. D., and H. M. provided hydroacoustic data. All authors contributed to article edits.</t>
  </si>
  <si>
    <t>10.1785/0220210264</t>
  </si>
  <si>
    <t>2M9QC</t>
  </si>
  <si>
    <t>WOS:000818025100007</t>
  </si>
  <si>
    <t>Baloza, M; Henkel, S; Geibert, W; Kasten, S; Holtappels, M</t>
  </si>
  <si>
    <t>Baloza, M.; Henkel, S.; Geibert, W.; Kasten, S.; Holtappels, M.</t>
  </si>
  <si>
    <t>Benthic Carbon Remineralization and Iron Cycling in Relation to Sea Ice Cover Along the Eastern Continental Shelf of the Antarctic Peninsula</t>
  </si>
  <si>
    <t>iron flux; phosphate flux; marginal ice zone; carbon oxidation rate; sedimentation rate; redox conditions</t>
  </si>
  <si>
    <t>ANAEROBIC METHANE OXIDATION; ORGANIC-MATTER; MARINE-SEDIMENTS; DRAKE PASSAGE; COASTAL SEDIMENTS; SULFATE REDUCTION; FJORD SEDIMENTS; SOUTHERN-OCEAN; ZONE WEST; ROSS SEA</t>
  </si>
  <si>
    <t>Rapid and profound climatic and environmental changes have been predicted for the Antarctic Peninsula with so far unknown impact on the biogeochemistry of the continental shelves. In this study, we investigate benthic carbon sedimentation, remineralization and iron cycling using sediment cores retrieved on a 400 mile transect with contrasting sea ice conditions along the eastern shelf of the Antarctic Peninsula. Sediments at comparable water depths of 330-450 m showed sedimentation and remineralization rates of organic carbon, ranging from 2.5 to 13 and 1.8-7.2 mmol C m(-2) d(-1), respectively. Both rates were positively correlated with the occurrence of marginal sea ice conditions (5%-35% ice cover) along the transect, suggesting a favorable influence of the corresponding light regime and water column stratification on algae growth and sedimentation rates. From south to north, the burial efficiency of organic carbon decreased from 58% to 27%, while bottom water temperatures increased from -1.9 to -0.1 degrees C. Net iron reduction rates, as estimated from pore-water profiles of dissolved iron, were significantly correlated with carbon degradation rates and contributed 0.7%-1.2% to the total organic carbon remineralization. Tightly coupled phosphate-iron recycling was indicated by significant covariation of dissolved iron and phosphate concentrations, which almost consistently exhibited P/Fe flux ratios of 0.26. Iron efflux into bottom waters of 0.6-4.5 mu mol Fe m(-2) d(-1) was estimated from an empirical model. Despite the deep shelf waters, a clear bentho-pelagic coupling is indicated, shaped by the extent and duration of marginal sea ice conditions during summer, and likely to be affected by future climate change.</t>
  </si>
  <si>
    <t>[Baloza, M.; Henkel, S.; Geibert, W.; Kasten, S.; Holtappels, M.] Helmholtz Ctr Polar &amp; Marine Res, Alfred Wegener Inst, Bremerhaven, Germany; [Baloza, M.] Univ Bremen, Fac Biol Chem 2, Bremen, Germany; [Kasten, S.] Univ Bremen, Fac Geosci, Bremen, Germany; [Holtappels, M.] Univ Bremen, MARUM Ctr Marine Environm Sci, Bremen, Germany</t>
  </si>
  <si>
    <t>Baloza, M (corresponding author), Helmholtz Ctr Polar &amp; Marine Res, Alfred Wegener Inst, Bremerhaven, Germany.;Baloza, M (corresponding author), Univ Bremen, Fac Biol Chem 2, Bremen, Germany.</t>
  </si>
  <si>
    <t>marwa.baloza@awi.de</t>
  </si>
  <si>
    <t>Henkel, Susann/S-4924-2016; Geibert, Walter/ABA-9785-2020</t>
  </si>
  <si>
    <t>Henkel, Susann/0000-0001-7490-0237; Geibert, Walter/0000-0001-8646-2334; Baloza, Marwa/0000-0002-6885-8463; Holtappels, Moritz/0000-0003-3682-1903</t>
  </si>
  <si>
    <t>AWI [AWI_PS118_05]; Projekt DEAL</t>
  </si>
  <si>
    <t>AWI; Projekt DEAL</t>
  </si>
  <si>
    <t>We acknowledge the help and effort made by the captain and crew members of RV POLARSTERN during Expedition PS118. We further thank Henning Schroder and Axel Nordhausen for preparing the multicorer and executing the deployment and recovery during the expedition. Special thanks go to Juliane Muller (AWI Bremerhaven) for carbon and nitrogen analyses of the sediments. Moreover, we gratefully acknowledge the help of Ingrid Stimac and Ingrid Dohrmann (AWI Bremerhaven) in the laboratory analyses. We also would like to thank Claudio Richter for his guidance while collecting macrofauna samples. We thank Peter Kraal, Alexander Michaud and another anonymous reviewer for their supportive and valuable comments. This study was funded by the AWI Grant-No. AWI_PS118_05. Open Access funding enabled and organized by Projekt DEAL.</t>
  </si>
  <si>
    <t>e2021JC018401</t>
  </si>
  <si>
    <t>10.1029/2021JC018401</t>
  </si>
  <si>
    <t>2M7XT</t>
  </si>
  <si>
    <t>WOS:000817908700001</t>
  </si>
  <si>
    <t>Chen, DZ; Ye, SR; Xia, FY; Cheng, X; Zhang, HP; Jiang, WP</t>
  </si>
  <si>
    <t>Chen, Dezhong; Ye, Shirong; Xia, Fengyu; Cheng, Xiang; Zhang, Hongping; Jiang, Weiping</t>
  </si>
  <si>
    <t>A multipath mitigation method in long-range RTK for deformation monitoring</t>
  </si>
  <si>
    <t>GPS SOLUTIONS</t>
  </si>
  <si>
    <t>Tropospheric errors; Multipath errors; Deformation monitoring; CORS</t>
  </si>
  <si>
    <t>The presence of non-negligible atmospheric delays and multipath errors makes it difficult for the long-range baselines to provide high-accuracy real-time kinematic (RTK) deformation monitoring services, as is the case for short baseline. Despite considerable efforts to model the effects of tropospheric errors, multipath errors remain a challenging issue in high-accuracy GNSS positioning applications. We describe a strategy for mitigating the multipath errors in long-range baselines, enabling precise RTK positioning results. First, the double-differenced ionospheric-free residuals are converted to un-differenced (UD) residuals for each satellite of the associated stations. The troposphere and multipath are the main error sources in these UD residuals. Taking advantage of the different features of UD tropospheric and multipath errors when displayed as a function of the scale factors provided by the wet mapping functions, the residual zenith tropospheric delays of each station are therefore constructed and used to resolve the practical tropospheric errors of each slant signal. The multipath errors are extracted by subtracting the computed tropospheric errors from the converted UD ionospheric-free residuals. After correcting the tropospheric and multipath errors, high-accuracy RTK positioning results can be obtained from long-range baselines. Compared with traditional methods, the proposed approach gives a 43.2% improvement in the average 3D root mean square error. Moreover, improvements of 22.2%, 52.4%, and 47.3% are achieved in the east, north, and up components for a 127 km baseline, giving a final epoch-wise positioning accuracy of 6.2 mm, 4.3 mm, and 11.8 mm, respectively. Experimental results show that the proposed strategy is an efficient and promising method in high-accuracy deformation monitoring applications for long-range baselines.</t>
  </si>
  <si>
    <t>[Chen, Dezhong; Ye, Shirong; Xia, Fengyu; Zhang, Hongping; Jiang, Weiping] Wuhan Univ, GNSS Res Ctr, 129 Luoyu Rd, Wuhan 430079, Peoples R China; [Xia, Fengyu] Tech Univ Berlin, Inst Geodesy &amp; Geoinformat Sci, Str 17 Juni 135, D-10623 Berlin, Germany; [Cheng, Xiang] Wuhan Univ, Chinese Antarctic Ctr Surveying &amp; Mapping, 129 Luoyu Rd, Wuhan 430079, Peoples R China</t>
  </si>
  <si>
    <t>Wuhan University; Technical University of Berlin; Wuhan University</t>
  </si>
  <si>
    <t>Ye, SR; Xia, FY (corresponding author), Wuhan Univ, GNSS Res Ctr, 129 Luoyu Rd, Wuhan 430079, Peoples R China.;Xia, FY (corresponding author), Tech Univ Berlin, Inst Geodesy &amp; Geoinformat Sci, Str 17 Juni 135, D-10623 Berlin, Germany.</t>
  </si>
  <si>
    <t>srye@whu.edu.cn; fengyuxia@whu.edu.cn</t>
  </si>
  <si>
    <t>Xia, Fengyu/HNJ-4153-2023</t>
  </si>
  <si>
    <t>xia, fengyu/0000-0001-6193-1245</t>
  </si>
  <si>
    <t>National Natural Science Foundation of China [41974038, 41704032, 41974031, 41904025]; Fundamental Research Funds for the Central Universities [2042019kf0031]; National Key Research and Development Scheme [2019YFC1509603, 2018YFE0206500]; Postdoctoral Science Foundation of China [2018M642911]; Changjiang Institute of Survey, Planning, Design and Research Open Innovation Fund [CX2020K04]; China Scholarship Council (CSC)</t>
  </si>
  <si>
    <t>National Natural Science Foundation of China(National Natural Science Foundation of China (NSFC)); Fundamental Research Funds for the Central Universities(Fundamental Research Funds for the Central Universities); National Key Research and Development Scheme; Postdoctoral Science Foundation of China(China Postdoctoral Science Foundation); Changjiang Institute of Survey, Planning, Design and Research Open Innovation Fund; China Scholarship Council (CSC)(China Scholarship Council)</t>
  </si>
  <si>
    <t>We are grateful to the anonymous reviewers for their helpful suggestions and constructive comments. This work is supported in parts by the National Natural Science Foundation of China (Grant Nos. 41974038; 41704032; 41974031; 41904025), Fundamental Research Funds for the Central Universities (Grant No. 2042019kf0031), National Key Research and Development Scheme (Grant Nos. 2019YFC1509603; 2018YFE0206500), Postdoctoral Science Foundation of China (Grant No. 2018M642911), and Changjiang Institute of Survey, Planning, Design and Research Open Innovation Fund (Grant No. CX2020K04). Fengyu Xia is financially supported by the China Scholarship Council (CSC) for his study at the Institute of Geodesy and Geoinformation Science, Technische Universitat Berlin.</t>
  </si>
  <si>
    <t>1080-5370</t>
  </si>
  <si>
    <t>1521-1886</t>
  </si>
  <si>
    <t>GPS SOLUT</t>
  </si>
  <si>
    <t>GPS Solut.</t>
  </si>
  <si>
    <t>10.1007/s10291-022-01281-9</t>
  </si>
  <si>
    <t>2J5YZ</t>
  </si>
  <si>
    <t>WOS:000815733300002</t>
  </si>
  <si>
    <t>Gilbert, NE; Lecleir, GR; Strzepek, RF; Ellwood, MJ; Twining, BS; Roux, S; Pennacchio, C; Boyd, PW; Wilhelm, SW</t>
  </si>
  <si>
    <t>Gilbert, Naomi E.; Lecleir, Gary R.; Strzepek, Robert F.; Ellwood, Michael J.; Twining, Benjamin S.; Roux, S.; Pennacchio, C.; Boyd, Philip W.; Wilhelm, Steven W.</t>
  </si>
  <si>
    <t>Bioavailable iron titrations reveal oceanic Synechococcus ecotypes optimized for different iron availabilities</t>
  </si>
  <si>
    <t>SOUTHERN-OCEAN; CYANOBACTERIUM; PHYTOPLANKTON; PACIFIC; PROCHLOROCOCCUS; LIMITATION; FLAVODOXIN; STORAGE; GENOME; IDENTIFICATION</t>
  </si>
  <si>
    <t>The trace metal iron (Fe) controls the diversity and activity of phytoplankton across the surface oceans, a paradigm established through decades of in situ and mesocosm experimental studies. Despite widespread Fe-limitation within high-nutrient, low chlorophyll (HNLC) waters, significant contributions of the cyanobacterium Synechococcus to the phytoplankton stock can be found. Correlations among differing strains of Synechococcus across different Fe-regimes have suggested the existence of Fe-adapted ecotypes. However, experimental evidence of high- versus low-Fe adapted strains of Synechococcus is lacking, and so we investigated the transcriptional responses of microbial communities inhabiting the HNLC, sub-Antarctic region of the Southern Ocean during the Spring of 2018. Analysis of metatranscriptomes generated from on-deck incubation experiments reflecting a gradient of Fe-availabilities reveal transcriptomic signatures indicative of co-occurring Synechococcus ecotypes adapted to differing Fe-regimes. Functional analyses comparing low-Fe and high-Fe conditions point to various Fe-acquisition mechanisms that may allow persistence of low-Fe adapted Synechococcus under Fe-limitation. Comparison of in situ surface conditions to the Fe-titrations indicate ecological relevance of these mechanisms as well as persistence of both putative ecotypes within this region. This Fe-titration approach, combined with transcriptomics, highlights the short-term responses of the in situ phytoplankton community to Fe-availability that are often overlooked by examining genomic content or bulk physiological responses alone. These findings expand our knowledge about how phytoplankton in HNLC Southern Ocean waters adapt and respond to changing Fe supply.</t>
  </si>
  <si>
    <t>[Gilbert, Naomi E.; Lecleir, Gary R.; Wilhelm, Steven W.] Univ Tennessee, Dept Microbiol, Knoxville, TN 37996 USA; [Strzepek, Robert F.; Boyd, Philip W.] Univ Tasmania, Inst Marine &amp; Antarctic Studies, Hobart, Tas, Australia; [Ellwood, Michael J.] Australian Natl Univ, Res Sch Earth Sci, Canberra, ACT, Australia; [Twining, Benjamin S.] Bigelow Lab Ocean Sci, East Boothbay, ME USA; [Roux, S.; Pennacchio, C.] Lawrence Berkeley Natl Lab, DOE Joint Genome Inst, Berkeley, CA USA; [Strzepek, Robert F.] Univ Tasmania, Inst Marine &amp; Antarctic Studies, Australian Antarctic Program Partnership AAPP, Hobart, Tas 7004, Australia</t>
  </si>
  <si>
    <t>University of Tennessee System; University of Tennessee Knoxville; University of Tasmania; Australian National University; Bigelow Laboratory for Ocean Sciences; United States Department of Energy (DOE); Lawrence Berkeley National Laboratory; University of Tasmania</t>
  </si>
  <si>
    <t>Wilhelm, SW (corresponding author), Univ Tennessee, Dept Microbiol, Knoxville, TN 37996 USA.</t>
  </si>
  <si>
    <t>wilhelm@utk.edu</t>
  </si>
  <si>
    <t>Wilhelm, Steven W/B-8963-2008; Strzepek, Robert Francis/GQH-8703-2022</t>
  </si>
  <si>
    <t>Wilhelm, Steven W/0000-0001-6283-8077; Strzepek, Robert Francis/0000-0002-6442-7121; Twining, Benjamin/0000-0002-1365-9192; Pennacchio, Christa/0000-0002-0297-3960; Gilbert, Naomi/0000-0002-5691-5547</t>
  </si>
  <si>
    <t>National Science Foundation (NSF) [DP170102108, DP130100679]; Australian Research Council's Discovery program [OCE- 1829641, 504140]; National Science Foundation; U.S. Department of Energy Joint Genome Institute, a DOE Office of Science User Facility [DE-AC02-05CH11231]; Office of Science of the U.S. Department of Energy</t>
  </si>
  <si>
    <t>National Science Foundation (NSF)(National Science Foundation (NSF)); Australian Research Council's Discovery program(Australian Research Council); National Science Foundation(National Science Foundation (NSF)); U.S. Department of Energy Joint Genome Institute, a DOE Office of Science User Facility(United States Department of Energy (DOE)); Office of Science of the U.S. Department of Energy(United States Department of Energy (DOE))</t>
  </si>
  <si>
    <t>We are grateful to the officers, crew, and research staff of the Marine National Facility and the R.V. Investigator for their help with sample collection and generation of hydrochemistry data. Dr. Shane Hogle and an anonymous reviewer greatly improved the manuscript with their comments. This research was financially supported under Australian Research Council's Discovery program (DP170102108; DP130100679) and ship time from Australia's Marine National Facility. This work was supported by a National Science Foundation grant (OCE- 1829641) to SWW. The work (proposal 504140, doi:10.46936/10.25585/60001188) conducted by the U.S. Department of Energy Joint Genome Institute, a DOE Office of Science User Facility, is supported by the Office of Science of the U.S. Department of Energy under Contract No. DE-AC02-05CH11231.</t>
  </si>
  <si>
    <t>10.1038/s43705-022-00132-5</t>
  </si>
  <si>
    <t>Y5ME4</t>
  </si>
  <si>
    <t>WOS:001105688600001</t>
  </si>
  <si>
    <t>Zhao, JC; Cheng, B; Vihma, T; Lu, P; Han, HW; Shu, Q</t>
  </si>
  <si>
    <t>Zhao, Jiechen; Cheng, Bin; Vihma, Timo; Lu, Peng; Han, Hongwei; Shu, Qi</t>
  </si>
  <si>
    <t>The internal melting of landfast sea ice in Prydz Bay, East Antarctica</t>
  </si>
  <si>
    <t>deep gay layers; internal melting; landfast sea ice; Prydz Bay; East Antarctica</t>
  </si>
  <si>
    <t>WEDDELL SEA; HEAT-FLUX; SURFACE; VARIABILITY; COMMUNITIES; THICKNESS; PONDS; SNOW</t>
  </si>
  <si>
    <t>Summertime internal melting of Antarctic sea ice is common due to the penetration of solar radiation below the snow and ice surface. We focus on the role of internal melting and heat conduction in generating gap layers within the ice. These often occur approximately 0.1 m below the ice surface. In a small-scale survey over land-fast sea ice in Prydz Bay, East Antarctica, we observed, for the first time, gap layers 0.6-1.0 m below the surface for both first-year ice and multi-year ice. A 1D snow/ice thermodynamic model successfully simulated snow and ice mass balance and the evolution of the gap layers. Their spatial distribution was largely controlled by snow thickness and ice thickness. A C-shaped ice temperature profile with the lowest values in the middle of the ice layer resulted in heat flux convergence causing downward progression of the internal melt layer. Multidecadal (1979-2019) seasonal simulations showed decreasing air temperature favored a postposed internal melting onset, reduced total internal melt, and delayed potential ice breakup, which indicated a higher chance for local coastal ice to be shifted from first-year ice to multi-year ice.</t>
  </si>
  <si>
    <t>[Zhao, Jiechen] Harbin Engn Univ, Qingdao Innovat &amp; Dev Ctr Base, Qingdao 266500, Peoples R China; [Zhao, Jiechen; Shu, Qi] Qingdao Natl Lab Marine Sci &amp; Technol, Lab Reg Oceanog &amp; Numer Modelling, Qingdao 266237, Peoples R China; [Zhao, Jiechen] Harbin Engn Univ, Coll Underwater Acoust Engn, Harbin 150001, Peoples R China; [Cheng, Bin; Vihma, Timo] Finnish Meteorol Inst, Helsinki 00101, Finland; [Lu, Peng] Dalian Univ Technol, State Key Lab Coastal &amp; Offshore Engn, Dalian 116024, Peoples R China; [Han, Hongwei] Northeast Agr Univ, Sch Water Conservancy &amp; Civil Engn, Harbin 150030, Peoples R China; [Shu, Qi] Minist Nat Resources, Inst Oceanog 1, Qingdao 266061, Peoples R China</t>
  </si>
  <si>
    <t>Harbin Engineering University; Laoshan Laboratory; Harbin Engineering University; Finnish Meteorological Institute; Dalian University of Technology; Northeast Agricultural University - China; Ministry of Natural Resources of the People's Republic of China; First Institute of Oceanography, Ministry of Natural Resources</t>
  </si>
  <si>
    <t>Zhao, JC (corresponding author), Harbin Engn Univ, Qingdao Innovat &amp; Dev Ctr Base, Qingdao 266500, Peoples R China.;Zhao, JC (corresponding author), Qingdao Natl Lab Marine Sci &amp; Technol, Lab Reg Oceanog &amp; Numer Modelling, Qingdao 266237, Peoples R China.;Zhao, JC (corresponding author), Harbin Engn Univ, Coll Underwater Acoust Engn, Harbin 150001, Peoples R China.;Cheng, B (corresponding author), Finnish Meteorol Inst, Helsinki 00101, Finland.</t>
  </si>
  <si>
    <t>zhaojiechen@hrbeu.edu.cn; bin.cheng@fmi.fi</t>
  </si>
  <si>
    <t>Zhao, Jiechen/KHV-9905-2024; Lu, Peng/HNR-4786-2023; Cheng, Bin/D-4354-2013</t>
  </si>
  <si>
    <t>Cheng, Bin/0000-0001-8156-8412</t>
  </si>
  <si>
    <t>National Natural Science Foundation of China [4211101310, 41876212, 41922045]; European Commission H2020 Project Polar Regions in the Earth System (PolarRES) [101003590]</t>
  </si>
  <si>
    <t>National Natural Science Foundation of China(National Natural Science Foundation of China (NSFC)); European Commission H2020 Project Polar Regions in the Earth System (PolarRES)</t>
  </si>
  <si>
    <t>We thank colleagues at the Progress Station for sharing us with snow and ice thickness observations. The study was supported by the National Natural Science Foundation of China (4211101310, 41876212, and 41922045) and the European Commission H2020 Project Polar Regions in the Earth System (PolarRES, Grant 101003590). Two anonymous reviewers are acknowledged for their very constructive and valuable comments that helped to improve the manuscript significantly.</t>
  </si>
  <si>
    <t>10.1088/1748-9326/ac76d9</t>
  </si>
  <si>
    <t>2G9IH</t>
  </si>
  <si>
    <t>WOS:000813914100001</t>
  </si>
  <si>
    <t>Tuah, MS; Latip, W; Ridzwan, AYA; Balakrishnan, S; Abd Rahman, RNZR; Noor, NDM; Ali, MSM</t>
  </si>
  <si>
    <t>Tuah, Muhairil Sulong; Latip, Wahhida; Ridzwan, Ainur Yasmin Ahmad; Balakrishnan, Samyuktha; Abd Rahman, Raja Noor Zaliha Raja; Noor, Noor Dina Muhd; Ali, Mohd Shukuri Mohamad</t>
  </si>
  <si>
    <t>Modeling and Molecular Dynamics of Aquaporin from an Antarctic Pseudomonas sp. Strain AMS3</t>
  </si>
  <si>
    <t>PERTANIKA JOURNAL OF SCIENCE AND TECHNOLOGY</t>
  </si>
  <si>
    <t>Antarctica; aquaporin; homology modeling; molecular dynamics; Pseudomonas sp. AMS3; water gating</t>
  </si>
  <si>
    <t>Aquaporins, also known as water channels, are a large family of transmembrane channel proteins present throughout all life domains and are implicated in human disorders. The psychrophilic aquaporin comes to attention because of its specialty in adaptive ability to keep on functioning to maintain water homeostasis under low temperatures, which have an optimal temperature for growth at about 15 degrees C or lower. However, studies regarding aquaporin isolated from psychrophilic Pseudomonas sp. are still scattered. Recently, the genome sequence of an Antarctic Pseudomonas sp. strain AMS3 revealed a gene sequence encoding for a putative aquaporin designated as PAqpZ2_AMS3. In this study, structure analysis and molecular dynamics (MD) simulation of a predicted model of a fully hydrated aquaporin monomer was embedded in a lipid bilayer and was performed at different temperatures for structural flexibility and stability analysis. The MD simulation results revealed that the predicted structure could remain stable and flexible at low to medium temperatures. In addition, the important position of water gating amino acids, Phe36 and Asn180 residues were rearranged in-5 degrees C MD simulation, leading to changes in the aquaporin water column size. The information obtained from this psychrophilic aquaporin, PAqpZ2_AMS3, provides new insights into the structural adaptation of this protein at low temperatures and could be a useful tool for low-temperature industrial applications and molecular engineering purposes in the future.</t>
  </si>
  <si>
    <t>[Tuah, Muhairil Sulong; Latip, Wahhida; Ridzwan, Ainur Yasmin Ahmad; Balakrishnan, Samyuktha; Abd Rahman, Raja Noor Zaliha Raja; Noor, Noor Dina Muhd; Ali, Mohd Shukuri Mohamad] Univ Putra Malaysia, Fac Biotechnol &amp; Biomol Sci, Enzyme &amp; Microbial Technol Res Ctr, UPM, Serdang 43400, Selangor, Malaysia; [Tuah, Muhairil Sulong; Latip, Wahhida; Ridzwan, Ainur Yasmin Ahmad; Balakrishnan, Samyuktha; Abd Rahman, Raja Noor Zaliha Raja; Noor, Noor Dina Muhd; Ali, Mohd Shukuri Mohamad] Univ Putra Malaysia, Fac Biotechnol &amp; Biomol Sci, Dept Biochem, UPM, Serdang 43400, Selangor, Malaysia</t>
  </si>
  <si>
    <t>Universiti Putra Malaysia; Universiti Putra Malaysia</t>
  </si>
  <si>
    <t>Ali, MSM (corresponding author), Univ Putra Malaysia, Fac Biotechnol &amp; Biomol Sci, Enzyme &amp; Microbial Technol Res Ctr, UPM, Serdang 43400, Selangor, Malaysia.;Ali, MSM (corresponding author), Univ Putra Malaysia, Fac Biotechnol &amp; Biomol Sci, Dept Biochem, UPM, Serdang 43400, Selangor, Malaysia.</t>
  </si>
  <si>
    <t>muhairilst@gmail.com; wahhidalatip@gmail.com; yasmin97ay@gmail.com; gs59053@student.upm.edu.my; rnzaliha@upm.edu.my; dina@upm.edu.my; mshukuri@upm.edu.my</t>
  </si>
  <si>
    <t>Dina, Noor/ABC-5428-2021; ALI, MOHD/IUM-6916-2023</t>
  </si>
  <si>
    <t>Dina, Noor/0000-0001-5567-2136;</t>
  </si>
  <si>
    <t>Ministry of Education [FRGS/1/2019/STG04/UPM/02/04]</t>
  </si>
  <si>
    <t>Ministry of Education</t>
  </si>
  <si>
    <t>The Ministry of Education supported this project through the Fundamental Research Grant Scheme (FRGS/1/2019/STG04/UPM/02/04) .</t>
  </si>
  <si>
    <t>0128-7680</t>
  </si>
  <si>
    <t>PERTANIKA J SCI TECH</t>
  </si>
  <si>
    <t>Pertanika J. Sci. Technol.</t>
  </si>
  <si>
    <t>10.47836/pjst.30.3.01</t>
  </si>
  <si>
    <t>1Y0HG</t>
  </si>
  <si>
    <t>WOS:000807826900001</t>
  </si>
  <si>
    <t>Morse, PE; Reading, AM; Stal, T</t>
  </si>
  <si>
    <t>Morse, Peter E.; Reading, Anya M.; Stal, Tobias</t>
  </si>
  <si>
    <t>Exploratory Volumetric Deep Earth Visualization by 2.5D Interactive Compositing</t>
  </si>
  <si>
    <t>IEEE TRANSACTIONS ON VISUALIZATION AND COMPUTER GRAPHICS</t>
  </si>
  <si>
    <t>Data visualization; Earth; Three-dimensional displays; Two dimensional displays; Rendering (computer graphics); Image color analysis; Solid modeling; Color mapping; interactive visualization; seismic tomography; solid earth geophysics; volume visualization</t>
  </si>
  <si>
    <t>OF-THE-ART; GOOGLE EARTH; 3D; MODELS; MANTLE; TIME; TECHNOLOGIES; SCIENCE; DESIGN; IMAGES</t>
  </si>
  <si>
    <t>In this contribution we consider the visualization of global, deep Earth volume datasets for display and researcher interaction. While the algorithms and data analysis techniques that produce such volumetric results have become more sophisticated, the manner of visualizing these findings can be improved. We address the challenge of making an illustrative, exploratory visualization of a global geoscience dataset using a combined seismic tomography result, the primary means by which geoscientists infer structure and process in the deep Earth. We present a novel, interactive graphical application suite and associated workflow that uses an intuitive 2.5D layer compositing approach. This allows the user to adjust the separation between data-slices, control graphics variables such as color mapping, opacity and compositing, and facilitate exploration and annotation of the architecture of the lithosphere. Graphics outputs from our applications are enabled for immersive systems such as dome displays. In a case study we visualize the deep Earth structure beneath the Indian Ocean region. We anticipate that the application methodology will find use in the visualization of multiple datasets representing aspects of the Earth's deep interior and atmosphere, and in the interaction with the increasing number of rich datasets from missions to our neighboring planets.</t>
  </si>
  <si>
    <t>[Morse, Peter E.; Stal, Tobias] Univ Tasmania, Dept Earth Sci, Private Bag 79, Hobart, Tas 7001, Australia; [Reading, Anya M.] Univ Tasmania, Dept Phys, Private Bag 37, Hobart, Tas 7001, Australia; [Stal, Tobias] Univ Tasmania, Inst Marine &amp; Antarctic Studies, Private Bag 79, Hobart, Tas 7001, Australia</t>
  </si>
  <si>
    <t>Morse, PE (corresponding author), Univ Tasmania, Dept Earth Sci, Private Bag 79, Hobart, Tas 7001, Australia.</t>
  </si>
  <si>
    <t>peter.morse@utas.edu.au; anya.reading@utas.edu.au; tobias.staal@utas.edu.au</t>
  </si>
  <si>
    <t>Reading, Anya M/E-6728-2012; Morse, Peter/C-6810-2013</t>
  </si>
  <si>
    <t>Reading, Anya M/0000-0002-9316-7605; Morse, Peter/0000-0001-9315-1374; Stal, Tobias/0000-0002-4323-6748</t>
  </si>
  <si>
    <t>University of Tasmania; Australian Research Council's Special Research Initiative for Antarctic Gateway Partnership [SR140300001]; ARC Research Hub for Transforming the Mining Value Chain [IH130200004]</t>
  </si>
  <si>
    <t>University of Tasmania; Australian Research Council's Special Research Initiative for Antarctic Gateway Partnership(Australian Research Council); ARC Research Hub for Transforming the Mining Value Chain(Australian Research Council)</t>
  </si>
  <si>
    <t>PM co-designed the study, developed the visualization software and wrote the text. AR co-designed the study and contributed to the text. TS carried out data pre-processing and contributed to the text. The authors would like to thank Stephen J. Walters for constructive feedback. PM acknowledges an RTP Scholarship from the University of Tasmania. TS acknowledges support under Australian Research Council's Special Research Initiative for Antarctic Gateway Partnership (Project ID SR140300001). This work was supported inpart by the ARC Research Hub for Transforming the Mining Value Chain (project number IH130200004).</t>
  </si>
  <si>
    <t>IEEE COMPUTER SOC</t>
  </si>
  <si>
    <t>LOS ALAMITOS</t>
  </si>
  <si>
    <t>10662 LOS VAQUEROS CIRCLE, PO BOX 3014, LOS ALAMITOS, CA 90720-1314 USA</t>
  </si>
  <si>
    <t>1077-2626</t>
  </si>
  <si>
    <t>1941-0506</t>
  </si>
  <si>
    <t>IEEE T VIS COMPUT GR</t>
  </si>
  <si>
    <t>IEEE Trans. Vis. Comput. Graph.</t>
  </si>
  <si>
    <t>10.1109/TVCG.2020.3037226</t>
  </si>
  <si>
    <t>Computer Science, Software Engineering</t>
  </si>
  <si>
    <t>1P2OA</t>
  </si>
  <si>
    <t>WOS:000801853400008</t>
  </si>
  <si>
    <t>González, PM; Herrera, SS</t>
  </si>
  <si>
    <t>Gonzalez, Pablo Mancilla; Herrera, Silvia Sarzoza</t>
  </si>
  <si>
    <t>THE CHILEAN ANTARCTIC TERRITORY IN THE CURRICULAR BASES AND STUDY PROGRAMS OF THE GENERAL PLAN OF HISTORY, GEOGRAPHY AND SOCIAL SCIENCES</t>
  </si>
  <si>
    <t>REVISTA NOTAS HISTORICAS Y GEOGRAFICAS</t>
  </si>
  <si>
    <t>Chilean Antarctic Territory; Curricular Bases; Study Programs; General Plan of History; Geography and Social Sciences</t>
  </si>
  <si>
    <t>The objective of the research is to establish how the contents on the Chilean Antarctic Territory are incorporated in the Curricular Bases and Study Programs of the General Plan of History, Geography and Social Sciences. The methodological approach is qualitative and Qualitative Content Analysis was used as a technique to collect and categorize the units of analysis. The materials used were the Curricular Bases from 1st to 6th Basic Year and from 7th Basic Year to 2nd Middle Year and the Study Programs of the General Plan of History, Geography and Social Sciences. The results establish that there are explicit and implicit contents about the Chilean Antarctic Territory that are derived from the Learning Objectives and from the evaluation indicators and suggested activities of the curricular documents, a situation that casts doubt on the conclusions made by other research on it theme.</t>
  </si>
  <si>
    <t>[Gonzalez, Pablo Mancilla; Herrera, Silvia Sarzoza] Univ Playa Ancha, Valparaiso, Chile</t>
  </si>
  <si>
    <t>Universidad de Playa Ancha</t>
  </si>
  <si>
    <t>González, PM (corresponding author), Univ Playa Ancha, Valparaiso, Chile.</t>
  </si>
  <si>
    <t>pablo.mancilla@upla.cl; ssarzoza@upla.cl</t>
  </si>
  <si>
    <t>UNIV PLAYA ANCHA CIENCIAS EDUCACION</t>
  </si>
  <si>
    <t>VALPARAISO</t>
  </si>
  <si>
    <t>AVENIDA PLAYA ANCHA 850, VALPARAISO, 00000, CHILE</t>
  </si>
  <si>
    <t>0717-036X</t>
  </si>
  <si>
    <t>0719-4404</t>
  </si>
  <si>
    <t>REV NOTAS HIST GEOGR</t>
  </si>
  <si>
    <t>Rev. Notas Hist. Geogr.</t>
  </si>
  <si>
    <t>0U0US</t>
  </si>
  <si>
    <t>WOS:000787375100020</t>
  </si>
  <si>
    <t>Grigor, JJ; Freer, JJ; Tarling, GA; Cohen, JH; Last, KS</t>
  </si>
  <si>
    <t>Grigor, Jordan J.; Freer, Jennifer J.; Tarling, Geraint A.; Cohen, Jonathan H.; Last, Kim S.</t>
  </si>
  <si>
    <t>Swimming Activity as an Indicator of Seasonal Diapause in the Copepod Calanus finmarchicus</t>
  </si>
  <si>
    <t>copepod; torpidity; metabolism; lipid; diapause; Fram Strait; Arctic Ocean</t>
  </si>
  <si>
    <t>VERTICAL-DISTRIBUTION; NORWEGIAN SEA; ZOOPLANKTON; HELGOLANDICUS; HYPERBOREUS; RESPIRATION; TEMPERATURE; VARIABILITY; LOCOMOTION; ENERGETICS</t>
  </si>
  <si>
    <t>Copepods dominate zooplankton biomass of the upper ocean, especially in the highly seasonal boreal and polar regions, for which specific life-cycle traits such as the accumulation of lipid reserves, migration into deep water and diapause are key adaptations. Understanding such traits is central to determining the energetic consequences of high latitude range shifts related to climate change and ultimately, biogeochemical models of carbon flow. Using the calanoid copepod Calanus finmarchicus, we explore a new indicator of diapause, swimming activity, and assess its relationship with respiration. Stage CV copepods were sampled in late summer from shallow (epipelagic) and deep (mesopelagic) water at both slope and basin locations within the Fram Strait at a time when the animals had entered diapause. Using high-throughput quantitative behaviour screening on ex-situ swimming activity, we found that irrespective of sampling station copepods from the mesopelagic show highly reduced activity (88.5 +/- 3.4% reduction) when compared to those from the epipelagic with a clearly defined threshold between epi- and mesopelagic animals (~5 beam breaks 30 min(-1)). Mesopelagic individuals were also larger (12.4 +/- 8.8%) and had more lipid reserves (19.3 +/- 2.2%) than epipelagic individuals. On average, copepods from the basin station exhibited respiration rates similar to overwintering rates observed elsewhere (1.23 +/- 0.76 mu g C d(-1)), while respiration rates of copepods from the shelf station were more consistent with active metabolism (2.46 +/- 1.02 mu g C d(-1)). Nevertheless, active and diapausing rates were observed in individuals from both stations at both epi- and mesopelagic depths. We suggest that rapid screening of activity may provide an early indicator of diapause before it becomes fully apparent and consistent in other physiological indicators. Ultimately, swimming activity may provide a useful tool to assess the putative endogenous and exogenous factors involved in diapause onset, provide a handle on the energetics of diapause, and input to biogeochemical carbon models on C. finmarchicus.</t>
  </si>
  <si>
    <t>[Grigor, Jordan J.; Last, Kim S.] Scottish Marine Inst, Scottish Assoc Marine Sci, Oban, Argyll, Scotland; [Freer, Jennifer J.; Tarling, Geraint A.] British Antarctic Survey, Cambridge, England; [Cohen, Jonathan H.] Univ Delaware, Sch Marine Sci &amp; Policy, Lewes, DE USA</t>
  </si>
  <si>
    <t>UHI Millennium Institute; UK Research &amp; Innovation (UKRI); Natural Environment Research Council (NERC); NERC British Antarctic Survey; University of Delaware</t>
  </si>
  <si>
    <t>Last, KS (corresponding author), Scottish Marine Inst, Scottish Assoc Marine Sci, Oban, Argyll, Scotland.</t>
  </si>
  <si>
    <t>kim.last@sams.ac.uk</t>
  </si>
  <si>
    <t>Freer, Jennifer/0000-0002-3947-9261</t>
  </si>
  <si>
    <t>NERC [NE/R012733/1, NE/R012687/1] Funding Source: UKRI</t>
  </si>
  <si>
    <t>JUN 30</t>
  </si>
  <si>
    <t>10.3389/fmars.2022.909528</t>
  </si>
  <si>
    <t>3A7DL</t>
  </si>
  <si>
    <t>WOS:000827416100001</t>
  </si>
  <si>
    <t>Bracegirdle, J; Kennedy, SJ; Shan, C; Wojtas, L; Shaw, LN; Amsler, CD; McClintock, JB; Baker, BJ</t>
  </si>
  <si>
    <t>Bracegirdle, Joe; Kennedy, Sarah J.; Shan, Chuan; Wojtas, Lukasz; Shaw, Lindsey N.; Amsler, Charles D.; McClintock, James B.; Baker, Bill J.</t>
  </si>
  <si>
    <t>Tongalides, Halogenated Butenolides from an Antarctic Delisea sp. Rhodophyte</t>
  </si>
  <si>
    <t>FURANONES; SYSTEMATICS</t>
  </si>
  <si>
    <t>ABSTRACT: Six new halogenated butenolides, tongalides A-C (1-3) and their acetylated congeners (4-6), were isolated from an extract of the Antarctic rhodophyte Delisea sp. that displayed significant antibiotic activity. The structures of the compounds were determined by analysis of data acquired by spectroscopic and spectrometric techniques including NMR, HRESIMS, optical rotation, and X-ray diffraction studies. The newly isolated compounds were assayed for antibacterial activity, but exhibited no growth inhibition of ESKAPE pathogens. The extract bioactivity was attributed to the previously reported Z-acetoxyfimbrolide A also isolated from the extract, providing further evidence that the exocyclic double bond is essential to the antibacterial activity of the structurally related fimbrolide class of metabolite.</t>
  </si>
  <si>
    <t>[Bracegirdle, Joe; Shan, Chuan; Wojtas, Lukasz; Baker, Bill J.] Univ S Florida, Dept Chem, Tampa, FL 33620 USA; [Kennedy, Sarah J.; Shaw, Lindsey N.] Univ S Florida, Dept Cell Biol Microbiol &amp; Mol Biol, Tampa, FL 33620 USA; [Amsler, Charles D.; McClintock, James B.] Univ Alabama Birmingham, Dept Biol, Birmingham, AL 35233 USA</t>
  </si>
  <si>
    <t>State University System of Florida; University of South Florida; State University System of Florida; University of South Florida; University of Alabama System; University of Alabama Birmingham</t>
  </si>
  <si>
    <t>Shan, Chuan/AAT-2012-2020; Baker, Bill/N-4312-2019</t>
  </si>
  <si>
    <t>Shan, Chuan/0000-0002-5173-1335; Bracegirdle, Joe/0000-0001-7725-3477; Kennedy, Sarah/0009-0001-6715-7585</t>
  </si>
  <si>
    <t>National Institutes of Health [AI154922]; National Science Foundation [PLR-1341333, PLR-1341339]; Antarctic Organisms and Ecosystems Program</t>
  </si>
  <si>
    <t>National Institutes of Health(United States Department of Health &amp; Human ServicesNational Institutes of Health (NIH) - USA); National Science Foundation(National Science Foundation (NSF)); Antarctic Organisms and Ecosystems Program(National Science Foundation (NSF)NSF - Directorate for Geosciences (GEO))</t>
  </si>
  <si>
    <t>ACKNOWLEDGMENTS This work was supported by the National Institutes of Health award AI154922 (B.J.B. and L.N.S.) and National Science Foundation awards PLR-1341333 (C.D.A. and J.B.M.) and PLR-1341339 (B.J.B.) from the Antarctic Organisms and Ecosystems Program. We are grateful to M. Amsler and R. Young for assistance in the fi eld, as well as to the Antarctic Support Contract sta ff of Palmer Station for their outstanding logistical support of this research.</t>
  </si>
  <si>
    <t>10.1021/acs.jnatprod.2c00344</t>
  </si>
  <si>
    <t>JUN 2022</t>
  </si>
  <si>
    <t>3F3SK</t>
  </si>
  <si>
    <t>WOS:000827550400001</t>
  </si>
  <si>
    <t>Speed, CW; Meekan, MG; Birt, MJ; Parsons, MJG; McLean, D; Taylor, BM; Thomas, L; McCauley, R; Semmens, JM; Newman, SJ</t>
  </si>
  <si>
    <t>Speed, Conrad W.; Meekan, Mark G.; Birt, Matthew J.; Parsons, Miles J. G.; McLean, Dianne; Taylor, Brett M.; Thomas, Luke; McCauley, Robert; Semmens, Jayson M.; Newman, Stephen J.</t>
  </si>
  <si>
    <t>Trophic Structure and Diet of Predatory Teleost Fishes in a Tropical Demersal Shelf Ecosystem</t>
  </si>
  <si>
    <t>stable isotopes; niche overlap; mesopredators; gastrointestinal tract analysis; red emperor; niche space</t>
  </si>
  <si>
    <t>CORAL-REEF FISH; TROUT PLECTROPOMUS-LEOPARDUS; STABLE CARBON; TEMPORAL VARIATION; PREY SIZE; ISOTOPE; PATTERNS; ECOLOGY; TISSUE; DELTA-C-13</t>
  </si>
  <si>
    <t>Predatory fishes are a major component of many tropical fisheries, although little is known about their diet and trophic structure, which can hinder effective management. We used stable isotopes delta N-15 and delta C-13 in conjunction with dietary prey items of five fishes (Lutjanus sebae, Lethrinus punctulatus, Epinephelus areolatus, Epinephelus multinotatus, and Plectropomus maculatus) to describe the diet and trophic structure across this assemblage. A total of 153 isotope and 87 stomach content samples were collected at two locations that were approximate to 30 km apart, over two sampling trips, separated by three months. There was clear separation of species' mean delta N-15 and delta C-13 values in isotopic space; the highest mean delta N-15 was exhibited by E. multinotatus (13.50 +/- 0.11 SE) and the lowest was L. punctulatus (11.05 +/- 0.13). These two species had the lowest overlap of isotopic niche space, whereas the highest overlap occurred between L. sebae and P. maculatus. delta N-15 increased with fish body size for all species. However, body size was not significantly related to delta C-13 values for any species. There was a notable shift in both delta N-15 and delta C-13 between sampling trips, with delta C-13 being more depleted in the second trip. There was also a difference in delta C-13 between locations for all species, suggesting localised foraging. A multiple tissue comparison for L. sebae indicated positive relationships for both delta N-15 and delta C-13 between dorsal fin and muscle tissue. Mean delta N-15 values were the same for both fin (12.1 +/- 0.10 SE) and muscle tissue (12.1 +/- 0.09 SE), although delta C-13 was more enriched in fin (-15.6 +/- 0.14 SE) compared to muscle tissue (-17.3 +/- 0.11 SE). The most common dietary items across species were teleosts and crustaceans, which was consistent with isotope data indicating a reliance on a demersal food web (delta C-13 values ranging from -18 to -15 parts per thousand). The results from our study indicate a dynamic spatio-temporal trophic structure and diet for commercially important demersal species and highlight the benefits of a multi-facetted sampling approach.</t>
  </si>
  <si>
    <t>[Speed, Conrad W.; Meekan, Mark G.; Birt, Matthew J.; Parsons, Miles J. G.; McLean, Dianne; Taylor, Brett M.; Thomas, Luke] Univ Western Australia, Australian Inst Marine Sci AIMS, Indian Ocean Marine Res Ctr, Level 3, Crawley, WA, Australia; [Meekan, Mark G.; Parsons, Miles J. G.] Univ Western Australia, Univ Western Australia UWA Oceans Inst, Perth, WA, Australia; [Parsons, Miles J. G.; McCauley, Robert] Curtin Univ, Ctr Marine Sci &amp; Technol, Bentley, WA, Australia; [Semmens, Jayson M.] Univ Tasmania, Inst Marine &amp; Antarctic Studies, Battery Point, Tas, Australia; [Newman, Stephen J.] Govt Western Australia, Dept Primary Ind &amp; Reg Dev, Western Australian Fisheries &amp; Marine Res Labs, North Beach, WA, Australia</t>
  </si>
  <si>
    <t>University of Western Australia; University of Western Australia; Curtin University; University of Tasmania; Government of Western Australia; Western Australian Fisheries &amp; Marine Research Laboratories</t>
  </si>
  <si>
    <t>Speed, CW (corresponding author), Univ Western Australia, Australian Inst Marine Sci AIMS, Indian Ocean Marine Res Ctr, Level 3, Crawley, WA, Australia.</t>
  </si>
  <si>
    <t>c.speed@aims.gov.au</t>
  </si>
  <si>
    <t>Taylor, Brett/AAC-6787-2019; McLean, Dianne/H-2449-2012</t>
  </si>
  <si>
    <t>Taylor, Brett/0000-0002-4746-7228; Thomas, Luke/0000-0001-8978-8831; Meekan, Mark/0000-0002-3067-9427; McLean, Dianne/0000-0002-0306-8348; Semmens, Jayson/0000-0003-1742-6692</t>
  </si>
  <si>
    <t>Santos</t>
  </si>
  <si>
    <t>The data for this study were collected as part of the Australian Institute of Marine Science's Northwest Shoals to Shore Research Program, supported by Santos as part of their commitment to better understanding Western Australia's marine environment.</t>
  </si>
  <si>
    <t>10.3389/fmars.2022.871611</t>
  </si>
  <si>
    <t>2Z3FE</t>
  </si>
  <si>
    <t>WOS:000826466800001</t>
  </si>
  <si>
    <t>Quillfeldt, P; Cherel, Y; Navarro, J; Phillips, RA; Masello, JF; Suazo, CG; Delord, K; Bustamante, P</t>
  </si>
  <si>
    <t>Quillfeldt, Petra; Cherel, Yves; Navarro, Joan; Phillips, Richard A.; Masello, Juan F.; Suazo, Cristian G.; Delord, Karine; Bustamante, Paco</t>
  </si>
  <si>
    <t>Variation Among Species and Populations, and Carry-Over Effects of Winter Exposure on Mercury Accumulation in Small Petrels</t>
  </si>
  <si>
    <t>FRONTIERS IN ECOLOGY AND EVOLUTION</t>
  </si>
  <si>
    <t>distribution; mercury; petrels; stable isotopes; trophic position</t>
  </si>
  <si>
    <t>PERSISTENT ORGANIC POLLUTANTS; FEEDING ECOLOGY; HALOBAENA-CAERULEA; BLUE PETRELS; TROPHIC POSITION; ILES-KERGUELEN; SEABIRDS; CONTAMINATION; DIET; METHYLMERCURY</t>
  </si>
  <si>
    <t>Even in areas as remote as the Southern Ocean, marine organisms are exposed to contaminants that arrive through long-range atmospheric transport, such as mercury (Hg), a highly toxic metal. In previous studies in the Southern Ocean, inter-specific differences in Hg contamination in seabirds was generally related to their distribution and trophic position. However, the Blue Petrel (Halobaena caerulea) was a notable exception among small seabirds, with higher Hg levels than expected. In this study, we compared the Hg contamination of Blue Petrels and Thin-billed Prions (Pachyptila belcheri), which both spend the non-breeding season in polar waters, with that of Antarctic Prions (Pachyptila desolata), which spend the winter in subtropical waters. We collected body feathers and blood samples, representing exposure during different time-frames. Hg concentrations in feathers, which reflect contamination throughout the annual cycle, were related to delta C-13 values, and varied with ocean basin and species. Blue Petrels from breeding colonies in the southeast Pacific Ocean had much higher feather Hg concentrations than expected after accounting for latitude and their low trophic positions. Both Hg concentrations and delta N-15 in blood samples of Blue Petrels were much lower at the end than at the start of the breeding period, indicating a marked decline in Hg contamination and trophic positions, and the carry-over of Hg burdens between the wintering and breeding periods. Elevated Hg levels may reflect greater reliance on myctophids or foraging in sea-ice environments. Our study underlines that carry-over of Hg concentrations in prey consumed in winter may determine body Hg burdens well into the breeding season.</t>
  </si>
  <si>
    <t>[Quillfeldt, Petra; Masello, Juan F.; Suazo, Cristian G.] Justus Liebig Univ Giessen, Dept Anim Ecol &amp; Systemat, Giessen, Germany; [Cherel, Yves; Delord, Karine] Rochelle Univ, Ctr Etud Biol Chize, UMR CNRS 7372, Villiers En Bois, France; [Navarro, Joan] Inst Ciencies Mar, Consejo Super Invest Cient, Barcelona, Spain; [Phillips, Richard A.] British Antarctic Survey, Nat Environm Res Council, Cambridge, England; [Bustamante, Paco] Rochelle Univ, Littoral Environm &amp; Soc, UMR CNRS 7266, La Rochelle, France; [Bustamante, Paco] Inst Univ France, Paris, France</t>
  </si>
  <si>
    <t>Justus Liebig University Giessen; Consejo Superior de Investigaciones Cientificas (CSIC); CSIC - Centro Mediterraneo de Investigaciones Marinas y Ambientales (CMIMA); CSIC - Instituto de Ciencias del Mar (ICM); UK Research &amp; Innovation (UKRI); Natural Environment Research Council (NERC); NERC British Antarctic Survey; Institut Universitaire de France</t>
  </si>
  <si>
    <t>Quillfeldt, P (corresponding author), Justus Liebig Univ Giessen, Dept Anim Ecol &amp; Systemat, Giessen, Germany.</t>
  </si>
  <si>
    <t>petra.quillfeldt@bio.uni-giessen.de</t>
  </si>
  <si>
    <t>Bustamante, Paco/G-5833-2011; Masello, Juan Francisco/C-7133-2009; Navarro, Joan/C-2119-2009</t>
  </si>
  <si>
    <t>Bustamante, Paco/0000-0003-3877-9390; Masello, Juan Francisco/0000-0002-6826-4016; Navarro, Joan/0000-0002-5756-9543</t>
  </si>
  <si>
    <t>DFG</t>
  </si>
  <si>
    <t>DFG(German Research Foundation (DFG))</t>
  </si>
  <si>
    <t>This study was funded by the Deutsche Forschungsgemeinschaft (DFG) in the framework of the priority programme SPP1154 Antarctic Research with comparative investigations in Arctic ice areas (Grant No. Qu148/18). The fieldwork at Kerguelen was supported financially and logistically by the Institut Polaire Francais Paul Emile Victor (IPEV, Programme N 109, C. Barbraud) and the Terres Australes et Antarctiques Francaises. We are grateful to the Contrat de Projet Etat-Region (CPER) and the Fonds Europeen de Developpement Regional (FEDER) for funding the Advanced Mercury Analyzer and the isotope-ratio mass spectrometers of LIENSs laboratory. The Institut Universitaire de France (IUF) is acknowledged for its support to PB as a Senior Member. This study represents a contribution to the Ecosystems component of the British Antarctic Survey Polar Science for Planet Earth Programme, funded by NERC. Logistical support in Bird Island was provided by the Collaborative Gearing Scheme of the Natural Environment Research Council Antarctic Funding Initiative (AFI-NERC).</t>
  </si>
  <si>
    <t>2296-701X</t>
  </si>
  <si>
    <t>FRONT ECOL EVOL</t>
  </si>
  <si>
    <t>Front. Ecol. Evol.</t>
  </si>
  <si>
    <t>10.3389/fevo.2022.915199</t>
  </si>
  <si>
    <t>2Z6WP</t>
  </si>
  <si>
    <t>WOS:000826715800001</t>
  </si>
  <si>
    <t>Joly, NB; Chiaradia, A; Georges, JY; Saraux, C</t>
  </si>
  <si>
    <t>Joly, Nicolas B.; Chiaradia, Andre; Georges, Jean-Yves; Saraux, Claire</t>
  </si>
  <si>
    <t>Environmental effects on foraging performance in little penguins: a matter of phenology and short-term variability</t>
  </si>
  <si>
    <t>Climate variation; Breeding ecology; Breeding success; Little penguin; Match/mismatch; Stratification; Waves; Currents</t>
  </si>
  <si>
    <t>EUDYPTULA-MINOR; BREEDING SUCCESS; PHILLIP-ISLAND; WIND-SPEED; SPHENISCUS MAGELLANICUS; CLIMATE-CHANGE; DIVING BIRDS; JUNK-FOOD; SEABIRDS; PREY</t>
  </si>
  <si>
    <t>Foraging provides an integrative view of the effects of environmental variability on marine predators, from direct effects through increased energetic costs at sea to indirect effects through modification of prey accessibility. Using a 19 yr automated monitoring system of similar to 400 individuals (&gt; 45 000 foraging trips), we investigated short-term and interannual variability in foraging performance (trip duration and mass gain) of breeding little penguins Eudyptula minor, nearshore seabirds living in a climate change hotspot. We found marked but variable seasonal patterns in foraging performance, with clear optimum periods but no decreases in trip duration or mass gain throughout the breeding season. Although foraging performance was less variable at the inter-annual scale, we highlighted 3 groups of low, average and good annual foraging performance. Low foraging performance during post-guard was associated with significantly lower breeding success. To understand how the environment might explain such variability, we simultaneously studied the effect of variables that may affect penguin foraging directly by altering energy costs at sea (currents, waves and tides) and indirectly by modifying prey availability (primary production and vertical stratification). Although foraging performance is often thought to mainly depend on prey accessibility, lower foraging performance was mostly associated with increased waves and currents and only secondarily with a decreased and shallower stratification. Finally, synchrony between penguin phenology and primary production cycles explained interannual foraging performance, highlighting the importance of seabird breeding phenology.</t>
  </si>
  <si>
    <t>[Joly, Nicolas B.; Georges, Jean-Yves; Saraux, Claire] Univ Strasbourg, CNRS, Inst Pluridisciplinaire Hubert Curien IPHC, UMR 7178, 23 Rue Becquerel, F-67000 Strasbourg, France; [Chiaradia, Andre] Phillip Isl Nat Pk, Conservat Dept, POB 97, Cowes, Vic 3922, Australia</t>
  </si>
  <si>
    <t>Centre National de la Recherche Scientifique (CNRS); CNRS - National Institute of Nuclear and Particle Physics (IN2P3); Universites de Strasbourg Etablissements Associes; Universite de Strasbourg</t>
  </si>
  <si>
    <t>Joly, NB (corresponding author), Univ Strasbourg, CNRS, Inst Pluridisciplinaire Hubert Curien IPHC, UMR 7178, 23 Rue Becquerel, F-67000 Strasbourg, France.</t>
  </si>
  <si>
    <t>nicolas.joly@iphc.cnrs.fr</t>
  </si>
  <si>
    <t>saraux, claire/AAX-8709-2020; Joly, Nicolas/O-5749-2016; Joly, Nicolas/IQW-1001-2023</t>
  </si>
  <si>
    <t>saraux, claire/0000-0001-5061-4009; Joly, Nicolas/0000-0003-0516-2466;</t>
  </si>
  <si>
    <t>Phillip Island Nature Parks; Penguin Foundation; Australian Academy of Science; Australian Research Council; Australian Antarctic Division; Kean Electronics; ATT Kings; CNRS through the International Emerging Action MECAPOP</t>
  </si>
  <si>
    <t>Phillip Island Nature Parks; Penguin Foundation; Australian Academy of Science; Australian Research Council(Australian Research Council); Australian Antarctic Division; Kean Electronics; ATT Kings; CNRS through the International Emerging Action MECAPOP</t>
  </si>
  <si>
    <t>We thank Phillip Island Nature Parks for their continued support and commitment to penguin research. The long-term data set received several funding sources over the years: the Penguin Foundation, Australian Academy of Science, Australian Research Council, Australian Antarctic Division, Kean Electronics and ATT Kings. The collaboration between CNRS and Phillip Island Nature Parks also received the financial support of CNRS through the International Emerging Action MECAPOP. We sincerely thank Paula Wasiak, Leanne Renwick, Marg Healy, Alona Charuvi, Marjolein van Polaten Petel, Ross Holmberg and several past students and volunteers for their tireless support in collecting these data. Without them, this work would not be possible. The study was conducted with research permits issued by the Department of Environment, Land, Water and Planning, Victorian State Government, Australia, and ethics approvals from the Animal Ethics Committee of Phillip Island Nature Parks. We sincerely thank the 3 anonymous reviewers for their helpful comments and suggestions.</t>
  </si>
  <si>
    <t>10.3354/meps14058</t>
  </si>
  <si>
    <t>2U3IU</t>
  </si>
  <si>
    <t>WOS:000823054300010</t>
  </si>
  <si>
    <t>Kooyman, RM; Ivory, SJ; Benfield, AJ; Wilf, P</t>
  </si>
  <si>
    <t>Kooyman, Robert M.; Ivory, Sarah J.; Benfield, Adam J.; Wilf, Peter</t>
  </si>
  <si>
    <t>Gondwanan survivor lineages and the high-risk biogeography of Anthropocene Southeast Asia</t>
  </si>
  <si>
    <t>JOURNAL OF SYSTEMATICS AND EVOLUTION</t>
  </si>
  <si>
    <t>Anthropocene; climate projections; Gondwana; island groups; paleo-Antarctic rainforest lineage distributions; Southeast Asia</t>
  </si>
  <si>
    <t>RAIN-FOREST; FLORISTIC EXCHANGE; ARAUCARIACEAE MACROFOSSILS; AGATHIS ARAUCARIACEAE; PLANT-GEOGRAPHY; MOUNT KINABALU; EOCENE; EVOLUTION; HISTORY; CLIMATE</t>
  </si>
  <si>
    <t>The Southeast Asian rainforest region is extremely complex and biodiverse. Fossils have shown that paleo-Antarctic rainforest lineages (PARLs) now extant in Asia tracked the ever-wet conditions needed to survive and diversify through deep time. However, the threat of future climate change to the remaining rainforest and PARLs in Southeast Asia has yet to be evaluated to set conservation priorities. We first quantified the woody-genus floristic relationships of Southeast Asian Island Groups by vetting and analyzing recent compilations of bioregional species data. We then evaluated the contributions to community assembly of woody fossil lineages and Island Group relationships to environmental gradients. To better understand climatic constraints of fossil lineage distributions and forecast distributions under projected future climate, we used exemplar living woody PARLs, including two angiosperms and two gymnosperms. Generalized linear models were used to project potential distributions under future climate pathways that assume no reduction in carbon dioxide emissions. The floristic analyses highlighted strong similarities among Island Groups in the ever-wet forest areas of Malesia, where PARLs are often concentrated. Ordination outliers represented more seasonal locations. Species distribution models showed that potential future distributions of ancient lineages are constrained by increasing rainfall seasonality and higher seasonal temperatures, with significant differences among exemplar genera. Notably, potential distributions often mapped onto de facto inaccessible areas, where forest clearing and the ubiquitous marine dispersal barriers that characterize the region will drastically inhibit potential relocation. These realities gravely threaten paleo-conservation values and contemporary rainforest community assembly processes in Southeast Asia.</t>
  </si>
  <si>
    <t>[Kooyman, Robert M.] Macquarie Univ, Dept Biol Sci, Sydney, NSW 2109, Australia; [Kooyman, Robert M.] Royal Bot Gardens, Sydney, NSW 2000, Australia; [Ivory, Sarah J.; Benfield, Adam J.; Wilf, Peter] Penn State Univ, Dept Geosci, University Pk, PA 16802 USA; [Ivory, Sarah J.; Wilf, Peter] Penn State Univ, Earth &amp; Environm Syst Inst, University Pk, PA 16802 USA</t>
  </si>
  <si>
    <t>Macquarie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</si>
  <si>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Kooyman, RM (corresponding author), Macquarie Univ, Dept Biol Sci, Sydney, NSW 2109, Australia.;Kooyman, RM (corresponding author), Royal Bot Gardens, Sydney, NSW 2000, Australia.</t>
  </si>
  <si>
    <t>robert.kooyman@mq.edu.au</t>
  </si>
  <si>
    <t>; Kooyman, Robert/H-3347-2017</t>
  </si>
  <si>
    <t>Wilf, Peter/0000-0001-6813-1937; Kooyman, Robert/0000-0003-1985-9547; Benfield, Adam/0000-0002-2327-9724</t>
  </si>
  <si>
    <t>NSF [DEB-1556666, EAR-1925755]</t>
  </si>
  <si>
    <t>NSF(National Science Foundation (NSF))</t>
  </si>
  <si>
    <t>We thank Shawn Laffan for climate and elevation data as centroids by Island Group, and NSF grants DEB-1556666 and EAR-1925755 for financial support.</t>
  </si>
  <si>
    <t>1674-4918</t>
  </si>
  <si>
    <t>1759-6831</t>
  </si>
  <si>
    <t>J SYST EVOL</t>
  </si>
  <si>
    <t>J. Syst. Evol.</t>
  </si>
  <si>
    <t>10.1111/jse.12853</t>
  </si>
  <si>
    <t>3S5GJ</t>
  </si>
  <si>
    <t>WOS:000819315000001</t>
  </si>
  <si>
    <t>BEKAERT, DV; CURTICE, J; MEIER, MMM; BYRNE, DJ; BROADLEY, MW; SELTZER, A; BARRY, P; KURZ, MD; NIELSEN, SG</t>
  </si>
  <si>
    <t>BEKAERT, David V.; CURTICE, Joshua; MEIER, Matthias M. M.; BYRNE, David J.; BROADLEY, Michael W.; SELTZER, Alan; BARRY, Peter; KURZ, Mark D.; NIELSEN, Sune G.</t>
  </si>
  <si>
    <t>Determining the noble gas cosmic ray exposure ages of 23 meteorites (8 chondrites and 15 achondrites) from modeling and empirical methods</t>
  </si>
  <si>
    <t>COSMOGENIC NUCLIDES; PRODUCTION-RATES; RARE-GASES; ISOTOPIC COMPOSITION; PRESOLAR DIAMONDS; NEON; STONY; ABUNDANCES; UREILITES; PLANETARY</t>
  </si>
  <si>
    <t>We present He-Ne-Ar isotope data for 23 meteorite samples mainly recovered in Antarctica (six ordinary chondrites [OC], two CV chondrites, eight eucrites, one diogenite, and six ureilites), which are used to compute radiogenic gas retention ages and cosmic ray exposure (CRE) ages using both empirical and modeling approaches. For all samples where both K-40-Ar-40 and U,Th-He-4 retention ages could be derived, we find that U,Th-He-4 ages are systematically lower than K-40-Ar-40 ages, likely reflecting preferential diffusive loss of He relative to Ar. There is good agreement between empirically derived CRE ages calculated by (Ne-22/Ne-21)(cos)-He-3(cos) and (Ne-22/Ne-21)(cos)-Ne-21(cos) approaches; where discrepancies occur, the (Ne-22/Ne-21)(cos)-He-3(cos) approach systematically yields lower CRE ages, also likely due to He-3 loss. Overall, CRE ages derived from the empirical and modeling approaches show excellent agreement, within similar to 10%. CRE ages derived for OC (4-24 Myr), CV chondrites (12-26 Myr), eucrites (4-45 Myr), the diogenite (30 Myr), and ureilites (&lt;10 Myr) are in line with previous investigations of these meteorite groups. Some ureilites and one eucrite exhibit remarkably high cosmogenic Ne-22/Ne-21 &gt; 1.24, as previously observed in various other rare achondrites. These samples likely contain solar cosmic ray-produced Ne (SCR-Ne) in addition to the commonly found galactic cosmic ray-produced Ne (GCR-Ne), implying low pre-atmospheric shielding and limited ablation upon atmospheric entry. The presence of SCR-Ne complicates the determination of the pure GCR-Ne-22/Ne-21, hampering its use as a shielding indicator. Nonetheless, we suggest that a first-order correction for SCR-Ne contribution can be used to derive a range of potential CRE ages for each sample.</t>
  </si>
  <si>
    <t>[BEKAERT, David V.; CURTICE, Joshua; SELTZER, Alan; BARRY, Peter; KURZ, Mark D.] Woods Hole Oceanog Inst, Marine Chem Geochem Dept, Woods Hole, MA 02543 USA; [BEKAERT, David V.; NIELSEN, Sune G.] Woods Hole Oceanog Inst, Dept Geol &amp; Geophys, Woods Hole, MA 02543 USA; [BEKAERT, David V.; NIELSEN, Sune G.] Woods Hole Oceanog Inst, NIRVANA Labs, Woods Hole, MA 02543 USA; [MEIER, Matthias M. M.] Naturmuseum St Gallen, Rorschacher Str 263, CH-9016 St Gallen, Switzerland; [BYRNE, David J.; BROADLEY, Michael W.] Ctr Rech Petrog &amp; Geochim, Vandoeuvre Les Nancy, France</t>
  </si>
  <si>
    <t>Woods Hole Oceanographic Institution; Woods Hole Oceanographic Institution; Woods Hole Oceanographic Institution; Universite de Lorraine</t>
  </si>
  <si>
    <t>BEKAERT, DV (corresponding author), Woods Hole Oceanog Inst, Marine Chem Geochem Dept, Woods Hole, MA 02543 USA.;BEKAERT, DV (corresponding author), Woods Hole Oceanog Inst, Dept Geol &amp; Geophys, Woods Hole, MA 02543 USA.;BEKAERT, DV (corresponding author), Woods Hole Oceanog Inst, NIRVANA Labs, Woods Hole, MA 02543 USA.</t>
  </si>
  <si>
    <t>david.bekaert8@gmail.com</t>
  </si>
  <si>
    <t>Barry, Peter/0000-0002-6960-1555; Nielsen, Sune/0000-0002-0458-3739; Meier, Matthias/0000-0002-7179-4173</t>
  </si>
  <si>
    <t>NASA Emerging Worlds grant [NNX16AD36G]; NSF; NASA; NASA [906726, NNX16AD36G] Funding Source: Federal RePORTER</t>
  </si>
  <si>
    <t>NASA Emerging Worlds grant; NSF(National Science Foundation (NSF)); NASA(National Aeronautics &amp; Space Administration (NASA)); NASA(National Aeronautics &amp; Space Administration (NASA))</t>
  </si>
  <si>
    <t>This study was funded by NASA Emerging Worlds grant NNX16AD36G to S.G.N. We thank NASA-JSC and Tony Irving for access to meteorite samples. US Antarctic meteorite samples are recovered by the Antarctic Search for Meteorites (ANSMET) program, which has been funded by NSF and NASA, and characterized and curated by the Astromaterials Curation Office at NASA Johnson Space Center and the Department of Mineral Sciences of the Smithsonian Institution. We gratefully thank the reviewer Ulrich Ott and associate editor Ingo Leya for their detailed and constructive comments that greatly improved the quality of our manuscript.</t>
  </si>
  <si>
    <t>10.1111/maps.13887</t>
  </si>
  <si>
    <t>3M8ZP</t>
  </si>
  <si>
    <t>WOS:000819041600001</t>
  </si>
  <si>
    <t>Nargar, K; O'Hara, K; Mertin, A; Bent, SJ; Nauheimer, L; Simpson, L; Zimmer, H; Molloy, BPJ; Clements, MA</t>
  </si>
  <si>
    <t>Nargar, Katharina; O'Hara, Kate; Mertin, Allison; Bent, Stephen J.; Nauheimer, Lars; Simpson, Lalita; Zimmer, Heidi; Molloy, Brian P. J.; Clements, Mark A.</t>
  </si>
  <si>
    <t>Evolutionary Relationships and Range Evolution of Greenhood Orchids (Subtribe Pterostylidinae): Insights From Plastid Phylogenomics</t>
  </si>
  <si>
    <t>Australia; climate change; divergence-time estimation; long-distance dispersal; range evolution; Orchidaceae; phylogenetics; Pterostylis</t>
  </si>
  <si>
    <t>PHYLOGENETIC ANALYSIS; DIVERSIFICATION; MODEL; CLOCK; CLASSIFICATION; BIOGEOGRAPHY; EXTINCTION; DISPERSAL; ALGORITHM; INFERENCE</t>
  </si>
  <si>
    <t>Australia harbours a rich and highly endemic orchid flora with over 90% of native species found nowhere else. However, little is known about the assembly and evolution of Australia's orchid flora. Here, we used a phylogenomic approach to infer evolutionary relationships, divergence times and range evolution in Pterostylidinae (Orchidoideae), the second largest subtribe in the Australian orchid flora, comprising the genera Pterostylis and Achlydosa. Phylogenetic analysis of 75 plastid genes provided well-resolved and supported phylogenies. Intrageneric relationships in Pterostylis were clarified and monophyly of eight of 10 sections supported. Achlydosa was found to not form part of Pterostylidinae and instead merits recognition at subtribal level, as Achlydosinae. Pterostylidinae were inferred to have originated in eastern Australia in the early Oligocene, coinciding with the complete separation of Australia from Antarctica and the onset of the Antarctic Circumpolar Current, which led to profound changes in the world's climate. Divergence of all major lineages occurred during the Miocene, accompanied by increased aridification and seasonality of the Australian continent, resulting in strong vegetational changes from rainforest to more open sclerophyllous vegetation. The majority of extant species were inferred to have originated in the Quaternary, from the Pleistocene onwards. The rapid climatic oscillations during the Pleistocene may have acted as important driver of speciation in Pterostylidinae. The subtribe underwent lineage diversification mainly within its ancestral range, in eastern Australia. Long-distance dispersals to southwest Australia commenced from the late Miocene onwards, after the establishment of the Nullarbor Plain, which constitutes a strong edaphic barrier to mesic plants. Range expansions from the mesic into the arid zone of eastern Australia (Eremaean region) commenced from the early Pleistocene onwards. Extant distributions of Pterostylidinae in other Australasian regions, such as New Zealand and New Caledonia, are of more recent origin, resulting from long-distance dispersals from the Pliocene onwards. Temperate eastern Australia was identified as key source area for dispersals to other Australasian regions.</t>
  </si>
  <si>
    <t>[Nargar, Katharina; O'Hara, Kate; Mertin, Allison; Nauheimer, Lars; Simpson, Lalita] James Cook Univ, Australian Trop Herbarium, Cairns, Qld, Australia; [Nargar, Katharina; O'Hara, Kate; Mertin, Allison] Commonwealth Ind &amp; Sci Res Org CSIRO, Natl Res Collect Australia, Canberra, ACT, Australia; [O'Hara, Kate] Australian Natl Univ, Res Sch Biol, Div Ecol &amp; Evolut, Canberra, ACT, Australia; [Bent, Stephen J.] Commonwealth Sci &amp; Ind Res Org CSIRO, DATA61, Brisbane, Qld, Australia; [Zimmer, Heidi; Clements, Mark A.] Ctr Australian Natl Biodivers Res &amp; CSIRO, Canberra, ACT, Australia; [Molloy, Brian P. J.] Allan Herbarium, Manaaki Whenua Landcare Res, Lincoln, New Zealand</t>
  </si>
  <si>
    <t>James Cook University; Commonwealth Scientific &amp; Industrial Research Organisation (CSIRO); Australian National University; Commonwealth Scientific &amp; Industrial Research Organisation (CSIRO); Landcare Research - New Zealand</t>
  </si>
  <si>
    <t>Nargar, K (corresponding author), James Cook Univ, Australian Trop Herbarium, Cairns, Qld, Australia.;Nargar, K (corresponding author), Commonwealth Ind &amp; Sci Res Org CSIRO, Natl Res Collect Australia, Canberra, ACT, Australia.</t>
  </si>
  <si>
    <t>katharina.nargar@csiro.au</t>
  </si>
  <si>
    <t>Nargar, Katharina/K-1256-2012; Bent, Stephen/A-7094-2011</t>
  </si>
  <si>
    <t>Nargar, Katharina/0000-0002-0459-5991; Simpson, Lalita/0000-0003-3165-881X; Bent, Stephen/0000-0003-1563-2855; Zimmer, Heidi/0000-0002-8496-7360; Mertin, Allison/0000-0002-2386-4026</t>
  </si>
  <si>
    <t>Australian Biological Resources Study (Dept. of Agriculture, Water and Environment, Australian Government) [NTRGP BBR210-34]; Australian Orchid Foundation [325.18]; National Research Collections Australia (CSIRO); Australian Tropical Herbarium</t>
  </si>
  <si>
    <t>Australian Biological Resources Study (Dept. of Agriculture, Water and Environment, Australian Government); Australian Orchid Foundation; National Research Collections Australia (CSIRO); Australian Tropical Herbarium</t>
  </si>
  <si>
    <t>The study was supported by the Australian Biological Resources Study (Dept. of Agriculture, Water and Environment, Australian Government, NTRGP BBR210-34) and the Australian Orchid Foundation (325.18). The authors acknowledge the contribution of Bioplatforms Australia in the generation of data used in this publication. Bioplatforms Australia is enabled by NCRIS. KO'H and AM were granted vacation scholarships from the National Research Collections Australia (CSIRO) and KO'H received a travel grant from the Australian Tropical Herbarium.</t>
  </si>
  <si>
    <t>JUN 29</t>
  </si>
  <si>
    <t>10.3389/fpls.2022.912089</t>
  </si>
  <si>
    <t>2Z7DT</t>
  </si>
  <si>
    <t>Green Published, Green Accepted, Green Submitted, gold</t>
  </si>
  <si>
    <t>WOS:000826734400001</t>
  </si>
  <si>
    <t>Miles, BWJ; Stokes, CR; Jamieson, SSR; Jordan, JR; Gudmundsson, GH; Jenkins, A</t>
  </si>
  <si>
    <t>Miles, Bertie W. J.; Stokes, Chris R.; Jamieson, Stewart S. R.; Jordan, Jim R.; Gudmundsson, G. Hilmar; Jenkins, Adrian</t>
  </si>
  <si>
    <t>High spatial and temporal variability in Antarctic ice discharge linked to ice shelf buttressing and bed geometry</t>
  </si>
  <si>
    <t>PINE ISLAND GLACIER; NOVA BAY POLYNYA; AMUNDSEN SEA EMBAYMENT; LUTZOW-HOLM BAY; EAST ANTARCTICA; MASS-LOSS; TOTTEN GLACIER; OCEAN; LAND; RETREAT</t>
  </si>
  <si>
    <t>Antarctica's contribution to global mean sea level rise has been driven by an increase in ice discharge into the oceans. The rate of change and the mechanisms that drive variability in ice discharge are therefore important to consider in the context of projected future warming. Here, we report observations of both decadal trends and inter-annual variability in ice discharge across the Antarctic Ice Sheet at a variety of spatial scales that range from large drainage basins to individual outlet glacier catchments. Overall, we find a 37 +/- 11 Gt year(-1) increase in discharge between 1999 and 2010, but a much smaller increase of 4 +/- 8 Gt year(-1) between 2010 and 2018. Furthermore, comparisons reveal that neighbouring outlet glaciers can behave synchronously, but others show opposing trends, despite their close proximity. We link this spatial and temporal variability to changes in ice shelf buttressing and the modulating effect of local glacier geometry.</t>
  </si>
  <si>
    <t>[Miles, Bertie W. J.] Univ Edinburgh, Sch Geosci, Edinburgh EH8 9XP, Midlothian, Scotland; [Miles, Bertie W. J.; Stokes, Chris R.; Jamieson, Stewart S. R.] Univ Durham, Dept Geog, Durham DH1 3LE, England; [Jordan, Jim R.; Gudmundsson, G. Hilmar; Jenkins, Adrian] Northumbria Univ, Dept Geog &amp; Environm Sci, Newcastle Upon Tyne NE1 8ST, Tyne &amp; Wear, England; [Jordan, Jim R.] Univ Libre Bruxelles, Lab Glaciol, Brussels, Belgium</t>
  </si>
  <si>
    <t>University of Edinburgh; Durham University; Northumbria University; Universite Libre de Bruxelles</t>
  </si>
  <si>
    <t>Miles, BWJ (corresponding author), Univ Edinburgh, Sch Geosci, Edinburgh EH8 9XP, Midlothian, Scotland.;Miles, BWJ (corresponding author), Univ Durham, Dept Geog, Durham DH1 3LE, England.</t>
  </si>
  <si>
    <t>bertie.miles@ed.ac.uk</t>
  </si>
  <si>
    <t>Gudmundsson, Gudmundur Hilmar/AAU-5987-2020; Stokes, Chris R/A-1957-2011; Jenkins, Adrian/IUN-2406-2023</t>
  </si>
  <si>
    <t>Gudmundsson, Gudmundur Hilmar/0000-0003-4236-5369; Jordan, Jim/0000-0001-8117-1976; Jenkins, Adrian/0000-0002-9117-0616</t>
  </si>
  <si>
    <t>NERC [NE/R000824/1]; Leverhulme Early Career Fellowship; NERC [NE/L007037/1, NE/R000719/1, NE/R000824/1] Funding Source: UKRI</t>
  </si>
  <si>
    <t>NERC(UK Research &amp; Innovation (UKRI)Natural Environment Research Council (NERC)); Leverhulme Early Career Fellowship(Leverhulme Trust); NERC(UK Research &amp; Innovation (UKRI)Natural Environment Research Council (NERC))</t>
  </si>
  <si>
    <t>This research has been supported by NERC (Grant No. NE/R000824/1) and BM was also supported by a Leverhulme Early Career Fellowship.</t>
  </si>
  <si>
    <t>10.1038/s41598-022-13517-2</t>
  </si>
  <si>
    <t>2O3SW</t>
  </si>
  <si>
    <t>WOS:000818983300077</t>
  </si>
  <si>
    <t>Kim, SL; Yeakel, JD; Balk, MA; Eberle, JJ; Zeichner, S; Fieman, D; Kriwet, J</t>
  </si>
  <si>
    <t>Kim, Sora L.; Yeakel, Justin D.; Balk, Meghan A.; Eberle, Jaelyn J.; Zeichner, Sarah; Fieman, Dina; Kriwet, Juergen</t>
  </si>
  <si>
    <t>Decoding the dynamics of dental distributions: insights from shark demography and dispersal</t>
  </si>
  <si>
    <t>metapopulation; Gulf of Mexico; Arctic; Antarctic; Delaware Bay; latitudinal gradient</t>
  </si>
  <si>
    <t>SAND TIGER SHARKS; CARCHARIAS-TAURUS; SEYMOUR ISLAND; NURSERY AREAS; HABITAT USE; FAUNA; LIFE; PATTERNS; ATLANTIC; MODEL</t>
  </si>
  <si>
    <t>Shark teeth are one of the most abundant vertebrate fossils, and because tooth size generally correlates with body size, their accumulations document the size structure of populations. Understanding how ecological and environmental processes influence size structure, and how this extends to influence these dental distributions, may offer a window into the ecological and environmental dynamics of past and present shark populations. Here, we examine the dental distributions of sand tigers, including extant Carcharias taurus and extinct Striatolamia macrota, to reconstruct the size structure for a contemporary locality and four Eocene localities. We compare empirical distributions against expectations from a population simulation to gain insight into potential governing ecological processes. Specifically, we investigate the influence of dispersal flexibility to and from protected nurseries. We show that changing the flexibility of initial dispersal of juveniles from the nursery and annual migration of adults to the nursery explains a large amount of dental distribution variability. Our framework predicts dispersal strategies of an extant sand tiger population, and supports nurseries as important components of sand tiger life history in both extant and Eocene populations. These results suggest nursery protection may be vital for shark conservation with increasing anthropogenic impacts and climate change.</t>
  </si>
  <si>
    <t>[Kim, Sora L.; Yeakel, Justin D.] Univ Calif Merced, Sch Nat Sci, Merced, CA 95343 USA; [Kim, Sora L.; Zeichner, Sarah] Univ Chicago, Dept Geophys Sci, Chicago, IL 60637 USA; [Balk, Meghan A.] Natl Ecol Observ Network, Paleobiol, Boulder, CO USA; [Eberle, Jaelyn J.] Univ Colorado, Museum Nat Hist, Dept Geol Sci, Boulder, CO USA; [Zeichner, Sarah] CALTECH, Div Geol &amp; Planetary Sci, Pasadena, CA USA; [Fieman, Dina] Victoria Univ Wellington, Sch Geog,Environm &amp; Earth Sci, Wellington, New Zealand; [Kriwet, Juergen] Univ Vienna, Dept Paleontol, Vienna, Austria</t>
  </si>
  <si>
    <t>University of California System; University of California Merced; University of Chicago; University of Colorado System; University of Colorado Boulder; California Institute of Technology; Victoria University Wellington; University of Vienna</t>
  </si>
  <si>
    <t>Kim, SL (corresponding author), Univ Calif Merced, Sch Nat Sci, Merced, CA 95343 USA.;Kim, SL (corresponding author), Univ Chicago, Dept Geophys Sci, Chicago, IL 60637 USA.</t>
  </si>
  <si>
    <t>skim380@ucmerced.edu</t>
  </si>
  <si>
    <t>Kim, Sora/HZK-4185-2023</t>
  </si>
  <si>
    <t>Yeakel, Justin/0000-0002-6597-3511; EBERLE, JAELYN/0000-0001-6890-9112; Kim, Sora/0000-0002-4900-3101</t>
  </si>
  <si>
    <t>10.1098/rspb.2022.0808</t>
  </si>
  <si>
    <t>2M8YN</t>
  </si>
  <si>
    <t>WOS:000817978500002</t>
  </si>
  <si>
    <t>Li, X; Zhang, SK; Geng, T; Li, JX; Zhu, BX; Liu, LX; Xiao, F</t>
  </si>
  <si>
    <t>Li, Xiao; Zhang, Shengkai; Geng, Tong; Li, JiaXing; Zhu, BenXin; Liu, Laixing; Xiao, Feng</t>
  </si>
  <si>
    <t>An improved algorithm for extracting crossovers of satellite ground tracks</t>
  </si>
  <si>
    <t>COMPUTERS &amp; GEOSCIENCES</t>
  </si>
  <si>
    <t>Satellite altimetry; Elevation changes; CryoSat-2; Crossover; Ice shelf</t>
  </si>
  <si>
    <t>ANTARCTIC ICE-SHEET; ELEVATION CHANGE; SURFACE ELEVATION; RADAR ALTIMETRY; VOLUME CHANGE; MASS-LOSS; GREENLAND; ENVISAT; MODEL; RATES</t>
  </si>
  <si>
    <t>A crossover refers to the intersection of two satellite ground tracks. Crossovers are required for performing crossover differences adjustment to remove the orbit error and for establishing the time series of elevation in surfaces, which is why crossovers are important for satellite altimetry measurements of ice sheet or ice shelf elevation changes. How to extract more crossovers precisely is the objective of this paper. On the basis of the traditional method of solving crossovers and computer graphics, this paper proposes an improved algorithm called improved rapid rejection and straddle test (IRST) for computing the position of the crossover point. This algorithm efficiently and accurately searches for two points in ascending pass and two points in descending pass that can form a crossover, and then computes crossovers' geolocation. By using CryoSat-2 satellite altimeter data, we conducted our study on the Antarctic Ross ice shelf and Filchner-Ronne ice shelf using the fixed iteration (FI) algorithm, rapid rejection and straddle test (RST) algorithm, and the IRST algorithm. Results show that IRST is superior to the two other algorithms in terms of the number of crossovers, geolocation accuracy and computational efficiency. These advantages are more noticeable in the border areas between the ice shelf and the mountain with large terrain slope, which solves the problem that crossovers are less in these areas with poorquality data coverage.</t>
  </si>
  <si>
    <t>[Li, Xiao; Zhang, Shengkai; Geng, Tong; Li, JiaXing; Zhu, BenXin; Xiao, Feng] Wuhan Univ, Chinese Antarct Ctr Surveying &amp; Mapping, Wuhan 430079, Peoples R China; [Liu, Laixing] Wuhan Inst Technol, Sch Management, Wuhan 430079, Peoples R China</t>
  </si>
  <si>
    <t>Wuhan University; Wuhan Institute of Technology</t>
  </si>
  <si>
    <t>Xiao, F (corresponding author), Wuhan Univ, Chinese Antarct Ctr Surveying &amp; Mapping, Wuhan 430079, Peoples R China.</t>
  </si>
  <si>
    <t>shaw89@whu.edu.cn</t>
  </si>
  <si>
    <t>Natural Science Foundation of China [41730102]; National Key Research and Development Program of China [2017YFA0603104]</t>
  </si>
  <si>
    <t>Natural Science Foundation of China(National Natural Science Foundation of China (NSFC)); National Key Research and Development Program of China</t>
  </si>
  <si>
    <t>Acknowledgments This research was funded by the Natural Science Foundation of China, (grant no. 41730102) and the National Key Research and Development Program of China (grant no. 2017YFA0603104) .</t>
  </si>
  <si>
    <t>0098-3004</t>
  </si>
  <si>
    <t>1873-7803</t>
  </si>
  <si>
    <t>COMPUT GEOSCI-UK</t>
  </si>
  <si>
    <t>Comput. Geosci.</t>
  </si>
  <si>
    <t>10.1016/j.cageo.2022.105179</t>
  </si>
  <si>
    <t>Computer Science, Interdisciplinary Applications; Geosciences, Multidisciplinary</t>
  </si>
  <si>
    <t>Computer Science; Geology</t>
  </si>
  <si>
    <t>3B7DZ</t>
  </si>
  <si>
    <t>WOS:000828098300001</t>
  </si>
  <si>
    <t>Chapori, NG; Laprida, C; Lo Prete, D; Chiessi, CM; Mayr, C; Violante, RA</t>
  </si>
  <si>
    <t>Chapori, Natalia Garcia; Laprida, Cecilia; Lo Prete, Daniel; Chiessi, Cristiano M.; Mayr, Christoph; Violante, Roberto A.</t>
  </si>
  <si>
    <t>Holocene palaeoceanographic history of the western South Atlantic</t>
  </si>
  <si>
    <t>Western South Atlantic; Holocene; Paleoceanography; Paleoclimate</t>
  </si>
  <si>
    <t>ANTARCTIC INTERMEDIATE WATER; SEA-SURFACE TEMPERATURE; HIGH-LATITUDE CLIMATE; SEDIMENT CORE; ISOTOPIC COMPOSITION; OCEAN CIRCULATION; TROPICAL ATLANTIC; ATMOSPHERIC CO2; ICE-SHELF; VARIABILITY</t>
  </si>
  <si>
    <t>Although the circulation of the western South Atlantic tightly controls the meridional heat and salt transport, our knowledge about its long-term past changes is still fragmented and sparse. While many studies focused their attention on the last glacial and deglaciation periods, Holocene studies mostly lack of an integrated analysis from the subtropical and midlatitude regions. The analysis of selected regionally distributed palaeoceanographic records along the western South Atlantic between 27 and 39S reveals that, although weaker in amplitude than the dramatic shifts of the last glacial cycle, the Brazil-Malvinas Confluence region showed substantial changes throughout the Holocene. The shift in the location of both southern and northern source waters in the Atlantic implied a strengthening of the Southern Atlantic Meridional Overturning Circulation since the Mid-Holocene. This, together with the progressive southward displacement of the Brazil-Malvinas Confluence confirms the progressive weakening of the Atlantic Meridional Overturning Circulation towards the preindustrial times.</t>
  </si>
  <si>
    <t>[Chapori, Natalia Garcia; Laprida, Cecilia; Lo Prete, Daniel] UBA, Inst Estudios Andinos Don Pablo Groeber, CONICET, Buenos Aires, Argentina; [Laprida, Cecilia] UBA, Dept Ecol Genet &amp; Evoluc, FCEN, Buenos Aires, Argentina; [Chiessi, Cristiano M.] Univ Sao Paulo, Sch Arts Sci &amp; Humanities, Sao Paulo, Brazil; [Mayr, Christoph] Friedrich Alexander Univ, Inst Geog, Erlangen, Germany; [Mayr, Christoph] Ludwig Maximilians Univ Munchen, Dept Earth &amp; Environm Sci, Munich, Germany; [Mayr, Christoph] Ludwig Maximilians Univ Munchen, GeoBio Ctr, Munich, Germany; [Violante, Roberto A.] SHN, Div Marine Geol &amp; Geophys, Buenos Aires, Argentina</t>
  </si>
  <si>
    <t>University of Buenos Aires; Consejo Nacional de Investigaciones Cientificas y Tecnicas (CONICET); University of Buenos Aires; Universidade de Sao Paulo; University of Erlangen Nuremberg; University of Munich; University of Munich</t>
  </si>
  <si>
    <t>Chapori, NG (corresponding author), UBA, Inst Estudios Andinos Don Pablo Groeber, CONICET, Buenos Aires, Argentina.</t>
  </si>
  <si>
    <t>natalia.garcia.chapori@gmail.com</t>
  </si>
  <si>
    <t>Chiessi, Cristiano Mazur/E-1916-2012; Chiessi, Cristiano Mazur/JAZ-0806-2023</t>
  </si>
  <si>
    <t>Chiessi, Cristiano Mazur/0000-0003-3318-8022; Chiessi, Cristiano Mazur/0000-0003-3318-8022; Garcia Chapori, Natalia/0000-0003-1022-2080; LAPRIDA, CECILIA/0000-0001-9666-0983; Mayr, Christoph/0000-0001-9002-9963</t>
  </si>
  <si>
    <t>ANPCyT [PICT 2017-1458]; CONICET [PIP11220150100038CO]; UBACyT, Argentina [20020190100204BA]; FAPESP [2018/15123-4, 2019/24349-9]; CAPES [88881.313535/201901]; CNPq [312458/2020-7]; Alex-ander von Humboldt Foundation</t>
  </si>
  <si>
    <t>ANPCyT(ANPCyT); CONICET(Consejo Nacional de Investigaciones Cientificas y Tecnicas (CONICET)); UBACyT, Argentina; FAPESP(Fundacao de Amparo a Pesquisa do Estado de Sao Paulo (FAPESP)); CAPES(Coordenacao de Aperfeicoamento de Pessoal de Nivel Superior (CAPES)); CNPq(Conselho Nacional de Desenvolvimento Cientifico e Tecnologico (CNPQ)); Alex-ander von Humboldt Foundation(Alexander von Humboldt Foundation)</t>
  </si>
  <si>
    <t>This research was supported by the ANPCyT (PICT 2017-1458) , CONICET (PIP11220150100038CO) and UBACyT (20020190100204BA) of Argentina. C.M. Chiessi acknowledges the financial support from FAPESP (grants 2018/15123-4 and 2019/24349-9) , CAPES (grant 88881.313535/201901) , CNPq (grant 312458/2020-7) and the Alex-ander von Humboldt Foundation. We also acknowledge the two reviewers for their comments and suggestions which highly enriched this contribution. This is publication number R-399 of the IDEAN (UBA-CONICET) . The data of this study are available in www.pangaea.de related to this contribution.</t>
  </si>
  <si>
    <t>10.1016/j.jsames.2022.103896</t>
  </si>
  <si>
    <t>2T7EJ</t>
  </si>
  <si>
    <t>WOS:000822632900005</t>
  </si>
  <si>
    <t>Wei, XY; Zhu, GP</t>
  </si>
  <si>
    <t>Wei, Xiaoying; Zhu, Guoping</t>
  </si>
  <si>
    <t>Shape and ontogenetic changes in otolith of the ocellated icefish (Chionodraco rastrospinosus) from the Bransfield Strait, Antarctic</t>
  </si>
  <si>
    <t>ZOOLOGY</t>
  </si>
  <si>
    <t>Channichthyidae; Ecomorphology; Sagittae; Life history; Antarctic Peninsula</t>
  </si>
  <si>
    <t>ECO-MORPHOLOGICAL PATTERNS; SAGITTAL OTOLITH; REGIONAL DIFFERENCES; FISH; GROWTH; ANCHOVY; LARVAL; STOCK; SIZE; AGE</t>
  </si>
  <si>
    <t>Fish otolith shapes record ecological information of fish and are an important tool in taxonomic, phylogenetic, and dietary studies. Shape and ontogenetic variations in the otoliths of ocellated icefish (Chionodraco rastrospinosus) in the Bransfield Strait, northern Antarctic Peninsula, were analyzed. Ontogenetic changes in otolith morphology were evident. The size of the otoliths mainly grew along the antero-posterior axis. The rostrum and pararostrum developed more than the antirostrum and postrostrum. Otolith variation occurred mainly in the dorsal side compared to ventral side. A row of small holes in the central region of the medial side and an irregular protruded structure on both sides of them, were specific diagnostic characteristics of C. rastrospinosus otoliths compared to other species of Chionodraco. Based on hierarchical clustering analysis, four types of otolith shapes are clearly distinguished, corresponding to larval, juvenile, young, and adult stages of C. rastrospinosus. This work contributes to the understanding of the ecology of commercially important benthic fishes and provides key information for ecomorphology study and fishery management of this species. We suggest the effect of ontogeny needs to be considered when otolith shape data are used to study population structure and life history of this species.</t>
  </si>
  <si>
    <t>[Wei, Xiaoying; Zhu, Guoping] Shanghai Ocean Univ, Coll Marine Sci, Shanghai 201306, Peoples R China; [Wei, Xiaoying; Zhu, Guoping] Shanghai Ocean Univ, Ctr Polar Res, Shanghai 201306, Peoples R China; [Zhu, Guoping] Natl Engn Res Ctr Ocean Fisheries, Shanghai 201306, Peoples R China; [Zhu, Guoping] Shanghai Ocean Univ, Key Lab Sustainable Exploitat Ocean Fisheries Reso, Polar Marine Ecosyst Grp, Minist Educ, Shanghai 201306, Peoples R China</t>
  </si>
  <si>
    <t>Shanghai Ocean University; Shanghai Ocean University; National Engineering Research Center for Oceanic Fisheries; Shanghai Ocean University</t>
  </si>
  <si>
    <t>xywei@shou.edu.cn; gpzhu@shou.edu.cn</t>
  </si>
  <si>
    <t>We are grateful to the captains of large-scale trawlers Furonghai and Longteng and the scientific observers onboard those vessels for fish sampling and processing. Team members of the Polar Marine Ecosystem Laboratory, Shanghai Ocean University deserves special recognition for their efforts in the laboratory. We also thank the College of Marine Sciences at Shanghai Ocean University for providing the facilities in the laboratory that make this study happen. Funding was provided by the National Science Foundation of China (grant no 41776185 to G.P.Z.) , and the National Key Research and Development Program of China (grant no 2018YFC1406801 to G.P.Z.) .</t>
  </si>
  <si>
    <t>0944-2006</t>
  </si>
  <si>
    <t>1873-2720</t>
  </si>
  <si>
    <t>10.1016/j.zool.2022.126025</t>
  </si>
  <si>
    <t>2W5VI</t>
  </si>
  <si>
    <t>WOS:000824591100002</t>
  </si>
  <si>
    <t>Muster, C; Leiva, D; Morales, C; Grafe, M; Schloter, M; Caru, M; Orlando, J</t>
  </si>
  <si>
    <t>Muster, Cecilia; Leiva, Diego; Morales, Camila; Grafe, Martin; Schloter, Michael; Caru, Margarita; Orlando, Julieta</t>
  </si>
  <si>
    <t>Peltigera frigida Lichens and Their Substrates Reduce the Influence of Forest Cover Change on Phosphate Solubilizing Bacteria</t>
  </si>
  <si>
    <t>Chilean Patagonia; lichen microbiome; Nothofagus forests; phosphorus cycling; Peltigera</t>
  </si>
  <si>
    <t>LAND-USE CHANGE; PHOSPHORUS FRACTIONS; COMMUNITY STRUCTURE; NORWAY SPRUCE; LARGE SUBUNIT; SOIL; DIVERSITY; PINE; RHIZOSPHERE; GENETICS</t>
  </si>
  <si>
    <t>Phosphorus (P) is one of the most critical macronutrients in forest ecosystems. More than 70 years ago, some Chilean Patagonian temperate forests suffered wildfires and the subsequent afforestation with foreign tree species such as pines. Since soil P turnover is interlinked with the tree cover, this could influence soil P content and bioavailability. Next to soil microorganisms, which are key players in P transformation processes, a vital component of Patagonian temperate forest are lichens, which represent microbial hotspots for bacterial diversity. In the present study, we explored the impact of forest cover on the abundance of phosphate solubilizing bacteria (PSB) from three microenvironments of the forest floor: Peltigera frigida lichen thallus, their underlying substrates, and the forest soil without lichen cover. We expected that the abundance of PSB in the forest soil would be strongly affected by the tree cover composition since the aboveground vegetation influences the edaphic properties; but, as P. frigida has a specific bacterial community, lichens would mitigate this impact. Our study includes five sites representing a gradient in tree cover types, from a mature forest dominated by the native species Nothofagus pumilio, to native second-growth forests with a gradual increase in the presence of Pinus contorta in the last sites. In each site, we measured edaphic parameters, P fractions, and the bacterial potential to solubilize phosphate by quantifying five specific marker genes by qPCR. The results show higher soluble P, labile mineral P, and organic matter in the soils of the sites with a higher abundance of P. contorta, while most of the molecular markers were less abundant in the soils of these sites. Contrarily, the abundance of the molecular markers in lichens and substrates was less affected by the tree cover type. Therefore, the bacterial potential to solubilize phosphate is more affected by the edaphic factors and tree cover type in soils than in substrates and thalli of P. frigida lichens. Altogether, these results indicate that the microenvironments of lichens and their substrates could act as an environmental buffer reducing the influence of forest cover composition on bacteria involved in P turnover.</t>
  </si>
  <si>
    <t>[Muster, Cecilia; Morales, Camila; Caru, Margarita; Orlando, Julieta] Univ Chile, Fac Ciencias, Lab Microbial Ecol, Santiago, Chile; [Leiva, Diego] Karl Franzens Univ Graz, Inst Biol, Graz, Austria; [Grafe, Martin; Schloter, Michael] Helmholtz Zentrum Munchen, Res Unit Comparat Microbiome Anal, Neuherberg, Germany; [Orlando, Julieta] Millennium Inst Biodivers Antarctic &amp; Subantarct E, Santiago, Chile</t>
  </si>
  <si>
    <t>Universidad de Chile; University of Graz; Helmholtz Association; Helmholtz-Center Munich - German Research Center for Environmental Health</t>
  </si>
  <si>
    <t>Orlando, J (corresponding author), Univ Chile, Fac Ciencias, Lab Microbial Ecol, Santiago, Chile.;Orlando, J (corresponding author), Millennium Inst Biodivers Antarctic &amp; Subantarct E, Santiago, Chile.</t>
  </si>
  <si>
    <t>Schloter, Michael/H-9151-2013</t>
  </si>
  <si>
    <t>ANID-National Fund for Scientific and Technological Development (FONDECYT) [1181510]; ANID-Millennium Science Initiative Program [ICN2021_002]</t>
  </si>
  <si>
    <t>ANID-National Fund for Scientific and Technological Development (FONDECYT); ANID-Millennium Science Initiative Program</t>
  </si>
  <si>
    <t>This research was funded by ANID-National Fund for Scientific and Technological Development (FONDECYT)-1181510 and ANID-Millennium Science Initiative Program-ICN2021_002.</t>
  </si>
  <si>
    <t>JUN 28</t>
  </si>
  <si>
    <t>10.3389/fmicb.2022.843490</t>
  </si>
  <si>
    <t>2W4XN</t>
  </si>
  <si>
    <t>WOS:000824528600001</t>
  </si>
  <si>
    <t>Tarling, GA; Belcher, A; Blackwell, M; Castellani, C; Cook, KB; Cottier, FR; Dewar-Fowler, V; Freer, JJ; Gerrish, L; Johnson, ML; Last, KS; Lindeque, PK; Mayor, DJ; Parry, HE; Stowasser, G; Wootton, M</t>
  </si>
  <si>
    <t>Tarling, Geraint A.; Belcher, Anna; Blackwell, Mayleen; Castellani, Claudia; Cook, Kathryn Barbara; Cottier, Finlo R.; Dewar-Fowler, Victoria; Freer, Jennifer J.; Gerrish, Laura; Johnson, Magnus L.; Last, Kim S.; Lindeque, Penelope Kate; Mayor, Daniel J.; Parry, Helen E.; Stowasser, Gabriele; Wootton, Marianne</t>
  </si>
  <si>
    <t>Carbon and Lipid Contents of the Copepod Calanus finmarchicus Entering Diapause in the Fram Strait and Their Contribution to the Boreal and Arctic Lipid Pump</t>
  </si>
  <si>
    <t>calanoid; overwinter; life cycle; carbon flux; Arctic Ocean</t>
  </si>
  <si>
    <t>NORTHERN NORTH-ATLANTIC; VERTICAL-DISTRIBUTION; LIFE-CYCLE; MARINE COPEPOD; CLIMATE-CHANGE; SEA; GLACIALIS; OCEAN; FLUX; HYPERBOREUS</t>
  </si>
  <si>
    <t>The boreal copepod Calanus finmarchicus sequesters substantial amounts of carbon (C) in the deep layers of the North Atlantic Ocean through their contribution to the lipid pump. This pump is driven by these zooplankton descending from the surface layers to spend prolonged periods at depth during which time they metabolise substantial lipid reserves and a fraction suffer mortality. C. finmarchicus is principally a boreal species but is expatriated by currents flowing northwards into Arctic regions such as the Fram Strait, where it is now able to complete its life cycle. We considered how this expansion to its distributional range adds to the estimated magnitude of the lipid pump. Field sampling in the Fram Strait found C. finmarchicus abundance to be spatially variable with high values, equivalent to those reported for core distributional areas further south, found mainly in the eastern region. Lipid reserve levels were sufficient for many individuals to survive the overwintering period and reproduce the following spring. In accordance with abundance patterns, lipid pump magnitude was greater in the Eastern Fram Strait (2.04 g C m(-2) year(-1)) compared to the Western Fram Strait (0.33 g C m(-2) year(-1)). At least for the eastern region, these rates are similar to those reported for this species elsewhere (average of 4.35 g C m(-2) year(-1)). When extrapolated to the wider spatial area of the Fram Strait, the lipid pump generated by this species in this ocean sector amounts to 0.3 Mt C year(-1). Although constituting a modest proportion of the total C. finmarchicus lipid pump of 19.3 Mt C year(-1), it indicates that the continued northwards expansion of this species will act to increase the size of its lipid pump, which may counteract that lost through the northwards retreat of its Arctic congeners, Calanus glacialis and Calanus hyperboreus.</t>
  </si>
  <si>
    <t>[Tarling, Geraint A.; Belcher, Anna; Dewar-Fowler, Victoria; Freer, Jennifer J.; Gerrish, Laura; Stowasser, Gabriele] British Antarctic Survey, High Cross, Cambridge, Cambs, England; [Blackwell, Mayleen] Univ Franche Comte, Besancon, France; [Castellani, Claudia; Lindeque, Penelope Kate; Parry, Helen E.] Plymouth Marine Lab, Marine Ecol &amp; Biodivers, Plymouth, Devon, England; [Cook, Kathryn Barbara; Mayor, Daniel J.] Natl Oceanog Ctr, Southampton, Hants, England; [Cottier, Finlo R.; Last, Kim S.] Scottish Assoc Marine Sci, Oban, Scotland; [Cottier, Finlo R.] Arctic Univ Norway, Dept Arctic &amp; Marine Biol, UiT, Tromso, Norway; [Johnson, Magnus L.] Univ Hull, Dept Biol &amp; Marine Sci, Kingston Upon Hull, England; [Wootton, Marianne] The Laboratory, Marine Biol Assoc, Plymouth, Devon, England</t>
  </si>
  <si>
    <t>UK Research &amp; Innovation (UKRI); Natural Environment Research Council (NERC); NERC British Antarctic Survey; Universite de Franche-Comte; Plymouth Marine Laboratory; NERC National Oceanography Centre; UHI Millennium Institute; UiT The Arctic University of Tromso; University of Hull; Marine Biological Association United Kingdom</t>
  </si>
  <si>
    <t>Tarling, GA (corresponding author), British Antarctic Survey, High Cross, Cambridge, Cambs, England.</t>
  </si>
  <si>
    <t>gant@bas.ac.uk</t>
  </si>
  <si>
    <t>Woootton, Marianne/AAA-2278-2020; Mayor, Daniel/HDN-8520-2022; Cook, Kathryn Barbara/ISA-2646-2023</t>
  </si>
  <si>
    <t>Woootton, Marianne/0000-0003-2553-6322; Mayor, Daniel/0000-0002-1295-0041; Cook, Kathryn Barbara/0000-0001-8590-3011; Freer, Jennifer/0000-0002-3947-9261</t>
  </si>
  <si>
    <t>10.3389/fmars.2022.926462</t>
  </si>
  <si>
    <t>2V9UK</t>
  </si>
  <si>
    <t>WOS:000824181400001</t>
  </si>
  <si>
    <t>Devoto, TB; Toscanini, MA; Alava, KH; Etchecopaz, AN; Pola, SJ; Martorell, MM; Ansaldo, M; Negrete, J; Ruberto, L; Mac Cormack, W; Cuestas, ML</t>
  </si>
  <si>
    <t>Brito Devoto, T.; Toscanini, M. A.; Hermida Alava, K.; Etchecopaz, A. N.; Pola, S. J.; Martorell, M. M.; Ansaldo, M.; Negrete, J.; Ruberto, L.; Mac Cormack, W.; Cuestas, M. L.</t>
  </si>
  <si>
    <t>Exploring fungal diversity in Antarctic wildlife: isolation and molecular identification of culturable fungi from penguins and pinnipeds</t>
  </si>
  <si>
    <t>NEW ZEALAND VETERINARY JOURNAL</t>
  </si>
  <si>
    <t>Fungal biodiversity; Antarctica; penguins; pinnipeds; anthropogenic activity</t>
  </si>
  <si>
    <t>ASPERGILLUS-FUMIGATUS; HYDRURGA-LEPTONYX; VIRUS-INFECTION; FUR-SEAL; SALMONELLA; ANTIBODIES; THELEBOLUS; BACTERIA; HEALTH; ISLAND</t>
  </si>
  <si>
    <t>Aims: To survey the diversity of fungal species that may be cultured from Antarctic penguins and pinnipeds, and to test the in vitro susceptibility to triazole drugs of any medically important Aspergillus spp. isolates. Methods: During an expedition to Argentinean Antarctic research stations at Potter Peninsula (South Shetland Islands) and Primavera Cape (Antarctic Peninsula) in February 2019, samples (n = 212) were collected from fur seals (Arctocephalus gazella), elephant seals (Mirounga leonine), leopard seals (Hydrurga leptonyx), Weddell seals (Leptonychotes weddellii) and crabeater seals (Lobodon carcinophaga) and gentoo penguins (Pygoscelis papua). Oral, nasal and rectal swabs and skin/hair brushings were collected from pinnipeds, and skin/feather brushings, cloacal swabs and moulted feathers from penguins. Samples were cultured on Sabouraud dextrose agar and/or potato dextrose agar plates and fungal isolates identified by morphological criteria followed by PCR amplification and DNA sequencing. Antifungal susceptibility of Aspergillus spp. isolates to triazoles was tested. Results: Fungi from 21 genera were isolated from 121/212 (57.1%) samples obtained from pinnipeds and penguins. Among pinnipeds from Potter Peninsula (fur seals and elephant seals), the most frequent fungal species were Debaryomyces hansenii and Rhodotorula mucilaginosa, isolated from the oral, nasal and/or rectal mucosa, and Antarctomyces psychrotrophicus isolated from the skin/hair of all sampled individuals. Among pinnipeds from Primavera Cape (leopard seals, Weddell seals and crabeater seals), the most frequent fungal species were Naganishia adeliensis and Cryptococcus neoformans var. uniguttulatus, isolated from the nasal/oral mucosa of 4/33 (15.2%) and 5/33 (12.1%) animals, respectively. The most frequently isolated fungal species from gentoo penguins (Potter Peninsula), were Pseudogymnoascus pannorum and A. pyschrotrophicus, which both were isolated from skin/feathers of 7/15 (46.7%) birds, and Thelebolus microsporus, isolated from the cloacal mucosa and skin/feathers of 5/15 (33.3%) and 2/15 (13.3%) birds, respectively. Fungi that are potentially pathogenic to both humans and animals (Aspergillus fumigatus, Asp. flavus, Asp. versicolor, Candida parapsilosis and Microsporum canis) were isolated from 4/38 (10.5%), 1/38 (2.6%), 2/38 (5.3%), 4/38 (10.5%) and 2/38 (5.3%) sampled pinnipeds, respectively. Only non-azole-resistant isolates of Asp. fumigatus and Asp. flavus were identified. Conclusions: The fungal biodiversity in Antarctic pinnipeds and gentoo penguins was explored using standard mycological culture followed by PCR and DNA sequencing. The frequency of fungal carriage varied among animal species, sample type and location. This study constitutes an epidemiologic approach to monitoring of these marine animals for emerging fungal pathogens.</t>
  </si>
  <si>
    <t>[Brito Devoto, T.; Toscanini, M. A.; Hermida Alava, K.; Pola, S. J.; Cuestas, M. L.] Univ Buenos Aires, Inst Invest Microbiol &amp; Parasitol Med IMPaM, CONICET, Buenos Aires, DF, Argentina; [Toscanini, M. A.; Martorell, M. M.; Ruberto, L.; Mac Cormack, W.] Univ Buenos Aires, Inst Nanobiotecnol NANOBIOTEC, CONICET, Buenos Aires, DF, Argentina; [Etchecopaz, A. N.] Univ Buenos Aires, Fac Ciencias Vet, Catedra Enfermedades Infecciosas, Buenos Aires, DF, Argentina; [Martorell, M. M.; Ansaldo, M.; Ruberto, L.; Mac Cormack, W.] Inst Antartico Argentino, Buenos Aires, DF, Argentina; [Negrete, J.] Univ Nacl La Plata, Fac Ciencias Nat &amp; Museo, Catedra Zool Vertebrados 3, Buenos Aires, DF, Argentina</t>
  </si>
  <si>
    <t>University of Buenos Aires; Consejo Nacional de Investigaciones Cientificas y Tecnicas (CONICET); University of Buenos Aires; Consejo Nacional de Investigaciones Cientificas y Tecnicas (CONICET); University of Buenos Aires; Instituto Antartico Argentino; National University of La Plata</t>
  </si>
  <si>
    <t>Cuestas, ML (corresponding author), Univ Buenos Aires, Inst Invest Microbiol &amp; Parasitol Med IMPaM, CONICET, Buenos Aires, DF, Argentina.</t>
  </si>
  <si>
    <t>marilucuestas@gmail.com</t>
  </si>
  <si>
    <t>Devoto, Tomas Brito/ABF-4857-2020</t>
  </si>
  <si>
    <t>Devoto, Tomas Brito/0000-0002-8127-8383; Hermida Alava, Katherine/0000-0001-7143-6432; Toscanini, Maria Agustina/0000-0001-9431-7794; Etchecopaz, Alejandro/0000-0001-6332-1846; MARTORELL, MARIA MARTHA/0000-0002-4266-8629</t>
  </si>
  <si>
    <t>Agencia Nacional de Promocion Cientifica y Tecnologica (ANPCyT) [PICT 2018-02186]; CONICET</t>
  </si>
  <si>
    <t>Agencia Nacional de Promocion Cientifica y Tecnologica (ANPCyT)(ANPCyTSpanish Government); CONICET(Consejo Nacional de Investigaciones Cientificas y Tecnicas (CONICET))</t>
  </si>
  <si>
    <t>This study was supported by grants from the Agencia Nacional de Promocion Cientifica y Tecnologica (ANPCyT, Grant PICT 2018-02186) and, for the logistics of travelling to Antarctica, from the Instituto Antartico Argentino and the Direccion Nacional del Antartico. MLC, MMM and LR are members of the Argentinean Research Council (CONICET). MAT and TBD express their thanks to CONICET for doctoral scholarships.</t>
  </si>
  <si>
    <t>0048-0169</t>
  </si>
  <si>
    <t>1176-0710</t>
  </si>
  <si>
    <t>NEW ZEAL VET J</t>
  </si>
  <si>
    <t>N. Z. Vet. J.</t>
  </si>
  <si>
    <t>SEP 3</t>
  </si>
  <si>
    <t>10.1080/00480169.2022.2087784</t>
  </si>
  <si>
    <t>3M0EU</t>
  </si>
  <si>
    <t>WOS:000820747600001</t>
  </si>
  <si>
    <t>Peres, TM</t>
  </si>
  <si>
    <t>Peres, Tanya M.</t>
  </si>
  <si>
    <t>Subsistence and Food Production Economies in Seventeenth-Century Spanish Florida</t>
  </si>
  <si>
    <t>INTERNATIONAL JOURNAL OF HISTORICAL ARCHAEOLOGY</t>
  </si>
  <si>
    <t>Cattle; Hogs; Poultry; Foodways; Spanish colonialism</t>
  </si>
  <si>
    <t>Indigenous groups in the American South relied on local resources including adapted neo-tropical and regionally domesticated crops and native fauna. Arrival of missionaries and non-native animal species (chickens, pigs, and cattle) led to changing subsistence strategies and settlement patterns. The mission communities needed to be self-sustaining and generate surpluses to supply the capital of La Florida (St. Augustine). Zooarchaeological data from sites in La Florida show how mission communities adopted these animals into their subsistence systems. Data shows adoption of domesticates varied across the provinces, and some food items became profitable market commodities.</t>
  </si>
  <si>
    <t>[Peres, Tanya M.] Florida State Univ, Dept Anthropol, 112 Carraway Bldg,909 N Antarctic Way, Tallahassee, FL 32306 USA</t>
  </si>
  <si>
    <t>State University System of Florida; Florida State University</t>
  </si>
  <si>
    <t>Peres, TM (corresponding author), Florida State Univ, Dept Anthropol, 112 Carraway Bldg,909 N Antarctic Way, Tallahassee, FL 32306 USA.</t>
  </si>
  <si>
    <t>Tanya.Peres@fsu.edu</t>
  </si>
  <si>
    <t>Peres, Tanya/0000-0002-7623-4693</t>
  </si>
  <si>
    <t>1092-7697</t>
  </si>
  <si>
    <t>1573-7748</t>
  </si>
  <si>
    <t>INT J HIST ARCHAEOL</t>
  </si>
  <si>
    <t>Int. J. Hist. Archaeol.</t>
  </si>
  <si>
    <t>10.1007/s10761-022-00667-2</t>
  </si>
  <si>
    <t>Archaeology</t>
  </si>
  <si>
    <t>H4MW3</t>
  </si>
  <si>
    <t>WOS:000817850900001</t>
  </si>
  <si>
    <t>Hurtado-García, J; Manjón-Cabeza, ME</t>
  </si>
  <si>
    <t>Hurtado-Garcia, Jennifer; Eugenia Manjon-Cabeza, M.</t>
  </si>
  <si>
    <t>Species composition of sea stars (Echinodermata: Asteroidea) in the Patagonian Argentinian deep sea, including seven new records: connectivity with sub-Antarctic and Antarctic fauna</t>
  </si>
  <si>
    <t>Asteroids; Asteroidea; Argentine; Antarctica</t>
  </si>
  <si>
    <t>SOUTHWESTERN ATLANTIC; COMMUNITY STRUCTURE; HOLOTHUROIDEA; REPRODUCTION; BIOGEOGRAPHY; GENUS; REDESCRIPTION; BIODIVERSITY; OPHIUROIDEA; ARBACIIDAE</t>
  </si>
  <si>
    <t>The main target of this paper is to improve the knowledge of the species composition of sea stars in Patagonian Argentine deep sea reaching depths of 2062 m. In addition, these results offer us the opportunity to analyze the possible connections between Argentinian marine fauna and adjacent Antarctic areas that have become a topic of interest in the past few years. This work is based on Atlantic Projects' surveys carried out on an atypical and especially vulnerable marine ecosystems (canyons created from craters collapse by gas leaks). These are profusely impacted by frequent fishing activities, being one of the most important and international fishing grounds, where 887 records (1878 specimens) of 41 species of asteroids were collected in 217 stations ranging from 219 to 2062 m in depth. Seven of those species are proposed as new records: (Diplasterias octoradiata (Studer 1885), Plutonaster bifrons (Wyville Thomson, 1873), Radiaster elegans Perrier, 1881, Anseropoda antarctica Fisher, 1940, Pillsburiaster calvus Mah, 2011, Paralophaster lorioli (Koehler, 1907), Pteraster flabellifer Mortensen 1933). After refining the database built from literature and open-access databases such as OBIS and AntBIF, the new Argentinian asteroids deep-water checklist contains 2198 records from 64 asteroids species including the 7 new records proposed. Most of these 64 species (89.06%) are present in Antarctic-adjacent waters, and after the study of their occurrences at traditional biogeographic entities, our results support the hypothesis that Argentinian waters (in the case of the class Asteroidea) should be considered part of the sub-Antarctic entity.</t>
  </si>
  <si>
    <t>[Hurtado-Garcia, Jennifer; Eugenia Manjon-Cabeza, M.] Univ Malaga, Fac Ciencias, Dept Biol Anim, Campus Teatinos S-N, Malaga 29071, Spain</t>
  </si>
  <si>
    <t>Universidad de Malaga</t>
  </si>
  <si>
    <t>Manjón-Cabeza, ME (corresponding author), Univ Malaga, Fac Ciencias, Dept Biol Anim, Campus Teatinos S-N, Malaga 29071, Spain.</t>
  </si>
  <si>
    <t>Manjón-Cabeza, M. Eugenia/L-1761-2014</t>
  </si>
  <si>
    <t>Manjón-Cabeza, M. Eugenia/0000-0002-4014-6763; Hurtado-Garcia, Jennifer/0000-0001-6998-144X</t>
  </si>
  <si>
    <t>CRUE-CSIC agreement; Springer Nature; Universidad de Malaga/CBUA; ATLANTIS Projects [IEO] - UMA [20072010, Mod.B5]; Junta de Andalucia, research groups SELUMA</t>
  </si>
  <si>
    <t>CRUE-CSIC agreement; Springer Nature; Universidad de Malaga/CBUA; ATLANTIS Projects [IEO] - UMA; Junta de Andalucia, research groups SELUMA(Junta de Andalucia)</t>
  </si>
  <si>
    <t>Open Access funding provided thanks to the CRUE-CSIC agreement with Springer Nature. Funding for open access charge: Universidad de Malaga/CBUA. This work has been funded by ATLANTIS Projects [IEO, Secretary General of Maritime Fishing (SGP) and Economy and Competivity Ministry. Spanish Government (20072010)], Puente Projects (Mod.B5) funded by UMA, and Own Found from the Junta de Andalucia, research groups SELUMA.</t>
  </si>
  <si>
    <t>10.1007/s00300-022-03056-x</t>
  </si>
  <si>
    <t>WOS:000817919900001</t>
  </si>
  <si>
    <t>Bateson, AW; Feltham, DL; Schröder, D; Wang, YA; Hwang, B; Ridley, JK; Aksenov, Y</t>
  </si>
  <si>
    <t>Bateson, Adam William; Feltham, Daniel L.; Schroder, David; Wang, Yanan; Hwang, Byongjun; Ridley, Jeff K.; Aksenov, Yevgeny</t>
  </si>
  <si>
    <t>Sea ice floe size: its impact on pan-Arctic and local ice mass and required model complexity</t>
  </si>
  <si>
    <t>OCEAN; THICKNESS; FRAGMENTATION; SENSITIVITY; RHEOLOGY; BREAKUP; MELT</t>
  </si>
  <si>
    <t>Sea ice is composed of discrete units called floes. Observations show that these floes can adopt a range of sizes spanning orders of magnitude, from metres to tens of kilometres. Floe size impacts the nature and magnitude of interactions between the sea ice, ocean, and atmosphere including lateral melt rate and momentum and heat exchange. However, large-scale geophysical sea ice models employ a continuum approach and traditionally either assume floes adopt a constant size or do not include an explicit treatment of floe size. In this study we apply novel observations to analyse two alternative approaches to modelling a floe size distribution (FSD) within the state-of-the-art CICE sea ice model. The first model considered is a prognostic floe size-thickness distribution where the shape of the distribution is an emergent feature of the model and is not assumed a priori. The second model considered, the WIPoFSD (Waves-in-Ice module and Power law Floe Size Distribution) model, assumes floe size follows a power law with a constant exponent. We introduce a parameterisation motivated by idealised models of in-plane brittle fracture to the prognostic model and demonstrate that the inclusion of this scheme enables the prognostic model to achieve a reasonable match against the novel observations for mid-sized floes (100 m-2 km). While neither FSD model results in a significant improvement in the ability of CICE to simulate pan-Arctic metrics in a stand-alone sea ice configuration, larger impacts can be seen over regional scales in sea ice concentration and thickness. We find that the prognostic model particularly enhances sea ice melt in the early melt season, whereas for the WIPoFSD model this melt increase occurs primarily during the late melt season. We then show that these differences between the two FSD models can be explained by considering the effective floe size, a metric used to characterise a given FSD. Finally, we discuss the advantages and disadvantages to these different approaches to modelling the FSD. We note that although the WIPoFSD model is unable to represent potentially important features of annual FSD evolution seen with the prognostic model, it is less computationally expensive and produces a better fit to novel FSD observations derived from 2 m resolution MEDEA imagery, possibly making this a stronger candidate for inclusion in climate models.</t>
  </si>
  <si>
    <t>[Bateson, Adam William; Feltham, Daniel L.; Schroder, David] Univ Reading, Ctr Polar Observat &amp; Modelling, Dept Meteorol, Reading RG2 7PS, Berks, England; [Schroder, David] British Antarctic Survey, Cambridge CB3 0ET, England; [Wang, Yanan; Hwang, Byongjun] Univ Huddersfield, Sch Appl Sci, Huddersfield, W Yorkshire, England; [Ridley, Jeff K.] Hadley Ctr Climate Predict &amp; Res, Met Off, Exeter EX1 3PB, Devon, England; [Aksenov, Yevgeny] Natl Oceanog Ctr Southampton, Southampton SO14 3ZH, Hants, England</t>
  </si>
  <si>
    <t>University of Reading; UK Research &amp; Innovation (UKRI); Natural Environment Research Council (NERC); NERC British Antarctic Survey; University of Huddersfield; Met Office - UK; Hadley Centre; NERC National Oceanography Centre; University of Southampton</t>
  </si>
  <si>
    <t>Bateson, AW (corresponding author), Univ Reading, Ctr Polar Observat &amp; Modelling, Dept Meteorol, Reading RG2 7PS, Berks, England.</t>
  </si>
  <si>
    <t>a.w.bateson@pgr.reading.ac.uk</t>
  </si>
  <si>
    <t>Wang, Yanan/HSG-2381-2023</t>
  </si>
  <si>
    <t>Wang, Yanan/0000-0003-1191-7925; Aksenov, Yevgeny/0000-0001-6132-3434; Bateson, Adam/0000-0002-1239-4161; Schroeder, David/0000-0003-2351-4306</t>
  </si>
  <si>
    <t>Natural Environment Research Council [NE/R000654/1, NE/N018044/1, NE/S002545/1, NE/R000085/1, NE/T000260/1, NE/R015953/1]; NERC; UK Met Office [NE/M009637/1]; Joint UK BEIS/Defra Met Office Hadley Centre Climate Programme [GA01 101]; NERC [NE/N018044/1, NE/T000260/1, NE/S002545/1, NE/R012865/1, NE/R000654/1, NE/R012865/2, NE/R000085/2, NE/R000085/1, NE/R015953/1] Funding Source: UKRI</t>
  </si>
  <si>
    <t>Natural Environment Research Council(UK Research &amp; Innovation (UKRI)Natural Environment Research Council (NERC)); NERC(UK Research &amp; Innovation (UKRI)Natural Environment Research Council (NERC)); UK Met Office; Joint UK BEIS/Defra Met Office Hadley Centre Climate Programme; NERC(UK Research &amp; Innovation (UKRI)Natural Environment Research Council (NERC))</t>
  </si>
  <si>
    <t>This research has been supported by the Natural Environment Research Council (grant nos. NE/R000654/1, NE/N018044/1, NE/S002545/1, NE/R000085/1, NE/T000260/1, and NE/R015953/1), a NERC industrial CASE studentship with the UK Met Office (grant no. NE/M009637/1), the NERC-funded UK Earth System Modelling project, and the Joint UK BEIS/Defra Met Office Hadley Centre Climate Programme (grant no. GA01 101). This work was also supported by the NERC through National Capability funding, undertaken by a partnership between the Centre for Polar Observation Modelling and the British Antarctic Survey.</t>
  </si>
  <si>
    <t>10.5194/tc-16-2565-2022</t>
  </si>
  <si>
    <t>2L5ZQ</t>
  </si>
  <si>
    <t>WOS:000817096900001</t>
  </si>
  <si>
    <t>Wang, YF; Wang, QF; Hou, YH; Wang, YT</t>
  </si>
  <si>
    <t>Wang, Yifan; Wang, Quanfu; Hou, Yanhua; Wang, Yatong</t>
  </si>
  <si>
    <t>Molecular cloning, characterization, and homology modeling of serine hydroxymethyltransferase from psychrophilic bacterium Psychrobacter sp.</t>
  </si>
  <si>
    <t>JOURNAL OF BASIC MICROBIOLOGY</t>
  </si>
  <si>
    <t>Antarctic; characteristics; cold-adapted; homology modeling; serine hydroxymethyltransferase</t>
  </si>
  <si>
    <t>CRYSTAL-STRUCTURE; ADAPTATION; PURIFICATION; SUBSTRATE; ENZYME</t>
  </si>
  <si>
    <t>Serine hydroxymethyltransferase (SHMT) plays a significant role in the synthesis of l-serine, purine, and thymidylate, which could be extensively applied in the treatment of cancers and the development of antibiotics. In this study, cloned from Psychrobacter sp. ANT206, a novel cold-adapted SHMT gene (psshmt, 1257 bp) encoding a protein of 418 amino acids was expressed in Escherichia coli. The homology modeling result revealed that PsSHMT owned fewer Proline (Pro) residues and hydrogen bonds compared with its homologs from mesophilic E. coli and thermophilic Geobacillus stearothermophilus. In addition, the molecular weight of the purified recombinant PsSHMT (rPsSHMT) was identified to be 45 kDa by sodium dodecyl sulfate polyacrylamide gel electrophoresis, approximately. The enzymatic characteristics of the cold-adapted rPsSHMT displayed that its optimum temperature and pH were 30 degrees C and 7.5, respectively, and its enzymatic activity could be inhibited by Cu2+, significantly. rPsSHMT also showed a high k(cat) value and low Delta G at low temperatures. Furthermore, arginine (Arg) could affect the activity of rPsSHMT and be vital to its active sites. The results of this study reflected that these characteristics of the cold-adapted rPsSHMT made it a remarkable candidate that could be utilized in multiple industrial fields under low temperatures.</t>
  </si>
  <si>
    <t>[Wang, Yifan; Wang, Quanfu; Hou, Yanhua; Wang, Yatong] Harbin Inst Technol, Sch Marine Sci &amp; Technol, Lab Appl Marine Biotechnol, Weihai, Peoples R China</t>
  </si>
  <si>
    <t>Harbin Institute of Technology</t>
  </si>
  <si>
    <t>Wang, YF (corresponding author), Harbin Inst Technol, Sch Marine Sci &amp; Technol, Weihai 264209, Peoples R China.</t>
  </si>
  <si>
    <t>wangquanfuhit@hit.edu.cn</t>
  </si>
  <si>
    <t>wang, yatong/KDN-3824-2024; wang, yi fan/L-1193-2018; wang, quan fu/K-9703-2018</t>
  </si>
  <si>
    <t>wang, yi fan/0000-0001-7360-2422; wang, quan fu/0000-0002-3885-5464</t>
  </si>
  <si>
    <t>Natural Science Foundation of Shandong Province [ZR2021MD040]; School-local Cooperation Talent Funding Program of Weihai, China; National Natural Science Foundation of China [41876149]</t>
  </si>
  <si>
    <t>Natural Science Foundation of Shandong Province(Natural Science Foundation of Shandong Province); School-local Cooperation Talent Funding Program of Weihai, China; National Natural Science Foundation of China(National Natural Science Foundation of China (NSFC))</t>
  </si>
  <si>
    <t>Natural Science Foundation of Shandong Province, Grant/Award Number: ZR2021MD040; School-local Cooperation Talent Funding Program of Weihai, China; National Natural Science Foundation of China, Grant/Award Number: 41876149</t>
  </si>
  <si>
    <t>0233-111X</t>
  </si>
  <si>
    <t>1521-4028</t>
  </si>
  <si>
    <t>J BASIC MICROB</t>
  </si>
  <si>
    <t>J. Basic Microbiol.</t>
  </si>
  <si>
    <t>10.1002/jobm.202100692</t>
  </si>
  <si>
    <t>3K6GW</t>
  </si>
  <si>
    <t>WOS:000817196700001</t>
  </si>
  <si>
    <t>Rojas-Cerda, C; Buchan, SJ; Branch, TA; Malige, F; Patris, J; Hucke-Gaete, R; Staniland, I</t>
  </si>
  <si>
    <t>Rojas-Cerda, Constanza; Buchan, Susannah J.; Branch, Trevor A.; Malige, Franck; Patris, Julie; Hucke-Gaete, Rodrigo; Staniland, Iain</t>
  </si>
  <si>
    <t>Presence of Southeast Pacific blue whales (Balaenoptera musculus) off South Georgia in the South Atlantic Ocean</t>
  </si>
  <si>
    <t>Balaenoptera musculus; blue whale; length frequencies; passive acoustic monitoring; South Atlantic Ocean; South Georgia island; South Pacific blue whale; vagrant whales</t>
  </si>
  <si>
    <t>EASTERN NORTH PACIFIC; POPULATION-STRUCTURE; FREQUENCY; SONG; ABUNDANCE; INSIGHTS; SOUNDS; INTER; SEA</t>
  </si>
  <si>
    <t>The Southeast Pacific (SEP) or Chilean blue whale population is largely distributed between Northern Chilean Patagonia and the Eastern Tropical Pacific. Off South Georgia (SG), the majority of blue whales caught were Antarctic blue whales, but recent genetic and acoustic records indicate the possible presence of SEP individuals. To assess the presence of SEP blue whales off SG, we carried out new analyses of acoustic data previously reported as containing pygmy blue whale song and analyzed the length frequencies from 20th century catch data. The month of acoustic data reported to contain the presumed pygmy blue whale song was examined (August 2006), and 13 days were found to have songs which visually and quantitatively matched SEP2 songs from Northern Chilean Patagonia. The fundamental frequency of SEP2 song off SG, however, was not in line with the predicted frequency shift trend of the SEP2 songs in the SEP. A mixture analysis of lengths in historic whaling catches indicated that 3.3% of the catches from SG could be SEP blue whales, although this declined to 0.6%, 95% CI [0.0, 2.6] when fit to nonrounded lengths. Our results suggest that any SEP blue whales off SG are likely rare vagrants, at the edge of an endangered population.</t>
  </si>
  <si>
    <t>[Rojas-Cerda, Constanza] Pontificia Univ Catolica Chile, Fac Ciencias Biol, Santiago, Chile; [Rojas-Cerda, Constanza; Buchan, Susannah J.] Ctr Estudios Avanzados Zonas Aridas CEAZA, Coquimbo, Chile; [Buchan, Susannah J.] Univ Concepcion, Ctr Oceanog Res COPAS Sur Austral &amp; COPAS Coastal, Concepcion, Chile; [Buchan, Susannah J.] Woods Hole Oceanog Inst, Biol Dept, Woods Hole, MA 02543 USA; [Branch, Trevor A.] Univ Washington, Sch Aquat &amp; Fishery Sci, Seattle, WA 98195 USA; [Malige, Franck; Patris, Julie] Univ Toulon &amp; Var, DYNI Team, LIS, CNRS,AMS, Marseille, France; [Hucke-Gaete, Rodrigo] Ctr Ballena Azul NGO, Casilla 567,Campus Isla Teja, Valdivia, Chile; [Hucke-Gaete, Rodrigo] Univ Austral Chile, Inst Ciencias Marinas &amp; Limnol, Valdivia, Chile; [Hucke-Gaete, Rodrigo] Univ Concepcion, Ctr Oceanog Res COPAS Coastal, Concepcion, Chile; [Staniland, Iain] British Antarctic Survey, Cambridge, England</t>
  </si>
  <si>
    <t>Pontificia Universidad Catolica de Chile; Universidad de Concepcion; Woods Hole Oceanographic Institution; University of Washington; University of Washington Seattle; Aix-Marseille Universite; Centre National de la Recherche Scientifique (CNRS); Universite de Toulon; Universidad Austral de Chile; Universidad de Concepcion; UK Research &amp; Innovation (UKRI); Natural Environment Research Council (NERC); NERC British Antarctic Survey</t>
  </si>
  <si>
    <t>Buchan, SJ (corresponding author), Univ Concepcion, COPAS Coastal, Dept Oceanog, Piso 2, Concepcion 4030000, Region Del Bio, Chile.</t>
  </si>
  <si>
    <t>sjbuchan@gmail.com</t>
  </si>
  <si>
    <t>Staniland, Iain/I-4725-2012; Buchan, Susannah J/E-7368-2015; Rojas Cerda, Constanza Carolina/IQU-5047-2023</t>
  </si>
  <si>
    <t>Staniland, Iain/0000-0003-2736-9134; Rojas Cerda, Constanza Carolina/0000-0002-5551-8582; Branch, Trevor/0000-0003-4308-8930; Patris, Julie/0000-0001-6281-7380; Buchan, Susannah/0000-0003-2180-1432</t>
  </si>
  <si>
    <t>Agencia Nacional de Investigacion y Desarrollo [17-STIC01, FB210021]; Agencia Nacional de Investigacion y Desarrollo de Chile [AFB170006, R16A10003]</t>
  </si>
  <si>
    <t>Agencia Nacional de Investigacion y Desarrollo; Agencia Nacional de Investigacion y Desarrollo de Chile</t>
  </si>
  <si>
    <t>Agencia Nacional de Investigacion y Desarrollo, Grant/Award Numbers: 17-STIC01, FB210021; Agencia Nacional de Investigacion y Desarrollo de Chile, Grant/Award Number: AFB170006; Agencia Nacional de Investigacion y Desarrollo de Chile, Grant/Award Number: Programa Regional R16A10003</t>
  </si>
  <si>
    <t>10.1111/mms.12946</t>
  </si>
  <si>
    <t>5E3DT</t>
  </si>
  <si>
    <t>WOS:000817136000001</t>
  </si>
  <si>
    <t>Dou, J; Zhang, RH</t>
  </si>
  <si>
    <t>Dou, Juan; Zhang, Renhe</t>
  </si>
  <si>
    <t>Weakened relationship between ENSO and Antarctic sea ice in recent decades</t>
  </si>
  <si>
    <t>ENSO; Antarctic dipole; Decadal change</t>
  </si>
  <si>
    <t>NINO-SOUTHERN OSCILLATION; PACIFIC MERIDIONAL MODES; WAVE-ACTIVITY FLUX; EL-NINO; SURFACE TEMPERATURE; CLIMATE VARIABILITY; NORTH PACIFIC; AMERICAN PATTERN; ROSSBY WAVES; MODULATION</t>
  </si>
  <si>
    <t>The dominant mode of interannual variability in the Antarctic sea ice is presented by a significant seesaw structure with an out-of-phase relationship between the sea ice anomaly in the Ross-Amundsen Sea and the Weddell Sea around the Antarctic continent, which is commonly called the Antarctic dipole (ADP). The present work shows that the relationship of El Nino-Southern Oscillation (ENSO) during its mature phase and the ADP in the subsequent austral cold season (June to November) underwent a significant decadal shift around the early 2000s with the correlation coefficients between them being reduced from 0.72 in 1979-2001 to 0.21 in 2002-2020. Further study suggests that this decadal shift is mainly due to the different responses of sea surface temperature (SST) in the Tasman Sea to ENSO. Before the early 2000s, the SST around the Tasman Sea was highly responsive to ENSO variability. Such SST anomalies persisted to the subsequent austral cold season and stimulated a downstream wave train similar to the Pacific South American pattern (PSA). Subsequently, a dipole pattern was induced with water vapor convergence (divergence) over the Ross-Amundsen Sea (the Weddell Sea), causing more (less) downward longwave radiation over there. Consequently, decreased (increased) SIC anomaly occurred in the Ross-Amundsen Sea (the Weddell Sea), favoring the formation of the ADP. After the early 2000s, the SST anomalies in the Tasman Sea in response to ENSO reduced notably, and therefore there was no significant ENSO signal transmitting to the ADP region to influence the sea ice change over there, resulting in the weakening of the ENSO-ADP relationship.</t>
  </si>
  <si>
    <t>[Dou, Juan; Zhang, Renhe] Fudan Univ, Dept Atmospher &amp; Ocean Sci, Inst Atmospher Sci, Shanghai 200438, Peoples R China; [Dou, Juan] Chinese Acad Sci, Inst Atmospher Phys, State Key Lab Numer Modeling Atmospher Sci &amp; Geop, Beijing 100029, Peoples R China; [Zhang, Renhe] CMA FDU Joint Lab Marine Meteorol, Shanghai 200438, Peoples R China; [Zhang, Renhe] Zhuhai Fudan Innovat Res Inst, Innovat Ctr Ocean &amp; Atmosphere Syst, Zhuhai, Peoples R China</t>
  </si>
  <si>
    <t>Fudan University; Chinese Academy of Sciences; Institute of Atmospheric Physics, CAS</t>
  </si>
  <si>
    <t>Zhang, RH (corresponding author), Fudan Univ, Dept Atmospher &amp; Ocean Sci, Inst Atmospher Sci, Shanghai 200438, Peoples R China.;Zhang, RH (corresponding author), CMA FDU Joint Lab Marine Meteorol, Shanghai 200438, Peoples R China.;Zhang, RH (corresponding author), Zhuhai Fudan Innovat Res Inst, Innovat Ctr Ocean &amp; Atmosphere Syst, Zhuhai, Peoples R China.</t>
  </si>
  <si>
    <t>rhzhang@fudan.edu.cn</t>
  </si>
  <si>
    <t>Zhang, Renhe/AAA-6301-2020</t>
  </si>
  <si>
    <t>Zhang, Renhe/0000-0001-7750-8679</t>
  </si>
  <si>
    <t>National Key Research and Development Program of China [2019YFC1509105]; National Natural Science Foundation of China [41790472]</t>
  </si>
  <si>
    <t>National Key Research and Development Program of China; National Natural Science Foundation of China(National Natural Science Foundation of China (NSFC))</t>
  </si>
  <si>
    <t>The authors thank the constructive comments from three anonymous reviewers, which help greatly to improve the manuscript. This research was jointly supported by the National Key Research and Development Program of China (2019YFC1509105) and the National Natural Science Foundation of China (41790472).</t>
  </si>
  <si>
    <t>10.1007/s00382-022-06364-4</t>
  </si>
  <si>
    <t>AG4E5</t>
  </si>
  <si>
    <t>WOS:000817030400001</t>
  </si>
  <si>
    <t>Schallenberg, C; Strzepek, RF; Bestley, S; Wojtasiewicz, B; Trull, TW</t>
  </si>
  <si>
    <t>Schallenberg, Christina; Strzepek, Robert F.; Bestley, Sophie; Wojtasiewicz, Bozena; Trull, Thomas W.</t>
  </si>
  <si>
    <t>Iron Limitation Drives the Globally Extreme Fluorescence/Chlorophyll Ratios of the Southern Ocean</t>
  </si>
  <si>
    <t>phytoplankton fluorescence; BGC-Argo; chlorophyll; fluorometer; Southern Ocean; iron limitation</t>
  </si>
  <si>
    <t>PHYTOPLANKTON PHOTOSYNTHESIS; KERGUELEN PLATEAU; SURFACE; PRODUCTIVITY; DOWNSTREAM; SCATTERING; TRANSPORT</t>
  </si>
  <si>
    <t>The ratio between fluorescence (F) and chlorophyll-a (Chl)-where fluorescence is measured with a saturating fluorometer-is variable in the world's oceans, with the highest ratios and highest variability observed in the Southern Ocean. While species composition and Chl packaging per cell are strong drivers for the observed variability, additional factors, including iron limitation, have to this date not specifically been evaluated. Radiometers on biogeochemical (BGC)-Argo floats allow for an independent estimate of Chl concentration that is based on the light attenuation coefficient, K-d. Making use of 4,000 radiometry profiles from BGC-Argo floats in the Southern Ocean, we estimate Chl based on K-d and investigate the variability in F/Chl. Our analysis reveals a positive correlation between F/Chl and a proxy for iron limitation based on non-photochemical quenching dynamics. The strong influence of iron limitation on F/Chl is further corroborated by data from Southern Ocean phytoplankton cultures.</t>
  </si>
  <si>
    <t>[Schallenberg, Christina; Strzepek, Robert F.; Bestley, Sophie] Univ Tasmania, Inst Marine &amp; Antarct Studies, Hobart, Tas, Australia; [Schallenberg, Christina; Strzepek, Robert F.; Bestley, Sophie; Wojtasiewicz, Bozena] Australian Antarct Program Partnership, Hobart, Tas, Australia; [Wojtasiewicz, Bozena; Trull, Thomas W.] CSIRO, Oceans &amp; Atmosphere, Hobart, Tas, Australia</t>
  </si>
  <si>
    <t>University of Tasmania; Commonwealth Scientific &amp; Industrial Research Organisation (CSIRO)</t>
  </si>
  <si>
    <t>Schallenberg, C (corresponding author), Univ Tasmania, Inst Marine &amp; Antarct Studies, Hobart, Tas, Australia.;Schallenberg, C (corresponding author), Australian Antarct Program Partnership, Hobart, Tas, Australia.</t>
  </si>
  <si>
    <t>christina.schallenberg@utas.edu.au</t>
  </si>
  <si>
    <t>Schallenberg, Christina/N-4187-2017; Strzepek, Robert Francis/GQH-8703-2022; Bestley, Sophie/E-9521-2013</t>
  </si>
  <si>
    <t>Schallenberg, Christina/0000-0002-3073-7500; Strzepek, Robert Francis/0000-0002-6442-7121; Bestley, Sophie/0000-0001-9342-669X; Wojtasiewicz, Bozena/0000-0002-2878-2134</t>
  </si>
  <si>
    <t>Australian Government as part of the Antarctic Science Collaboration Initiative program</t>
  </si>
  <si>
    <t>Australian Government as part of the Antarctic Science Collaboration Initiative program(Australian Government)</t>
  </si>
  <si>
    <t>The authors would like to thank Josh Plant of MBARI, as his investigations into global distributions of F/Chl based on BGC-Argo data sparked Christina's interest in the presented analysis. This project received grant funding from the Australian Government as part of the Antarctic Science Collaboration Initiative program. Open access publishing facilitated by University of Tasmania, as part of the Wiley - University of Tasmania agreement via the Council of Australian University Librarians.</t>
  </si>
  <si>
    <t>e2021GL097616</t>
  </si>
  <si>
    <t>10.1029/2021GL097616</t>
  </si>
  <si>
    <t>2E5EN</t>
  </si>
  <si>
    <t>WOS:000812250500001</t>
  </si>
  <si>
    <t>Xu, BC; Cardenas, MB; Santos, IR; Burnett, WC; Charette, MA; Rodellas, V; Li, SZ; Lian, EG; Yu, ZG</t>
  </si>
  <si>
    <t>Xu, Bochao; Cardenas, M. Bayani; Santos, Isaac R.; Burnett, William C.; Charette, Matthew A.; Rodellas, Valenti; Li, Sanzhong; Lian, Ergang; Yu, Zhigang</t>
  </si>
  <si>
    <t>Closing the Global Marine 226Ra Budget Reveals the Biological Pump as a Dominant Removal Flux in the Upper Ocean</t>
  </si>
  <si>
    <t>particle scavenging; submarine groundwater discharge; siliceous algae; global ocean</t>
  </si>
  <si>
    <t>SUBMARINE GROUNDWATER DISCHARGE; RADIUM ISOTOPES; BIOGENIC SILICA; THORIUM ISOTOPES; ANTARCTIC OCEAN; NUTRIENT FLUXES; COASTAL WATERS; RESIDENCE TIME; MIXING ZONES; RIVER WATER</t>
  </si>
  <si>
    <t>Radium isotopes are powerful proxies in oceanography and hydrology. Radium mass balance models, including assessments of submarine groundwater discharge (SGD), often overlook particle scavenging (PS) as a pathway for dissolved radium removal from the world ocean. Here, we build a global ocean Ra-226 mass balance model and reevaluate the potential importance of PS. We find that PS is the major Ra-226 sink for the upper ocean, removing about 96% of the total input from various sources. Aside from vertical exchange with the lower ocean, SGD is the largest Ra-226 source into the upper ocean. The biological pump transfers particles to the deep ocean, resulting in a major but often overlooked impact on the global Ra-226 marine budget. Our findings suggest that radium mass balance models should consider PS in systems with high siliceous algae production and export fluxes and long water residence times to prevent underestimation of large-scale SGD fluxes.</t>
  </si>
  <si>
    <t>[Xu, Bochao; Yu, Zhigang] Ocean Univ China, Frontiers Sci Ctr Deep Ocean Multispheres &amp; Earth, Key Lab Marine Chem Theory &amp; Technol, Minist Educ, Qingdao, Peoples R China; [Xu, Bochao; Yu, Zhigang] Qingdao Natl Lab Marine Sci &amp; Technol, Lab Marine Ecol &amp; Environm Sci, Qingdao, Peoples R China; [Cardenas, M. Bayani] Univ Texas Austin, Dept Geol Sci, Jackson Sch Geosci, Austin, TX USA; [Santos, Isaac R.] Univ Gothenburg, Dept Marine Sci, Gothenburg, Sweden; [Burnett, William C.] Florida State Univ, Dept Earth Ocean &amp; Atmospher Sci, Tallahassee, FL 32306 USA; [Charette, Matthew A.] Woods Hole Oceanog Inst, Dept Marine Chem &amp; Geochem, Woods Hole, MA 02543 USA; [Rodellas, Valenti] Univ Autonoma Barcelona, Inst Ciencia &amp; Tecnol Ambientals ICTA, Catalonia, Spain; [Li, Sanzhong] Ocean Univ China, Frontiers Sci Ctr Deep Ocean Multispheres &amp; Earth, Key Lab Submarine Geosci &amp; Prospecting Tech, Minist Educ,Coll Marine Geosci, Qingdao, Peoples R China; [Lian, Ergang] Tongji Univ, State Key Lab Marine Geol, Shanghai, Peoples R China</t>
  </si>
  <si>
    <t>Ocean University of China; Laoshan Laboratory; University of Texas System; University of Texas Austin; University of Gothenburg; State University System of Florida; Florida State University; Woods Hole Oceanographic Institution; Autonomous University of Barcelona; Ocean University of China; Tongji University</t>
  </si>
  <si>
    <t>Yu, ZG (corresponding author), Ocean Univ China, Frontiers Sci Ctr Deep Ocean Multispheres &amp; Earth, Key Lab Marine Chem Theory &amp; Technol, Minist Educ, Qingdao, Peoples R China.;Yu, ZG (corresponding author), Qingdao Natl Lab Marine Sci &amp; Technol, Lab Marine Ecol &amp; Environm Sci, Qingdao, Peoples R China.</t>
  </si>
  <si>
    <t>zhigangyu@ouc.edu.cn</t>
  </si>
  <si>
    <t>Rodellas, Valentí/F-3475-2013; 许, 许博超/HMP-0149-2023; Santos, Isaac R./A-3960-2019; Li, Sanzhong/F-6111-2013; Cardenas, M. Bayani/B-4940-2011</t>
  </si>
  <si>
    <t>Rodellas, Valentí/0000-0002-5896-9987; 许, 许博超/0000-0002-5069-3824; Santos, Isaac R./0000-0003-0524-842X; Li, Sanzhong/0000-0002-3436-2793; Lian, Ergang/0000-0001-8155-6462; Burnett, William/0000-0002-9521-5172; Cardenas, M. Bayani/0000-0001-6270-3105</t>
  </si>
  <si>
    <t>Natural Science Foundation of China [41876075, 42130410, 91958214]; Fundamental Research Funds for the Central Universities China [201962003, 202072001]; U.S. National Science Foundation [OCE-1736277]; WHOI-OUC Cooperative Research Initiative award; Beatriu de Pinos postdoctoral programme of the Catalan Government [2019-BP-00241]</t>
  </si>
  <si>
    <t>Natural Science Foundation of China(National Natural Science Foundation of China (NSFC)); Fundamental Research Funds for the Central Universities China(Fundamental Research Funds for the Central Universities); U.S. National Science Foundation(National Science Foundation (NSF)); WHOI-OUC Cooperative Research Initiative award; Beatriu de Pinos postdoctoral programme of the Catalan Government</t>
  </si>
  <si>
    <t>The authors would like to thank Willard Moore (University of South Carolina), Sumei Liu, Xianyao Chen, Zhiwei Zhang, and Chun Zhou (Ocean University of China) for their constructive comments. This version of the paper greatly benefited from the constructive comments of two anonymous reviewers. The GEOSECS data were downloaded from GEOSECS Operations Group Volumes (Vol. 1-7). The GEOTRACES data are cited from GEOTRACES 2021 Intermediate Data Product (IDP2021), which represents an international collaboration endorsed by the Scientific Committee on Oceanic Research (SCOR). The authors are grateful to the many researchers and funding agencies responsible for the collection of data and quality control. The authors are very grateful to Jesus Gomez-Velez of Vanderbilt University for suggesting the statistical approach for distribution expansion and helping with the coding. The authors from Ocean University of China were funded by the Natural Science Foundation of China 41876075, 42130410, and 91958214, and Fundamental Research Funds for the Central Universities China 201962003 and 202072001. Funding for M.A.C. was provided by U.S. National Science Foundation OCE-1736277 and a WHOI-OUC Cooperative Research Initiative award. Valenti Rodellas acknowledges financial support from the Beatriu de Pinos postdoctoral programme of the Catalan Government (2019-BP-00241).</t>
  </si>
  <si>
    <t>e2022GL098087</t>
  </si>
  <si>
    <t>10.1029/2022GL098087</t>
  </si>
  <si>
    <t>2G4GB</t>
  </si>
  <si>
    <t>WOS:000813553900001</t>
  </si>
  <si>
    <t>Turner, J; Holmes, C; Harrison, TC; Phillips, T; Jena, B; Reeves-Francois, T; Fogt, R; Thomas, ER; Bajish, CC</t>
  </si>
  <si>
    <t>Turner, John; Holmes, Caroline; Caton Harrison, Thomas; Phillips, Tony; Jena, Babula; Reeves-Francois, Tylei; Fogt, Ryan; Thomas, Elizabeth R.; Bajish, C. C.</t>
  </si>
  <si>
    <t>Record Low Antarctic Sea Ice Cover in February 2022</t>
  </si>
  <si>
    <t>sea ice; extremes; storms; wind; Ross Sea; Weddell Sea</t>
  </si>
  <si>
    <t>VARIABILITY; EXTENT</t>
  </si>
  <si>
    <t>On 25 February 2022 Antarctic sea ice extent dropped to a satellite-era record low level of 1.92 x 10(6) km(2), 0.92 x 10(6) km(2) below the long-term mean. The area of sea ice was also at a record low level of 1.24 x 10(6) km(2). Although no individual sector was at a record low, at the minimum there were negative sea ice anomalies in all sectors of the Southern Ocean, with the largest in the Ross (contributing 46%) and Weddell Seas (26%). The Amundsen Sea Low had a record low depth in October/November 2021, with a series of very deep depressions giving strong offshore winds. These accelerated ice loss during the melt season, creating a 1.00 x 10(6) km(2) coastal polynya in the Ross Sea. In the northern Weddell Sea, westerly winds of record strength led to ice export from the region.</t>
  </si>
  <si>
    <t>[Turner, John; Holmes, Caroline; Caton Harrison, Thomas; Phillips, Tony; Reeves-Francois, Tylei; Thomas, Elizabeth R.] NERC, British Antarct Survey, Cambridge, England; [Jena, Babula; Bajish, C. C.] Natl Ctr Polar &amp; Ocean Res, Vasco Da Gama, Goa, India; [Fogt, Ryan] Ohio Univ, Athens, OH 45701 USA</t>
  </si>
  <si>
    <t>UK Research &amp; Innovation (UKRI); Natural Environment Research Council (NERC); NERC British Antarctic Survey; Ministry of Earth Sciences (MoES) - India; National Centre for Polar and Ocean Research (NCPOR); University System of Ohio; Ohio University</t>
  </si>
  <si>
    <t>Turner, J (corresponding author), NERC, British Antarct Survey, Cambridge, England.</t>
  </si>
  <si>
    <t>jtu@bas.ac.uk</t>
  </si>
  <si>
    <t>Fogt, Ryan L/B-6989-2008; Thomas, Elizabeth Ruth/ADF-3660-2022</t>
  </si>
  <si>
    <t>Fogt, Ryan L/0000-0002-5398-3990; Thomas, Elizabeth Ruth/0000-0002-3010-6493; Holmes, Caroline/0000-0002-3134-555X; Turner, John/0000-0002-6111-5122; , Bajish/0000-0002-5909-094X; Caton Harrison, Thomas/0000-0001-7870-7039</t>
  </si>
  <si>
    <t>Natural Environment Research Council [NE/W004747/1]; National Science Foundation [PLR-1744998]; NERC [NE/W004747/1] Funding Source: UKRI</t>
  </si>
  <si>
    <t>Natural Environment Research Council(UK Research &amp; Innovation (UKRI)Natural Environment Research Council (NERC)); National Science Foundation(National Science Foundation (NSF)); NERC(UK Research &amp; Innovation (UKRI)Natural Environment Research Council (NERC))</t>
  </si>
  <si>
    <t>This work forms part of the Polar Science for Planet Earth program of the British Antarctic Survey. C. Holmes and J. Turner received funding under Natural Environment Research Council large grant DEFIANT NE/W004747/1. R. Fogt acknowledges support from National Science Foundation Grant No. PLR-1744998. We are grateful to NSIDC for the provision of the sea ice data and to European Center for Medium-range Weather Forecasts (ECMWF) for the ERA5 fields. This work contains modified Copernicus Climate Change Service information 2021. Neither the European Commission nor ECMWF is responsible for any use that may be made of the Copernicus information or data it contains. The data set Hersbach et al. (2018) was downloaded from the Copernicus Climate Change Service (C3S) Climate Data Store.</t>
  </si>
  <si>
    <t>e2022GL098904</t>
  </si>
  <si>
    <t>10.1029/2022GL098904</t>
  </si>
  <si>
    <t>2E5GL</t>
  </si>
  <si>
    <t>N</t>
  </si>
  <si>
    <t>WOS:000812255600001</t>
  </si>
  <si>
    <t>Gros, C; Jansen, J; Dunstan, PK; Welsford, DC; Hill, NA</t>
  </si>
  <si>
    <t>Gros, Charley; Jansen, Jan; Dunstan, Piers K.; Welsford, Dirk C.; Hill, Nicole A.</t>
  </si>
  <si>
    <t>Vulnerable, but Still Poorly Known, Marine Ecosystems: How to Make Distribution Models More Relevant and Impactful for Conservation and Management of VMEs?</t>
  </si>
  <si>
    <t>vulnerable marine ecosystems; species distribution model; habitat suitability model; marine conservation; environmental impact assessment</t>
  </si>
  <si>
    <t>DEEP-SEA FISHERIES; HABITAT SUITABILITY; INDICATOR TAXA; AREAS; IDENTIFICATION; INVERTEBRATES; BIODIVERSITY; ASSOCIATIONS; PROTECTION; PURPOSE</t>
  </si>
  <si>
    <t>Human activity puts our oceans under multiple stresses, whose impacts are already significantly affecting biodiversity and physicochemical properties. Consequently, there is an increased international focus on the conservation and sustainable use of oceans, including the protection of fragile benthic biodiversity hotspots in the deep sea, identified as vulnerable marine ecosystems (VMEs). International VME risk assessment and conservation efforts are hampered because we largely do not know where VMEs are located. VME distribution modelling has increasingly been recommended to extend our knowledge beyond sparse observations. Nevertheless, the adoption of VME distribution models in spatial management planning and conservation remains limited. This work critically reviews VME distribution modelling studies, and recommends promising avenues to make VME models more relevant and impactful for policy and management decision making. First, there is an important interplay between the type of VME data used to build models and how the generated maps can be used in making management decisions, which is often ignored by model-builders. Overall, there is a need for more precise VME data for production of reliable models. We provide specific guidelines for seven common applications of VME distribution modelling to improve the matching between the modelling and the user need. Second, the current criteria to identify VME often rely on subjective thresholds, which limits the transparency, transferability and effective applicability of distribution models in protection measures. We encourage scientists towards founding their models on: (i) specific and quantitative definitions of what constitute a VME, (ii) site conservation value assessment in relation to VME multi-taxon spatial predictions, and (iii) explicitly mapping vulnerability. Along with the recent increase in both deep-sea biological and environmental data quality and quantity, these modelling recommendations can lead towards more cohesive summaries of VME's spatial distributions and their relative vulnerability, which should facilitate a more effective protection of these ecosystems, as has been mandated by numerous international agreements.</t>
  </si>
  <si>
    <t>[Gros, Charley; Jansen, Jan; Hill, Nicole A.] Univ Tasmania, Inst Marine &amp; Antarctic Studies, Hobart, Tas, Australia; [Dunstan, Piers K.] Commonwealth Sci &amp; Ind Res Org CSIRO, Oceans &amp; Atmosphere, Hobart, Tas, Australia; [Welsford, Dirk C.] Dept Agr Water &amp; Environm, Australian Antarctic Div, Kingston, Tas, Australia</t>
  </si>
  <si>
    <t>University of Tasmania; Commonwealth Scientific &amp; Industrial Research Organisation (CSIRO); Australian Antarctic Division</t>
  </si>
  <si>
    <t>Gros, C (corresponding author), Univ Tasmania, Inst Marine &amp; Antarctic Studies, Hobart, Tas, Australia.</t>
  </si>
  <si>
    <t>charley.gros@utas.edu.au</t>
  </si>
  <si>
    <t>Dunstan, Piers K/B-7309-2016; Jansen, Jan/O-8632-2014</t>
  </si>
  <si>
    <t>Jansen, Jan/0000-0001-5896-365X</t>
  </si>
  <si>
    <t>JUN 27</t>
  </si>
  <si>
    <t>10.3389/fmars.2022.870145</t>
  </si>
  <si>
    <t>3Q5XW</t>
  </si>
  <si>
    <t>WOS:000838304700001</t>
  </si>
  <si>
    <t>Allison, P; Archambault, S; Beatty, JJ; Besson, DZ; Bishop, A; Chen, CC; Chen, CH; Chen, P; Chen, YC; Clark, BA; Clay, W; Connolly, A; Cremonesi, L; Dasgupta, P; Davies, J; de Kockere, S; de Vries, KD; Deaconu, C; DuVernois, MA; Flaherty, J; Friedman, E; Gaior, R; Hanson, J; Harty, N; Hendricks, B; Hoffman, KD; Hong, E; Hsu, SY; Hu, L; Huang, JJ; Huang, MH; Hughes, K; Ishihara, A; Karle, A; Kelley, JL; Kim, KC; Kim, MC; Kravchenko, I; Krebs, R; Ku, Y; Kuo, CY; Kurusu, K; Landsman, H; Latif, UA; Li, CJ; Liu, TC; Lu, MY; Madison, B; Madison, K; Mase, K; Meures, T; Nam, J; Nichol, RJ; Nir, G; Novikov, A; Nozdrina, A; Oberla, E; Osborn, J; Pan, Y; Pfendner, C; Punsuebsay, N; Roth, J; Seckel, D; Seikh, MFH; Shiao, YS; Shultz, A; Smith, D; Toscano, S; Torres, J; Touart, J; van Eijndhoven, N; Varner, GS; Vieregg, A; Wang, MZ; Wang, SH; Wang, YH; Wissel, SA; Xie, C; Yoshida, S; Young, R</t>
  </si>
  <si>
    <t>Allison, P.; Archambault, S.; Beatty, J. J.; Besson, D. Z.; Bishop, A.; Chen, C. C.; Chen, C. H.; Chen, P.; Chen, Y. C.; Clark, B. A.; Clay, W.; Connolly, A.; Cremonesi, L.; Dasgupta, P.; Davies, J.; de Kockere, S.; de Vries, K. D.; Deaconu, C.; DuVernois, M. A.; Flaherty, J.; Friedman, E.; Gaior, R.; Hanson, J.; Harty, N.; Hendricks, B.; Hoffman, K. D.; Hong, E.; Hsu, S. Y.; Hu, L.; Huang, J. J.; Huang, M. -H.; Hughes, K.; Ishihara, A.; Karle, A.; Kelley, J. L.; Kim, K. -C.; Kim, M. -C.; Kravchenko, I.; Krebs, R.; Ku, Y.; Kuo, C. Y.; Kurusu, K.; Landsman, H.; Latif, U. A.; Li, C. -J.; Liu, T. -C.; Lu, M. -Y.; Madison, B.; Madison, K.; Mase, K.; Meures, T.; Nam, J.; Nichol, R. J.; Nir, G.; Novikov, A.; Nozdrina, A.; Oberla, E.; Osborn, J.; Pan, Y.; Pfendner, C.; Punsuebsay, N.; Roth, J.; Seckel, D.; Seikh, M. F. H.; Shiao, Y. -S.; Shultz, A.; Smith, D.; Toscano, S.; Torres, J.; Touart, J.; van Eijndhoven, N.; Varner, G. S.; Vieregg, A.; Wang, M. -Z.; Wang, S. -H.; Wang, Y. H.; Wissel, S. A.; Xie, C.; Yoshida, S.; Young, R.</t>
  </si>
  <si>
    <t>ARA Collaboration</t>
  </si>
  <si>
    <t>Low-threshold ultrahigh-energy neutrino search with the Askaryan Radio Array</t>
  </si>
  <si>
    <t>EMISSION; SHOWER; CHARGE; FLUX</t>
  </si>
  <si>
    <t>In the pursuit of the measurement of the still-elusive ultrahigh-energy (UHE) neutrino flux at energies of order EeV, detectors using the in-ice Askaryan radio technique have increasingly targeted lower trigger thresholds. This has led to improved trigger-level sensitivity to UHE neutrinos. Working with data collected by the Askaryan Radio Array (ARA), we search for neutrino candidates at the lowest threshold achieved to date, leading to improved analysis-level sensitivities. A neutrino search on a data set with 208.7 days of livetime from the reduced-threshold fifth ARA station is performed, achieving a 68% analysis efficiency over all energies on a simulated mixed-composition neutrino flux with an expected background of 0.10(-0.04)(+0.06) events passing the analysis. We observe one event passing our analysis and proceed to set a neutrino flux limit using a Feldman-Cousins construction. We show that the improved trigger-level sensitivity can be carried through an analysis, motivating the phased array triggering technique for use in future radio-detection experiments. We also include a projection using all available data from this detector. Finally, we find that future analyses will benefit from studies of events near the surface to fully understand the background expected for a large-scale detector.</t>
  </si>
  <si>
    <t>[Allison, P.; Beatty, J. J.; Connolly, A.; Flaherty, J.; Hong, E.; Torres, J.] Ohio State Univ, Ctr Cosmol &amp; AstroParticle Phys, Dept Phys, Columbus, OH 43210 USA; [Archambault, S.; Gaior, R.; Ishihara, A.; Kim, M. -C.; Kurusu, K.; Mase, K.; Nam, J.; Yoshida, S.] Chiba Univ, Dept Phys, Chiba 2638522, Japan; [Besson, D. Z.; Latif, U. A.; Madison, B.; Madison, K.; Novikov, A.; Nozdrina, A.; Seikh, M. F. H.; Shultz, A.; Young, R.] Univ Kansas, Dept Phys &amp; Astron, Lawrence, KS 66045 USA; [Besson, D. Z.] Moscow Engn Phys Inst, Moscow 115409, Russia; [Bishop, A.; DuVernois, M. A.; Karle, A.; Kelley, J. L.; Lu, M. -Y.; Meures, T.] Univ Wisconsin, Dept Phys, Madison, WI 53706 USA; [Chen, C. C.; Chen, C. H.; Chen, P.; Chen, Y. C.; Hsu, S. Y.; Hu, L.; Huang, J. J.; Huang, M. -H.; Kuo, C. Y.; Li, C. -J.; Liu, T. -C.; Shiao, Y. -S.; Wang, M. -Z.; Wang, S. -H.; Wang, Y. H.] Natl Taiwan Univ, Leung Ctr Cosmol &amp; Particle Astrophys, Grad Inst Astrophys, Dept Phys, Taipei 10617, Taiwan; [Clark, B. A.] Michigan State Univ, Dept Phys &amp; Astron, E Lansing, MI 48824 USA; [Clay, W.; Deaconu, C.; Hughes, K.; Oberla, E.; Smith, D.; Vieregg, A.] Univ Chicago, Enrico Fermi Inst Kavli Inst Cosmol Phys, Dept Phys, Chicago, IL 60637 USA; [Cremonesi, L.; Davies, J.; Nichol, R. J.; Xie, C.] UCL, Dept Phys &amp; Astron, London WC1E 6BT, England; [Dasgupta, P.; Toscano, S.] Univ Libre Bruxelles, Sci Fac CP230, B-1050 Brussels, Belgium; [de Kockere, S.; de Vries, K. D.; Latif, U. A.; van Eijndhoven, N.] Vrije Univ Brussel, B-1050 Brussels, Belgium; [Friedman, E.; Hoffman, K. D.; Kim, K. -C.; Touart, J.] Univ Maryland, Dept Phys, College Pk, MD 20742 USA; [Hanson, J.] Whittier Coll, Dept Phys &amp; Astron, Whittier, CA 90602 USA; [Harty, N.; Pan, Y.; Punsuebsay, N.; Roth, J.; Seckel, D.] Univ Delaware, Dept Phys, Newark, DC 19716 USA; [Hendricks, B.; Krebs, R.; Ku, Y.; Wissel, S. A.] Penn State Univ, Inst Gravitat &amp; Cosmos, Ctr Multimessenger Astrophys, University Pk, PA 16802 USA; [Hendricks, B.; Krebs, R.; Ku, Y.; Wissel, S. A.] Penn State Univ, Dept Phys, University Pk, PA 16802 USA; [Kravchenko, I.; Osborn, J.] Univ Nebraska, Dept Phys &amp; Astron, Lincoln, NE 68588 USA; [Landsman, H.; Nir, G.] Weizmann Inst Sci, IL-7610001 Rehovot, Israel; [Pfendner, C.] Denison Univ, Dept Phys &amp; Astron, Granville, OH 43023 USA; [Pfendner, C.] SHINE Technol, 3400 Innovat Dr, Janesville, WI 53546 USA; [Varner, G. S.] Univ Hawaii, Dept Phys &amp; Astron, Manoa, HI 96822 USA; [Wissel, S. A.] Penn State Univ, Dept Astron &amp; Astrophys, University Pk, PA 16802 USA; [Wissel, S. A.] Calif Polytech State Univ San Luis Obispo, Phys Dept, San Luis Obispo, CA 93407 USA</t>
  </si>
  <si>
    <t>University System of Ohio; Ohio State University; Chiba University; University of Kansas; National Research Nuclear University MEPhI (Moscow Engineering Physics Institute); University of Wisconsin System; University of Wisconsin Madison; National Taiwan University; Michigan State University; University of Chicago; University of London; University College London; Universite Libre de Bruxelles; Vrije Universiteit Brussel; University System of Maryland; University of Maryland College Park; Whittier College; University of Delaware;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Nebraska System; University of Nebraska Lincoln; Weizmann Institute of Science; University System of Ohio; Denison University; University of Hawaii System; University of Hawaii Manoa; Pennsylvania Commonwealth System of Higher Education (PCSHE); Pennsylvania State University; Pennsylvania State University - University Park; California State University System; California Polytechnic State University San Luis Obispo</t>
  </si>
  <si>
    <t>Hughes, K (corresponding author), Univ Chicago, Enrico Fermi Inst Kavli Inst Cosmol Phys, Dept Phys, Chicago, IL 60637 USA.</t>
  </si>
  <si>
    <t>kahughes@uchicago.edu</t>
  </si>
  <si>
    <t>Beatty, James/D-9310-2011; Nir, Guy/HJJ-0199-2023; Huang, Jian Jang/L-9953-2016; Nichol, Ryan/C-1645-2008</t>
  </si>
  <si>
    <t>Beatty, James/0000-0003-0481-4952; Nichol, Ryan/0000-0003-0557-0443; Latif, Uzair/0000-0002-7609-1266; Torres, Jorge/0000-0003-4385-6127; Wissel, Stephanie/0000-0003-0569-6978; Hughes, Kaeli/0000-0002-4551-9581; Cremonesi, Linda/0000-0003-0711-1056; de Vries, Krijn/0000-0002-9842-4068; De Kockere, Simon/0000-0001-6724-012X; Kim, Myoungchul/0000-0002-8624-5564; Dasgupta, Dr. Paramita/0000-0002-9559-4803; Seikh, Mohammad Ful Hossain/0000-0002-4464-7354; Deaconu, Cosmin/0000-0002-4953-6397; van Eijndhoven, Nick/0000-0001-5558-3328</t>
  </si>
  <si>
    <t>National Science Foundation (NSF) Office of Polar Programs and Physics Division; Taiwan National Science Councils Vanguard Program [NSC 92-2628-M-002-09]; Belgian F. R. S.-FNRS [4.4508.01]; NSF [DGE-1746045, 1903885, 1806923, 2033500, 2019597]; National Research Nuclear University MEPhi (Moscow Engineering Physics Institute); Leverhulme Trust; European Research Council under the European Unions Horizon research and innovation program [805486]; STFC [ST/S00095X/1] Funding Source: UKRI; Direct For Mathematical &amp; Physical Scien; Division Of Astronomical Sciences [1903885] Funding Source: National Science Foundation; Direct For Mathematical &amp; Physical Scien; Division Of Physics [1806923] Funding Source: National Science Foundation; Division Of Physics; Direct For Mathematical &amp; Physical Scien [2033500] Funding Source: National Science Foundation; OIA-Office of Integrative Activities; Office Of The Director [2019597] Funding Source: National Science Foundation; European Research Council (ERC) [805486] Funding Source: European Research Council (ERC)</t>
  </si>
  <si>
    <t>National Science Foundation (NSF) Office of Polar Programs and Physics Division(National Science Foundation (NSF)); Taiwan National Science Councils Vanguard Program; Belgian F. R. S.-FNRS(Fonds de la Recherche Scientifique - FNRS); NSF(National Science Foundation (NSF)); National Research Nuclear University MEPhi (Moscow Engineering Physics Institute); Leverhulme Trust(Leverhulme Trust); European Research Council under the European Unions Horizon research and innovation program(European Research Council (ERC)); STFC(UK Research &amp; Innovation (UKRI)Science &amp; Technology Facilities Council (STFC)); Direct For Mathematical &amp; Physical Scien; Division Of Astronomical Sciences(National Science Foundation (NSF)NSF - Directorate for Mathematical &amp; Physical Sciences (MPS)); Direct For Mathematical &amp; Physical Scien; Division Of Physics(National Science Foundation (NSF)NSF - Directorate for Mathematical &amp; Physical Sciences (MPS)); Division Of Physics; Direct For Mathematical &amp; Physical Scien(National Science Foundation (NSF)NSF - Directorate for Mathematical &amp; Physical Sciences (MPS)); OIA-Office of Integrative Activities; Office Of The Director(National Science Foundation (NSF)NSF - Office of the Director (OD)NSF - Office of Integrative Activities (OIA)); European Research Council (ERC)(European Research Council (ERC)Spanish Government)</t>
  </si>
  <si>
    <t>K. H. was the main author of this manuscript and led the analysis discussed. The ARA Collaboration designed, constructed, and now operates the ARA detectors. We would like to thank IceCube and specifically the winter-overs for the support in operating the detector. Data processing and calibration, Monte Carlo simulations of the detector and of theoretical models and data analyses were performed by a large number of collaboration members, who also discussed and approved the scientific results presented here. We are thankful to the Raytheon Polar Services Corporation, Lockheed Martin, and the Antarctic Support Contractor for field support and enabling our work on the harshest continent. We are thankful to the National Science Foundation (NSF) Office of Polar Programs and Physics Division for funding support. We further thank the Taiwan National Science Councils Vanguard Program NSC 92-2628-M-002-09 and the Belgian F. R. S.-FNRS Grant No. 4.4508.01. K. H. thanks the NSF for support through the Graduate Research Fellowship Program Grant No. DGE-1746045. B. A. C. thanks the NSF for support through the Astronomy and Astrophysics Postdoctoral Fellowship under Grant No. 1903885, as well as the Institute for Cyber-Enabled Research at Michigan State University. A. C. thanks theNSF for Grant No. 1806923 and also acknowledges the Ohio Supercomputer Center. S. A. W. thanks the NSF for support through CAREER Grant No. 2033500. D. B. acknowledges support from National Research Nuclear University MEPhi (Moscow Engineering Physics Institute) . A. V. thanks the Sloan Foundation and the Research Corporation for Science Advancement, the Research Computing Center and the Kavli Institute for Cosmological Physics at the University of Chicago for the resources they provided. R. N. thanks the Leverhulme Trust for their support. K. D.dV. is supported by European Research Council under the European Unions Horizon research and innovation program (Grant agreement 763 No. 805486) . D. B., I. K., and D. S. thank the NSF for support through the IceCube EPSCoR Initiative (Award No. 2019597) .</t>
  </si>
  <si>
    <t>10.1103/PhysRevD.105.122006</t>
  </si>
  <si>
    <t>3M3QZ</t>
  </si>
  <si>
    <t>WOS:000835379100002</t>
  </si>
  <si>
    <t>Desvignes, T; Lauridsen, H; Valdivieso, A; Fontenele, RS; Kraberger, S; Murray, KN; Le François, NR; Detrich, HW; Kent, ML; Varsani, A; Postlethwait, JH</t>
  </si>
  <si>
    <t>Desvignes, Thomas; Lauridsen, Henrik; Valdivieso, Alejandro; Fontenele, Rafaela S.; Kraberger, Simona; Murray, Katrina N.; Le Francois, Nathalie R.; Detrich, H. William, III; Kent, Michael L.; Varsani, Arvind; Postlethwait, John H.</t>
  </si>
  <si>
    <t>A parasite outbreak in notothenioid fish in an Antarctic fjord</t>
  </si>
  <si>
    <t>CELL GILL DISEASE; X-CELLS; LIMANDA-LIMANDA; COMMON DAB; PSEUDOTUMORS; ADAPTATIONS</t>
  </si>
  <si>
    <t>Climate changes can promote disease outbreaks, but their nature and potential impacts in remote areas have received little attention. In a hot spot of biodiversity on the West Antarctic Peninsula, which faces among the fastest changing climates on Earth, we captured specimens of two notothenioid fish species affected by large skin tumors at an incidence never before observed in the Southern Ocean. Molecular and histopathological analyses revealed that X-cell parasitic al-veolates, members of a genus we call Notoxcellia, are the etiological agent of these tumors. Parasite-specificmolecular probes showed that xenomas remained within the skin but largely outgrew host cells in the dermis. We further observed that tumors induced neovascularization in underlying tissue and detrimentally affected host growth and condition. Although many knowledge gaps persist about X-cell disease, including its mode of transmission and life cycle, these findings reveal potentially active biotic threats to vulnerable Antarctic ecosystems.</t>
  </si>
  <si>
    <t>[Desvignes, Thomas; Murray, Katrina N.; Postlethwait, John H.] Univ Oregon, Inst Neurosci, Eugene, OR 97403 USA; [Lauridsen, Henrik] Aarhus Univ, Dept Clin Med, Palle Juul Jensens Blvd 99, DK-8200 Aarhus N, Denmark; [Valdivieso, Alejandro] CSIC, Inst Ciencies del Mar, Barcelona, Spain; [Fontenele, Rafaela S.; Kraberger, Simona; Varsani, Arvind] Arizona State Univ, Biodesign Ctr Fundamental &amp; Appl Microbi, Ctr Evolut &amp; Med, Tempe, AZ 85287 USA; [Fontenele, Rafaela S.; Kraberger, Simona; Varsani, Arvind] Arizona State Univ, Sch Life Sci, Tempe, AZ 85287 USA; [Le Francois, Nathalie R.] Biodome Montreal Espace Vie, Lab Physiol Aquaculture &amp; Conservat, 4777 Ave Pierre De Coubertin, Montreal, PQ H1V 1B3, Canada; [Detrich, H. William, III] Northeastern Univ, Dept Marine &amp; Environm Sci, Marine Sci Ctr, 430 Nahant Rd, Nahant, MA 01908 USA; [Kent, Michael L.] Oregon State Univ, Dept Microbiol, Corvallis, OR 97331 USA; [Varsani, Arvind] Univ Cape Town, Dept Integrat Biomed Sci, Struct Biol Res Unit, ZA-7925 Cape Town, South Africa; [Valdivieso, Alejandro] Univ Montpellier, IFREMER, IHPE, CNRS, F-34090 Montpellier, France</t>
  </si>
  <si>
    <t>University of Oregon; Aarhus University; Consejo Superior de Investigaciones Cientificas (CSIC); CSIC - Centro Mediterraneo de Investigaciones Marinas y Ambientales (CMIMA); CSIC - Instituto de Ciencias del Mar (ICM); Arizona State University; Arizona State University-Tempe; Arizona State University; Arizona State University-Tempe; Northeastern University; Oregon State University; University of Cape Town; Centre National de la Recherche Scientifique (CNRS); Ifremer; Universite de Montpellier</t>
  </si>
  <si>
    <t>Desvignes, T; Postlethwait, JH (corresponding author), Univ Oregon, Inst Neurosci, Eugene, OR 97403 USA.;Varsani, A (corresponding author), Arizona State Univ, Biodesign Ctr Fundamental &amp; Appl Microbi, Ctr Evolut &amp; Med, Tempe, AZ 85287 USA.;Varsani, A (corresponding author), Arizona State Univ, Sch Life Sci, Tempe, AZ 85287 USA.;Varsani, A (corresponding author), Univ Cape Town, Dept Integrat Biomed Sci, Struct Biol Res Unit, ZA-7925 Cape Town, South Africa.</t>
  </si>
  <si>
    <t>tdesvign@uoregon.edu; arvind.varsani@asu.edu; jpostle@uoregon.edu</t>
  </si>
  <si>
    <t>Thomas, Desvignes/AAX-3526-2020; Varsani, Arvind/JOZ-5299-2023</t>
  </si>
  <si>
    <t>Thomas, Desvignes/0000-0001-5126-8785; Varsani, Arvind/0000-0003-4111-2415; Lauridsen, Henrik/0000-0002-8833-4456; Valdivieso, Alejandro/0000-0002-6653-1491; Le Francois, Nathalie R./0000-0002-9748-8182</t>
  </si>
  <si>
    <t>National Science Foundation [OPP- 194 7040, PLR -1444167, OPP-1543383]</t>
  </si>
  <si>
    <t>We thank the captain and crew of the ARSV Laurence M. Gould , the personnel of the U.S. Antarctic Program for assistance in Chile, at sea, and at Palmer Station, as well as the logistics in Denver, CO for their support related to the Antarctic fieldwork required for this study. We also thank the University of Oregon Fish His- tology Group. We are grateful for our Antarctic fish research colleagues who responded with surprise, in- terest, and concerns after we contacted them about this pathologic outbreak. Contribution [423] from the Marine Science Center at Northeastern University. The work behind this scientific publication inspired a short scientific graphic novel A mysterious disease in Antarctic fish publicly available at https://blogs. uoregon.edu/antarcticxcell/. This work was funded by the National Science Foundation grants OPP- 194 7040 (JHP and ArV) , PLR -1444167 (HWD) , and OPP-1543383 (JHP, TD, and HWD) .</t>
  </si>
  <si>
    <t>10.1016/j.isci.2022.104588</t>
  </si>
  <si>
    <t>3C5FH</t>
  </si>
  <si>
    <t>WOS:000828647700001</t>
  </si>
  <si>
    <t>Gasiorek, P; Voncina, K; Bochnak, M; Surmacz, B; Morek, W; Michalczyk, L</t>
  </si>
  <si>
    <t>Gasiorek, Piotr; Voncina, Katarzyna; Bochnak, Marcin; Surmacz, Bartlomiej; Morek, Witold; Michalczyk, Lukasz</t>
  </si>
  <si>
    <t>Echiniscidae (Heterotardigrada) of South Africa</t>
  </si>
  <si>
    <t>TARDIGRADA HETEROTARDIGRADA; SP-NOV; INTEGRATIVE DESCRIPTION; CAPE PENINSULA; PSEUDECHINISCUS-ASPER; SPECIES TARDIGRADA; VIRGINICUS-COMPLEX; PHYLUM TARDIGRADA; SEXUAL-DIMORPHISM; RE-DESCRIPTION</t>
  </si>
  <si>
    <t>[Gasiorek, Piotr; Voncina, Katarzyna; Bochnak, Marcin; Surmacz, Bartlomiej; Morek, Witold; Michalczyk, Lukasz] Jagiellonian Univ, Fac Biol, Inst Zool &amp; Biomed Res, Dept Invertebrate Evolut, Gronostajowa 9, PL-30387 Krakow, Poland</t>
  </si>
  <si>
    <t>Gasiorek, P (corresponding author), Jagiellonian Univ, Fac Biol, Inst Zool &amp; Biomed Res, Dept Invertebrate Evolut, Gronostajowa 9, PL-30387 Krakow, Poland.</t>
  </si>
  <si>
    <t>piotr.lukas.gasiorek@gmail.com; kat.von@onet.eu; bochnakmarcinxyz@gmail.com; bartek9865@gmail.com; wmorek@op.pl; LM@tardigrada.net</t>
  </si>
  <si>
    <t>Surmacz, Bartłomiej/JWO-4231-2024; Gąsiorek, Piotr/L-3152-2017; Michalczyk, Lukasz/D-1362-2009</t>
  </si>
  <si>
    <t>Surmacz, Bartłomiej/0000-0002-1593-6552; Gąsiorek, Piotr/0000-0002-2814-8117; Morek, Witold/0000-0003-3547-9755; Michalczyk, Lukasz/0000-0002-2912-4870</t>
  </si>
  <si>
    <t>Preludium programme [2019/33/N/NZ8/02777]; Sonata Bis programme - Polish National Science Centre [2016/22/E/NZ8/00417]; European Commission's Integrated Infrastructure Initiative programme SYNTHESYS [HU-TAF-2224]</t>
  </si>
  <si>
    <t>Preludium programme; Sonata Bis programme - Polish National Science Centre; European Commission's Integrated Infrastructure Initiative programme SYNTHESYS</t>
  </si>
  <si>
    <t>We are immensely grateful to Carol Simon (Stellenbosch University, Republic of South Africa) for her invaluable help in obtaining collecting and export permits and logistic support for WM and BS. Also, Thomas Pape and Reinhardt M. Kristensen (University of Copenhagen, Denmark) are gratefully acknowledged for samples from the Waterval Nature Reserve. The samples were collected under permits No: CN35-285316 issued by CapeNature, OP 3570/2018 carried within iSimangaliso Wetland Park, a UNESCO World Heritage Site; both issued by Ezemvelo KZN Wildlife, all to WM. Sandra J. McInnes (British Antarctic Survey, United Kingdom), Reinhardt M. Kristensen and Denis V. Tumanov (Sankt Petersburg State University, Russia) are warmly acknowledged for spotting inconsistencies in the text and for their remarks that improved the manuscript. Roberto Guidetti (University of Modena and Reggio Emilia, Italy) and the Civic Museum of Natural History of Verona are thanked for making the Ramazzotti &amp; Maucci collections available to us. Krzysztof Zajac is thanked for performing the ecological modelling of species distributions. The study was supported by the Preludium programme (grant no. 2019/33/N/NZ8/02777 to PG) and the Sonata Bis programme (grant no. 2016/22/E/NZ8/00417 to LM) funded by the Polish National Science Centre, and a grant from the European Commission's Integrated Infrastructure Initiative programme SYNTHESYS (HU -TA F-2224 to LM).</t>
  </si>
  <si>
    <t>10.11646/zootaxa.5156.1.1</t>
  </si>
  <si>
    <t>2R0JW</t>
  </si>
  <si>
    <t>WOS:000820801200001</t>
  </si>
  <si>
    <t>Soteres, RL; Sagredo, EA; Kaplan, MR; Martini, MA; Moreno, PI; Reynhout, SA; Schwartz, R; Schaefer, JM</t>
  </si>
  <si>
    <t>Soteres, Rodrigo L.; Sagredo, Esteban A.; Kaplan, Michael R.; Martini, Mateo A.; Moreno, Patricio, I; Reynhout, Scott A.; Schwartz, Roseanne; Schaefer, Joerg M.</t>
  </si>
  <si>
    <t>Glacier fluctuations in the northern Patagonian Andes (44°S) imply wind-modulated interhemispheric in-phase climate shifts during Termination 1</t>
  </si>
  <si>
    <t>NUCLIDE PRODUCTION-RATES; CHILEAN LAKE DISTRICT; BE-10 PRODUCTION-RATE; SOUTHERN ALPS; NEW-ZEALAND; RADIOCARBON CHRONOLOGY; ISLA GRANDE; EAST GREENLAND; EUROPEAN ALPS; RAKAIA VALLEY</t>
  </si>
  <si>
    <t>The Last Glacial Termination (T1) featured major changes in global circulation systems that led to a shift from glacial to interglacial climate. While polar ice cores attest to an antiphased thermal pattern at millennial timescales, recent well-dated moraine records from both hemispheres suggest in-phase fluctuations in glaciers through T1, which is inconsistent with the bipolar see-saw paradigm. Here, we present a glacier chronology based on 30 new Be-10 surface exposure ages from well-preserved moraines in the Lago Palena/General Vintter basin in northern Patagonia (similar to 44 degrees S). We find that the main glacier lobe underwent profound retreat after 19.7 +/- 0.7 ka. This recessional trend led to the individualization of the Cerro Rinon glacier by similar to 16.3 ka, which underwent minor readvances at 15.9 +/- 0.5 ka during Heinrich Stadial 1, during the Antarctic Cold Reversal with successive maxima at 13.5 +/- 0.4, 13.1 +/- 0.4, and 13.1 +/- 0.5 ka, and a minor culmination at 12.5 +/- 0.4 ka during Younger Dryas time. We conclude that fluctuations of Patagonian glaciers during T1 were controlled primarily by climate anomalies brought by shifts in the Southern Westerly Winds (SWW) locus. We posit that the global covariation of mountain glaciers during T1 was linked to variations in atmospheric CO2 (atmCO(2)) promoted by the interplay of the SWW-Southern Ocean system at millennial timescales.</t>
  </si>
  <si>
    <t>[Soteres, Rodrigo L.; Sagredo, Esteban A.; Martini, Mateo A.] Pontificia Univ Catolica Chile, Inst Geog, Campus San Joaquin,Avda Vicuna Mackenna 4860, Santiago, Chile; [Soteres, Rodrigo L.; Sagredo, Esteban A.; Martini, Mateo A.; Moreno, Patricio, I; Reynhout, Scott A.] ANID Millennium Sci Initiat, Millennium Nucleus Paleoclimate, Santiago, Chile; [Sagredo, Esteban A.] Pontificia Univ Catolica Chile, Estn Patagonia Invest Interdisciplinarias UC, Santiago, Chile; [Kaplan, Michael R.; Schwartz, Roseanne; Schaefer, Joerg M.] Columbia Univ, Lamont Doherty Earth Observ, Palisades, NY USA; [Martini, Mateo A.] Univ Nacl Cordoba, Ctr Invest Ciencias Tierra CONICET UNC, Fac Ciencias Exactas Fis &amp; Nat, Cordoba, Argentina; [Moreno, Patricio, I] Univ Chile, Ctr Climate Res &amp; Resilience, Santiago, Chile; [Moreno, Patricio, I] Univ Chile, Inst Ecol &amp; Biodivers, Santiago, Chile; [Moreno, Patricio, I] Univ Chile, Dept Ciencias Ecol, Santiago, Chile; [Reynhout, Scott A.] Univ Chile, Dept Geol, Santiago, Chile; [Schaefer, Joerg M.] Columbia Univ, Dept Earth &amp; Environm Sci, New York, NY USA</t>
  </si>
  <si>
    <t>Pontificia Universidad Catolica de Chile; Pontificia Universidad Catolica de Chile; Columbia University; National University of Cordoba; Universidad de Chile; Universidad de Chile; Universidad de Chile; Universidad de Chile; Columbia University</t>
  </si>
  <si>
    <t>Soteres, RL (corresponding author), Pontificia Univ Catolica Chile, Inst Geog, Campus San Joaquin,Avda Vicuna Mackenna 4860, Santiago, Chile.;Soteres, RL (corresponding author), ANID Millennium Sci Initiat, Millennium Nucleus Paleoclimate, Santiago, Chile.</t>
  </si>
  <si>
    <t>rlsoteres@uc.cl</t>
  </si>
  <si>
    <t>Soteres, Rodrigo/HKN-4746-2023; Soteres, Rodrigo/GRJ-1904-2022; Martini, Mateo/ABF-3602-2020; Moreno, Patricio/D-2317-2012; SAGREDO, ESTEBAN/B-7280-2016</t>
  </si>
  <si>
    <t>Martini, Mateo/0000-0003-1704-9313; Moreno, Patricio/0000-0002-1333-6238; Soteres Garcia, Rodrigo Leon/0000-0003-3647-5342; SAGREDO, ESTEBAN/0000-0002-4494-5423; , Estacion Patagonia UC/0000-0002-6443-0646</t>
  </si>
  <si>
    <t>Comision Nacional de Investigacion Cientifica y Tecnologica [21161417]; Millennium Science Initiative/Millennium Nucleus Paleoclimate [NCN17_079]; Fondo Nacional de Desarrollo Cientifico y Tecnologico [1160488, 1191435]; Royal Society Te Aparangi, Marsden Fund [VUW-1701]</t>
  </si>
  <si>
    <t>Comision Nacional de Investigacion Cientifica y Tecnologica; Millennium Science Initiative/Millennium Nucleus Paleoclimate; Fondo Nacional de Desarrollo Cientifico y Tecnologico(Comision Nacional de Investigacion Cientifica y Tecnologica (CONICYT)CONICYT FONDECYT); Royal Society Te Aparangi, Marsden Fund</t>
  </si>
  <si>
    <t>This article was funded by Comision Nacional de Investigacion Cientifica y Tecnologica (21161417), Millennium Science Initiative/Millennium Nucleus Paleoclimate (NCN17_079), Fondo Nacional de Desarrollo Cientifico y Tecnologico (1160488, 1191435) and Royal Society Te Aparangi, Marsden Fund (VUW-1701).</t>
  </si>
  <si>
    <t>10.1038/s41598-022-14921-4</t>
  </si>
  <si>
    <t>2O3RQ</t>
  </si>
  <si>
    <t>WOS:000818980100003</t>
  </si>
  <si>
    <t>Hes, G; Goñi, MFS; Bouttes, N</t>
  </si>
  <si>
    <t>Hes, Gabriel; Goni, Maria F. Sanchez; Bouttes, Nathaelle</t>
  </si>
  <si>
    <t>Impact of terrestrial biosphere on the atmospheric CO2 concentration across Termination V</t>
  </si>
  <si>
    <t>LAND-SEA CORRELATION; EARTH SYSTEM MODEL; POLLEN RECORD; CARBON-CYCLE; CLIMATE VARIABILITY; VEGETATION; INSOLATION; PACIFIC; COMPLEXITY; EVOLUTION</t>
  </si>
  <si>
    <t>Among the 100 kyr climatic cycles of the Late Pleistocene, Termination V (TV, similar to 433-404 kyr BP), the fifth last deglaciation, stands out for its minimum in astronomical forcing associated paradoxically with maxima in sea level, Antarctic temperature and atmospheric CO2 concentration. However, the driving mechanisms explaining TV remain only partially understood. For instance, climate models cannot fully represent the atmospheric CO2 variation observed in paleoclimate data. Aside from essential oceanic circulation processes, there is increasing evidence that terrestrial biosphere may have played a key role in the global carbon cycle. This study proposes a three-step integrated approach, combining regional and global vegetation records with modelling results, to unveil the evolution of terrestrial biosphere and its contribution to the carbon cycle during TV. First, we provide a new high-resolution (similar to 700 years) deep-sea pollen record from the Gulf of Cadiz (site U1386, 36 degrees 49.680' N; 7 degrees 45.320' W) for TV, which shows a moderate expansion of the Mediterranean forest. We then construct the first global forest pollen database for this period. Our compilation features distinct evolutions for different types of forest, highlighting a strong development of temperate and boreal forest which might have delayed the atmospheric CO2 increase during TV. Finally, the direct comparison of global simulated forests (iLOVECLIM model) to our pollen database reveals overall consistent temperate and boreal forest evolutions despite model biases, thereby supporting the hypothesis of a significant CO2 sequestration by middle and high-latitude forests of the Northern Hemisphere shortly after the onset of TV.</t>
  </si>
  <si>
    <t>[Hes, Gabriel] PSL Univ, Dept Geosci, Ecole Normale Super, Paris, France; [Hes, Gabriel; Goni, Maria F. Sanchez] Univ Bordeaux, UMR CNRS 5805, EPOC, OASU, Allee Geoffroy St Hilaire, F-33615 Pessac, France; [Goni, Maria F. Sanchez] PSL Univ, Ecole Prat Hautes Etud EPHE, Allee Geoffroy St Hilaire Bat 18N, F-33615 Pessac, France; [Bouttes, Nathaelle] Univ Paris Saclay, Lab Sci Climat &amp; Environm, LSCE IPSL, CEA,CNRS,UVSQ, F-91198 Gif Sur Yvette, France</t>
  </si>
  <si>
    <t>Universite PSL; Ecole Normale Superieure (ENS); Centre National de la Recherche Scientifique (CNRS); Universite Bordeaux-Montaigne; CNRS - National Institute for Earth Sciences &amp; Astronomy (INSU); Universite de Bordeaux; Universite Paris Saclay; CEA; Centre National de la Recherche Scientifique (CNRS); Universite Paris Cite</t>
  </si>
  <si>
    <t>Hes, G (corresponding author), PSL Univ, Dept Geosci, Ecole Normale Super, Paris, France.;Hes, G (corresponding author), Univ Bordeaux, UMR CNRS 5805, EPOC, OASU, Allee Geoffroy St Hilaire, F-33615 Pessac, France.</t>
  </si>
  <si>
    <t>gabriel.hes@ens.fr</t>
  </si>
  <si>
    <t>Sanchez Goñi, Maria Fernanda/R-3699-2019</t>
  </si>
  <si>
    <t>Sanchez Goñi, Maria Fernanda/0000-0001-8238-7488; Hes, Gabriel/0000-0002-0408-8463</t>
  </si>
  <si>
    <t>Agence Nationale de la Recherche [CE27-0011-01]</t>
  </si>
  <si>
    <t>Agence Nationale de la Recherche(Agence Nationale de la Recherche (ANR))</t>
  </si>
  <si>
    <t>This research has been supported by the Agence Nationale de la Recherche (grant no. CE27-0011-01).</t>
  </si>
  <si>
    <t>10.5194/cp-18-1429-2022</t>
  </si>
  <si>
    <t>2L0LS</t>
  </si>
  <si>
    <t>WOS:000816716700001</t>
  </si>
  <si>
    <t>Kim, S; Han, C; Moon, J; Han, Y; Hur, SD; Lee, J</t>
  </si>
  <si>
    <t>Kim, Songyi; Han, Changhee; Moon, Jangil; Han, Yeongcheol; Hur, Soon Do; Lee, Jeonghoon</t>
  </si>
  <si>
    <t>An optimal strategy for determining triple oxygen isotope ratios in natural water using a commercial cavity ring-down spectrometer</t>
  </si>
  <si>
    <t>GEOSCIENCES JOURNAL</t>
  </si>
  <si>
    <t>triple oxygen isotopes; CRDS; delta O-17; O-17-excess; Antarctica snow</t>
  </si>
  <si>
    <t>SURFACE SNOW; O-17-EXCESS; DELTA-O-18; SPECTROSCOPY; PRECISION; VSMOW; PRECIPITATION; O-18/O-16; DELTA-H-2; O-17/O-16</t>
  </si>
  <si>
    <t>Triple oxygen isotope ratios have been increasingly acknowledged as useful hydrological tracers but measuring both O-17/ O-16 and O-18/ O-16 ratios with meaningful precision has been challenging due to the much lower natural abundance of O-17 than O-16 and even O-18. In this study, in line with the advancement of laser-based techniques and their growing applications, we demonstrate how to optimize the determination of O-17-excess (Delta O-17 = ln(delta O-17 + 1) - 0.528 x ln(delta O-18 + 1)) in natural water using a commercial wave-length-scanned cavity ring-down spectrometer (WS-CRDS). We particularly focus on how to decide the injection numbers of samples and standard solutions utilized for normalization of sample results to the VSMOW-SLAP reference scale. With a measurement strategy aimed at an uncertainty better than 10 per meg (1 sigma), the Delta O-17 of Greenland Ice Sheet Precipitation (GISP) is determined to be 24 +/- 9 per meg (n = 104), in agreement with previous literature values. By applying this method to Antarctic glacial ice, it is shown to be useful in detecting the seasonality of Delta O-17 values in Antarctic precipitation. Our approach represents an underlying analytical method that provides guidelines for determining Delta O-17 from various types of natural waters.</t>
  </si>
  <si>
    <t>[Kim, Songyi; Han, Changhee; Moon, Jangil; Han, Yeongcheol; Hur, Soon Do] Korea Polar Res Inst, 26 Songdomirae Ro, Incheon 21990, South Korea; [Kim, Songyi; Lee, Jeonghoon] Ewha Womans Univ, Dept Sci Educ, Seoul 03760, South Korea</t>
  </si>
  <si>
    <t>Korea Polar Research Institute (KOPRI); Ewha Womans University</t>
  </si>
  <si>
    <t>Han, Y (corresponding author), Korea Polar Res Inst, 26 Songdomirae Ro, Incheon 21990, South Korea.</t>
  </si>
  <si>
    <t>yhan@kopri.re.kr</t>
  </si>
  <si>
    <t>Lee, Jeonghoon/E-8116-2010</t>
  </si>
  <si>
    <t>Korea Polar Research Institute (KOPRI) [PE21440, PE15150]</t>
  </si>
  <si>
    <t>This study was supported by Korea Polar Research Institute (KOPRI) research grants (PE21440 and PE15150). The Antarctic GV7 ice cores were obtained through the IPICS-2kyr-It project, a PNRA (Italian Antarctic Research Programme) ice core project carried out in cooperation with KOPRI.</t>
  </si>
  <si>
    <t>GEOLOGICAL SOCIETY KOREA</t>
  </si>
  <si>
    <t>SEOUL</t>
  </si>
  <si>
    <t>NEW BLD RM 813, 22, TEHERAN-RO 7-GIL, SEOUL, 06130, SOUTH KOREA</t>
  </si>
  <si>
    <t>1226-4806</t>
  </si>
  <si>
    <t>1598-7477</t>
  </si>
  <si>
    <t>GEOSCI J</t>
  </si>
  <si>
    <t>Geosci. J.</t>
  </si>
  <si>
    <t>10.1007/s12303-022-0009-y</t>
  </si>
  <si>
    <t>4C4JQ</t>
  </si>
  <si>
    <t>WOS:000817040400002</t>
  </si>
  <si>
    <t>Padden, H</t>
  </si>
  <si>
    <t>Padden, Henry</t>
  </si>
  <si>
    <t>Does Space Law Prevent Patterns of Antarctic Imperialism in Outer Space?</t>
  </si>
  <si>
    <t>GLOBAL POLICY</t>
  </si>
  <si>
    <t>TERRITORIAL CLAIMS; UNITED-NATIONS; EMPIRE; QUESTION</t>
  </si>
  <si>
    <t>This article will consider the ways states have exercised imperialism over Antarctica, focusing on two methods: the use of administrative acts and control over scientific research and resources. The article will then compare the Outer Space Treaty and the Antarctic Treaty System around these two methods, as well as the use of military capabilities as an important aspect of imperial control, to question whether space law prohibits imperialism. The Outer Space Treaty seeks to prevent the militarisation of space, the unequal use of resources and claims of sovereignty. However, given the methods of imperialism on Antarctica and the underdevelopment of space law, this kind of imperialism may also be exercised in outer space. It will argue that while formal sovereignty claims are prevented, de facto exclusive claims are not. The establishment of permanent bases under the jurisdiction of the sender state, and the commercial opportunities presented by scientific research and the exploitation of resources create incentives for the use of the military which is also not satisfactorily regulated by international space law.</t>
  </si>
  <si>
    <t>[Padden, Henry] Univ Durham, Law Sch, Sch Govt &amp; Int Affairs, Durham, England</t>
  </si>
  <si>
    <t>Durham University</t>
  </si>
  <si>
    <t>Padden, H (corresponding author), Univ Durham, Law Sch, Sch Govt &amp; Int Affairs, Durham, England.</t>
  </si>
  <si>
    <t>henrypadden@yahoo.co.uk</t>
  </si>
  <si>
    <t>Padden, Henry/JAX-9150-2023</t>
  </si>
  <si>
    <t>Padden, Henry/0000-0002-6047-6401</t>
  </si>
  <si>
    <t>1758-5880</t>
  </si>
  <si>
    <t>1758-5899</t>
  </si>
  <si>
    <t>GLOB POLICY</t>
  </si>
  <si>
    <t>Glob. Policy</t>
  </si>
  <si>
    <t>10.1111/1758-5899.13104</t>
  </si>
  <si>
    <t>International Relations; Political Science</t>
  </si>
  <si>
    <t>International Relations; Government &amp; Law</t>
  </si>
  <si>
    <t>2T8QP</t>
  </si>
  <si>
    <t>WOS:000816976700001</t>
  </si>
  <si>
    <t>Södergren, AH; McDonald, AJ</t>
  </si>
  <si>
    <t>Sodergren, A. H.; McDonald, A. J.</t>
  </si>
  <si>
    <t>Quantifying the Role of Atmospheric and Surface Albedo on Polar Amplification Using Satellite Observations and CMIP6 Model Output</t>
  </si>
  <si>
    <t>polar amplification; climate models; cmip6; albedo; climate change</t>
  </si>
  <si>
    <t>SEA-ICE; CO2 CONCENTRATION; CLIMATE MODELS; CLOUD; FEEDBACKS</t>
  </si>
  <si>
    <t>Understanding polar amplification (PA) and its underlying processes is key to accurately predicting the climate system's response to increasing anthropogenic forcings. We examine the amplified warming in the Arctic and Antarctic in 17 global climate models from the Coupled Model Intercomparison Project 6 (CMIP6) against satellite data. Large hemispheric differences in PA strength was found in the CMIP6 models. Changes in surface temperature and strength of PA is closely coupled to changes in albedo. The planetary albedo of Earth (alpha(p)) is partitioned into a component associated with surface albedo (defined as surface contribution to planetary albedo, alpha surfp ${\alpha }_{\mathit{surf}}&lt;^&gt;{p}$), and a component associated with atmospheric albedo (atmospheric contribution to planetary albedo, alpha atmp ${\alpha }_{\mathit{atm}}&lt;^&gt;{p}$). To assess the hemispheric differences in PA strengths, the relative importance of alpha surfp ${\alpha }_{\mathit{surf}}&lt;^&gt;{p}$ and alpha atmp ${\alpha }_{\mathit{atm}}&lt;^&gt;{p}$ were investigated. The surface reflection looks different as seen at the surface (defined as surface albedo, alpha(surf)) compared to alpha surfp ${\alpha }_{\mathit{surf}}&lt;^&gt;{p}$ (as seen at the top of the atmosphere). We find a stronger correlation between surface temperature and alpha(surf) in the Arctic than in the Antarctic, with correlation coefficients of -0.94 and -0.88, respectively. Interestingly, the correlation for surface temperature and alpha surfp ${\alpha }_{\mathit{surf}}&lt;^&gt;{p}$ is stronger in the Antarctic than in the Arctic with correlation coefficients of -0.93 and -0.90, respectively. In the southern high latitudes, albedo changes at the surface are more important than changes in the atmosphere, while the opposite applies in the northern high latitudes. Surface temperature changes in the low- and mid-latitudes are strongly associated with changes in alpha atmp ${\alpha }_{\mathit{atm}}&lt;^&gt;{p}$, dominated by changes in cloud properties.</t>
  </si>
  <si>
    <t>[Sodergren, A. H.; McDonald, A. J.] Univ Canterbury, Gateway Antarctica, Sch Earth &amp; Environm, Christchurch, New Zealand; [McDonald, A. J.] Univ Canterbury, Sch Phys &amp; Chem Sci, Christchurch, New Zealand</t>
  </si>
  <si>
    <t>Södergren, AH (corresponding author), Univ Canterbury, Gateway Antarctica, Sch Earth &amp; Environm, Christchurch, New Zealand.</t>
  </si>
  <si>
    <t>helena.sodergren@gmail.com</t>
  </si>
  <si>
    <t>Keyes, Dennis/AAZ-9285-2021</t>
  </si>
  <si>
    <t>McDonald, Adrian/0000-0002-1456-6254; Sodergren, Anna Helena/0000-0002-9660-4081</t>
  </si>
  <si>
    <t>Antarctica New Zealand; Antarctic Science Platform</t>
  </si>
  <si>
    <t>We gratefully thank Antarctica New Zealand and Antarctic Science Platform who funded this project and made it possible. Open access publishing facilitated by University of Canterbury, as part of the Wiley - University of Canterbury agreement via the Council of Australian University Librarians.</t>
  </si>
  <si>
    <t>e2021JD035058</t>
  </si>
  <si>
    <t>10.1029/2021JD035058</t>
  </si>
  <si>
    <t>2G9ZJ</t>
  </si>
  <si>
    <t>WOS:000813959100001</t>
  </si>
  <si>
    <t>Benn, DI; Luckman, A; Åström, JA; Crawford, AJ; Cornford, SL; Bevan, SL; Zwinger, T; Gladstone, R; Alley, K; Pettit, E; Bassis, J</t>
  </si>
  <si>
    <t>Benn, Douglas I.; Luckman, Adrian; Astrom, Jan A.; Crawford, Anna J.; Cornford, Stephen L.; Bevan, Suzanne L.; Zwinger, Thomas; Gladstone, Rupert; Alley, Karen; Pettit, Erin; Bassis, Jeremy</t>
  </si>
  <si>
    <t>Rapid fragmentation of Thwaites Eastern Ice Shelf</t>
  </si>
  <si>
    <t>Ice shelves play a key role in the dynamics of marine ice sheets by buttressing grounded ice and limiting rates of ice flux to the oceans. In response to recent climatic and oceanic change, ice shelves fringing the West Antarctic Ice Sheet (WAIS) have begun to fragment and retreat, with major implications for ice-sheet stability. Here, we focus on the Thwaites Eastern Ice Shelf (TEIS), the remaining pinned floating extension of Thwaites Glacier. We show that TEIS has undergone a process of fragmentation in the last 5 years, including brittle failure along a major shear zone, formation of tensile cracks on the main body of the shelf, and a release of tabular bergs on both the eastern and western flanks. Simulations with the Helsinki Discrete Element Model (HiDEM) show that this pattern of failure is associated with high backstress from a submarine pinning point at the distal edge of the shelf. We show that a significant zone of shear, upstream of the main pinning point, developed in response to the rapid acceleration of the shelf between 2002 and 2006, seeding damage on the shelf. Subsequently, basal melting and positive feedback between damage and strain rates weakened TEIS, allowing damage to accumulate. Thus, although backstress on TEIS has likely diminished over time as the pinning point shrunk, accumulation of damage has ensured that the ice in the shear zone remained the weakest link in the system. Experiments with the BISICLES ice-sheet model indicate that additional damage to or unpinning of TEIS is unlikely to trigger significantly increased ice loss from WAIS, but the calving response to the loss of TEIS remains highly uncertain. It is widely recognised that ice-shelf fragmentation and collapse can be triggered by hydrofracturing and/or unpinning from ice-shelf margins or grounding points. Our results indicate a third mechanism, backstress triggered failure, that can occur if and when an ice shelf is no longer able to withstand stress imposed by pinning points. In most circumstances, pinning points are essential for ice-shelf stability, but as ice shelves thin and weaken, the concentration of backstress in damaged ice upstream of a pinning point may provide the seeds of their demise.</t>
  </si>
  <si>
    <t>[Benn, Douglas I.; Crawford, Anna J.] Univ St Andrews, Sch Geog &amp; Sustainable Dev, St Andrews KY16 9AL, Scotland; [Luckman, Adrian; Cornford, Stephen L.; Bevan, Suzanne L.] Swansea Univ, Dept Geog, Swansea SA2 8PP, Wales; [Astrom, Jan A.; Zwinger, Thomas] CSC IT Ctr Sci, Espoo 02101, Finland; [Gladstone, Rupert] Univ Lapland, Arctic Ctr, Rovaniemi 96101, Finland; [Alley, Karen] Univ Manitoba, Dept Geog &amp; Environm, Winnipeg, MB R3T 2M6, Canada; [Pettit, Erin] Oregon State Univ, Coll Earth Ocean &amp; Atmospher Sci, Corvallis, OR 97331 USA; [Bassis, Jeremy] Univ Michigan, Dept Earth &amp; Environm Sci, Ann Arbor, MI 48109 USA</t>
  </si>
  <si>
    <t>University of St Andrews; Swansea University; University of Lapland; University of Manitoba; Oregon State University; University of Michigan System; University of Michigan</t>
  </si>
  <si>
    <t>Benn, DI (corresponding author), Univ St Andrews, Sch Geog &amp; Sustainable Dev, St Andrews KY16 9AL, Scotland.</t>
  </si>
  <si>
    <t>dib2@st-andrews.ac.uk</t>
  </si>
  <si>
    <t>Pettit, Erin Christine/0000-0002-6765-9841; Benn, Douglas/0000-0002-3604-0886</t>
  </si>
  <si>
    <t>National Science Foundation (NSF) [1738896, 1929991]; Natural Environment Research Council (NERC) [NE/S006605/1]; Academy of Finland [322430]; Thomas Zwinger [322978]</t>
  </si>
  <si>
    <t>National Science Foundation (NSF)(National Science Foundation (NSF)); Natural Environment Research Council (NERC)(UK Research &amp; Innovation (UKRI)Natural Environment Research Council (NERC)); Academy of Finland(Research Council of Finland); Thomas Zwinger</t>
  </si>
  <si>
    <t>Funding was provided by the National Science Foundation (NSF: grant nos. 1738896 and 1929991) and Natural Environment Research Council (NERC: grant no. NE/S006605/1). Rupert Gladstone is supported by Academy of Finland (grant no. 322430), Thomas Zwinger by grant no. 322978.</t>
  </si>
  <si>
    <t>10.5194/tc-16-2545-2022</t>
  </si>
  <si>
    <t>VN7XS</t>
  </si>
  <si>
    <t>WOS:001196007900001</t>
  </si>
  <si>
    <t>van der Linde, K; Visser, IN; Bout, R; Krause, DJ; Forcada, J; Siniff, D; Stone, S; Fyfe, J; Fernández-Ferrada, N; Macallan, K; Savenko, O; Cooper, TE</t>
  </si>
  <si>
    <t>van der Linde, Krista; Visser, Ingrid N.; Bout, Rick; Krause, Douglas J.; Forcada, Jaume; Siniff, Donald; Stone, Sheridan; Fyfe, Jim; Fernandez-Ferrada, Nicolas; Macallan, Kathryne; Savenko, Oksana; Cooper, Tracy E.</t>
  </si>
  <si>
    <t>A review of leopard seal (Hydrurga leptonyx) births and pups using a standardised age-class classification system</t>
  </si>
  <si>
    <t>Apex predator; Distribution; Newborn; Phenology; Phocid; Pinniped; Reproduction</t>
  </si>
  <si>
    <t>PACK-ICE SEALS; CRAB-EATER SEALS; ENVIRONMENTAL-CHANGE; WINTER DISPERSAL; HABITAT USE; PRYDZ BAY; BEHAVIOR; ISLAND; ABUNDANCE; DENSITY</t>
  </si>
  <si>
    <t>Despite the ecological importance of leopard seals (Hydrurga leptonyx) as apex marine predators, little is known about their reproductive biology. To address this paucity, we reviewed leopard seal birth and pup records and applied a standardised age-class classification system to differentiate between births/newborns (offspring &lt;= 14 days old) and pups (&gt; 14 days but &lt; 6 months old). We compiled 19 birth/newborn and 141 pup records and examined their occurrence by month, region, substrate, birth-specific attributes (i.e. birth observations, fresh umbilicus or placental), standard length, weight, presence of mother, presence of lanugo, sex, status (e.g. born alive) and fate. These records indicate that leopard seal births occur between September and December, with peak records from September to November, whilst pup records peaked between August and December. The regions with the most birth/newborn records were the sub-Antarctic Islands (31.6%) and Chile (31.6%), followed by Antarctica (15.8%), New Zealand (15.8%) and the Falkland Islands (5.3%). Pups were recorded predominantly in the sub-Antarctic Islands (54.6%), followed by the Antarctic (42.6%), Chile (2.1%) and Australia (0.7%). Whilst leopard seal birth records were predominantly on ice, they were also found on terra firma. The northernmost published leopard seal birth records occurred in New Zealand whilst the northernmost published leopard seal pup records occurred in Australia. This study contradicts the long-standing hypothesis that leopard seals only give birth on Antarctic pack ice, and instead, here we indicate that 84.2% and 57.4% of collated leopard seal birth and pup records, respectively, occur outside of Antarctica. Our records illustrate the importance of northern regions as part of the leopard seal's range. We emphasise the need to conduct research focused on the reproductive biology of this keystone species throughout its range and that future management of leopard seal populations should also consider their northern range.</t>
  </si>
  <si>
    <t>[van der Linde, Krista] World Wildlife Fund Nat New Zealand WWF NZ, Thorndon Quay, Wellington 6011, New Zealand; [van der Linde, Krista; Visser, Ingrid N.; Bout, Rick; Cooper, Tracy E.] LeopardSeals Org, Kaikoura 7371, New Zealand; [van der Linde, Krista; Visser, Ingrid N.] Univ Canterbury, Sch Biol Sci, Christchurch 8041, New Zealand; [Visser, Ingrid N.; Cooper, Tracy E.] Orca Res Trust, Tutukaka 0153, New Zealand; [Krause, Douglas J.] Natl Marine Fisheries Serv, Antarctic Ecosyst Res Div, Southwest Fisheries Sci Ctr, La Jolla, CA 92037 USA; [Forcada, Jaume] British Antarctic Survey BAS, Nat Environm Res Council NERC, Cambridge CB3 0ET, England; [Siniff, Donald; Stone, Sheridan] Univ Minnesota, Dept Ecol Evolut &amp; Behav, 318 Church St SE, Minneapolis, MN 55455 USA; [Fyfe, Jim] Dept Conservat, Otago 9016, New Zealand; [Fernandez-Ferrada, Nicolas] Univ Valparaiso, Fac Ciencias, Inst Biol, Magister Ciencias Biol Menc Biodivers &amp; Conservac, Gran Bretana, Valparaiso 1111, Chile; [Macallan, Kathryne] Oregon State Univ, Dept Fisheries Wildlife &amp; Conservat Sci, Corvallis, OR 97331 USA; [Savenko, Oksana] Natl Antarctic Sci Ctr Ukraine, UA-01601 Kiev, Ukraine</t>
  </si>
  <si>
    <t>University of Canterbury; National Oceanic Atmospheric Admin (NOAA) - USA; UK Research &amp; Innovation (UKRI); Natural Environment Research Council (NERC); University of Minnesota System; University of Minnesota Twin Cities; Universidad de Valparaiso; Oregon State University; Ministry of Education &amp; Science of Ukraine; State Institution National Antarctic Scientific Center</t>
  </si>
  <si>
    <t>van der Linde, K (corresponding author), World Wildlife Fund Nat New Zealand WWF NZ, Thorndon Quay, Wellington 6011, New Zealand.;van der Linde, K (corresponding author), LeopardSeals Org, Kaikoura 7371, New Zealand.;van der Linde, K (corresponding author), Univ Canterbury, Sch Biol Sci, Christchurch 8041, New Zealand.</t>
  </si>
  <si>
    <t>kvanderlinde@wwf.org.nz</t>
  </si>
  <si>
    <t>Forcada, Jaume/GYU-0677-2022; Savenko, Oksana/ABI-4737-2020</t>
  </si>
  <si>
    <t>Savenko, Oksana/0000-0001-6719-4602; Krause, Douglas J./0000-0002-2517-3106; Bout, Rick/0000-0002-5230-057X</t>
  </si>
  <si>
    <t>Patreon; Encounter Foundation; CAUL</t>
  </si>
  <si>
    <t>Open Access funding enabled and organized by CAUL and its Member Institutions. This study received funding from Patreon supporters, Dodoland and the Encounter Foundation.</t>
  </si>
  <si>
    <t>10.1007/s00300-022-03053-0</t>
  </si>
  <si>
    <t>WOS:000817065200001</t>
  </si>
  <si>
    <t>Darcy, JL; Amend, AS; Swift, SOI; Sommers, PS; Lozupone, CA</t>
  </si>
  <si>
    <t>Darcy, John L.; Amend, Anthony S.; Swift, Sean O. I.; Sommers, Pacifica S.; Lozupone, Catherine A.</t>
  </si>
  <si>
    <t>specificity: an R package for analysis of feature specificity to environmental and higher dimensional variables, applied to microbiome species data</t>
  </si>
  <si>
    <t>ENVIRONMENTAL MICROBIOME</t>
  </si>
  <si>
    <t>Species distributions; Biogeography; Multi-omic data</t>
  </si>
  <si>
    <t>SP NOV.; QUADRATIC ENTROPY; CRYOCONITE HOLES; GEN. NOV.; DIVERSITY; DISCOVERY; REVEAL; ACIDS</t>
  </si>
  <si>
    <t>Background Understanding the factors that influence microbes' environmental distributions is important for determining drivers of microbial community composition. These include environmental variables like temperature and pH, and higher-dimensional variables like geographic distance and host species phylogeny. In microbial ecology, specificity is often described in the context of symbiotic or host parasitic interactions, but specificity can be more broadly used to describe the extent to which a species occupies a narrower range of an environmental variable than expected by chance. Using a standardization we describe here, Rao's (Theor Popul Biol, 1982. https://doi.org/10.1016/0040-5809(82)90004-1, Sankhya A, 2010. https://doi.org/10.1007/s13171-010-0016-3 ) Quadratic Entropy can be conveniently applied to calculate specificity of a feature, such as a species, to many different environmental variables. Results We present our R package specificity for performing the above analyses, and apply it to four real-life microbial data sets to demonstrate its application. We found that many fungi within the leaves of native Hawaiian plants had strong specificity to rainfall and elevation, even though these variables showed minimal importance in a previous analysis of fungal beta-diversity. In Antarctic cryoconite holes, our tool revealed that many bacteria have specificity to co-occurring algal community composition. Similarly, in the human gut microbiome, many bacteria showed specificity to the composition of bile acids. Finally, our analysis of the Earth Microbiome Project data set showed that most bacteria show strong ontological specificity to sample type. Our software performed as expected on synthetic data as well. Conclusions specificity is well-suited to analysis of microbiome data, both in synthetic test cases, and across multiple environment types and experimental designs. The analysis and software we present here can reveal patterns in microbial taxa that may not be evident from a community-level perspective. These insights can also be visualized and interactively shared among researchers using specificity's companion package, specificity.shiny.</t>
  </si>
  <si>
    <t>[Darcy, John L.; Lozupone, Catherine A.] Univ Colorado, Sch Med, Div Biomed Informat &amp; Personalized Med, Aurora, CO 80309 USA; [Amend, Anthony S.; Swift, Sean O. I.] Univ Hawaii Manoa, Sch Life Sci, Honolulu, HI USA; [Amend, Anthony S.] Univ Hawaii Manoa, Pacific Biosci Res Ctr, Honolulu, HI USA; [Sommers, Pacifica S.] Univ Colorado Boulder, Dept Ecol &amp; Evolutionary Biol, Boulder, CO USA</t>
  </si>
  <si>
    <t>University of Colorado System; University of Colorado Anschutz Medical Campus; University of Hawaii System; University of Hawaii Manoa; University of Hawaii System; University of Hawaii Manoa; University of Colorado System; University of Colorado Boulder</t>
  </si>
  <si>
    <t>Darcy, JL (corresponding author), Univ Colorado, Sch Med, Div Biomed Informat &amp; Personalized Med, Aurora, CO 80309 USA.</t>
  </si>
  <si>
    <t>darcyj@colorado.edu</t>
  </si>
  <si>
    <t>Swift, Sean/0000-0002-1170-4711</t>
  </si>
  <si>
    <t>NIH NLM Computational Biology training Grant [5 T15 LM009451-12]; NSF [1255972]</t>
  </si>
  <si>
    <t>NIH NLM Computational Biology training Grant; NSF(National Science Foundation (NSF))</t>
  </si>
  <si>
    <t>Funding was provided by an NIH NLM Computational Biology training Grant (5 T15 LM009451-12) an NSF award (1255972). Funding bodies had no role in study design, analysis, interpretation, or in the preparation of this manuscript.</t>
  </si>
  <si>
    <t>2524-6372</t>
  </si>
  <si>
    <t>ENVIRON MICROBIOME</t>
  </si>
  <si>
    <t>Environ. Microbiome</t>
  </si>
  <si>
    <t>JUN 25</t>
  </si>
  <si>
    <t>10.1186/s40793-022-00426-0</t>
  </si>
  <si>
    <t>Genetics &amp; Heredity; Microbiology</t>
  </si>
  <si>
    <t>2J4LI</t>
  </si>
  <si>
    <t>WOS:000815630200001</t>
  </si>
  <si>
    <t>Takahashi, KD; Makabe, R; Takao, S; Kashiwase, H; Moteki, M</t>
  </si>
  <si>
    <t>Takahashi, Keigo D.; Makabe, Ryosuke; Takao, Shintaro; Kashiwase, Haruhiko; Moteki, Masato</t>
  </si>
  <si>
    <t>Phytoplankton and ice-algal communities in the seasonal ice zone during January (Southern Ocean, Indian sector)</t>
  </si>
  <si>
    <t>JOURNAL OF OCEANOGRAPHY</t>
  </si>
  <si>
    <t>Polar oceans; Phytoplankton; Ice algae; Seeding; Sea ice; Southern Ocean</t>
  </si>
  <si>
    <t>ANTARCTIC SEA-ICE; WEDDELL SEA; PRIMARY PRODUCTIVITY; MCMURDO-SOUND; PACK ICE; BIOMASS; BLOOM; EDGE; ABUNDANCE; SUMMER</t>
  </si>
  <si>
    <t>In the seasonal ice zone (SIZ), sea-ice algae have been hypothesized to influence phytoplankton species composition in seawater after melting from sea ice. However, information on ice-algal species composition during summer (December-February) was small particularly in the Indian sector of the Southern Ocean. We investigated sea-ice macronutrient concentrations and relationships between phytoplankton and ice-algal species composition in this region during January of 2018-2020. The species composition of ice algae each year (after weighted-averaged by sample volume for each sea ice) was dominated by the diatom Fragilariopsis cylindrus (78-89% of total cells). This result differed from ice-algal compositions in spring but consistent with those in summer, indicating seasonal changes in species composition of ice algae at East Antarctic SIZ. Using all years' sea-ice data, we found nitrate + nitrite: phosphate ratio declined significantly with increased algal concentrations. Diatoms' uptake ratio of macronutrients and remineralization of phosphorus from their products (e.g., dissolved organic matter) may result in this relationship, which indicates algal accumulation especially of diatoms in sea ice. At the ice-sampling stations, phytoplankton was dominated by F. cylindrus, while at the northern stations, higher proportions of F. kerguelensis, Pseudo-nitzschia prolongatoides/subcurvata, and Gymnodiniales were observed. The similarity index of sea-ice and phytoplankton composition was negatively correlated with days elapsed since sea-ice retreat and surface seawater temperature at each sampled station. This suggests that phytoplankton species composition might be influenced by release of ice algae where the influence of sea ice is strong during summer.</t>
  </si>
  <si>
    <t>[Takahashi, Keigo D.; Makabe, Ryosuke] Grad Univ Adv Studies, SOKENDAI, 10 3 Midori cho, Tachikawa, Tokyo 1908518, Japan; [Makabe, Ryosuke; Moteki, Masato] Natl Inst Polar Res, 10 3 Midori cho, Tachikawa, Tokyo 1908518, Japan; [Makabe, Ryosuke; Moteki, Masato] Tokyo Univ Marine Sci &amp; Technol, 4 5 7 Konan,Minato, Tokyo 1088477, Japan; [Takao, Shintaro] Natl Inst Environm Studies, 16 2 Onogawa, Tsukuba, Ibaraki 3058506, Japan; [Kashiwase, Haruhiko] Tomakomai Coll, Natl Inst Technol, 443 Nishikigaoka, Tomakomai, Hokkaido 0591275, Japan</t>
  </si>
  <si>
    <t>Graduate University for Advanced Studies - Japan; Research Organization of Information &amp; Systems (ROIS); National Institute of Polar Research (NIPR) - Japan; Tokyo University of Marine Science &amp; Technology; National Institute for Environmental Studies - Japan</t>
  </si>
  <si>
    <t>Takahashi, KD (corresponding author), Grad Univ Adv Studies, SOKENDAI, 10 3 Midori cho, Tachikawa, Tokyo 1908518, Japan.</t>
  </si>
  <si>
    <t>keigo.d.takahashi@gmail.com</t>
  </si>
  <si>
    <t>Takao, Shintaro/M-8269-2019</t>
  </si>
  <si>
    <t>Takahashi, Keigo/0000-0001-6021-704X</t>
  </si>
  <si>
    <t>JSPS KAKENHI [JP24255001, JP15H05239, JP17H06319, JP17K07579, JP21J14914]; Research Project Funds of the National Institute of Polar Research [KP-308]; Japanese Antarctic Research Expedition [AP-0923, AP-0939]</t>
  </si>
  <si>
    <t>JSPS KAKENHI(Ministry of Education, Culture, Sports, Science and Technology, Japan (MEXT)Japan Society for the Promotion of ScienceGrants-in-Aid for Scientific Research (KAKENHI)); Research Project Funds of the National Institute of Polar Research; Japanese Antarctic Research Expedition</t>
  </si>
  <si>
    <t>This study was supported by JSPS KAKENHI Grant No. JP24255001 to T. Odate, Nos. JP15H05239 and JP17H06319 to M. Moteki, No. JP17K07579 to R. Makabe, and No. JP21J14914 to K. D. Takahashi. This study was also supported by Research Project Funds of the National Institute of Polar Research (No. KP-308 to T. Odate) and Japanese Antarctic Research Expedition (Nos. AP-0923 and AP-0939) to M. Moteki.</t>
  </si>
  <si>
    <t>0916-8370</t>
  </si>
  <si>
    <t>1573-868X</t>
  </si>
  <si>
    <t>J OCEANOGR</t>
  </si>
  <si>
    <t>J. Oceanogr.</t>
  </si>
  <si>
    <t>10.1007/s10872-022-00649-2</t>
  </si>
  <si>
    <t>4N4HY</t>
  </si>
  <si>
    <t>WOS:000815581400001</t>
  </si>
  <si>
    <t>Boyd, PW; Doney, SC; Eggins, S; Ellwood, MJ; Fourquez, M; Nunn, BL; Strzepek, R; Timmins-Schiffman, E</t>
  </si>
  <si>
    <t>Boyd, Philip W.; Doney, Scott C.; Eggins, Sam; Ellwood, Michael J.; Fourquez, Marion; Nunn, Brook L.; Strzepek, Robert; Timmins-Schiffman, Emma</t>
  </si>
  <si>
    <t>Transitioning global change experiments on Southern Ocean phytoplankton from lab to field settings: Insights and challenges</t>
  </si>
  <si>
    <t>IRON AVAILABILITY; LIGHT; ACIDIFICATION; PRODUCTIVITY; TEMPERATURE; NUTRIENT; DIATOMS; GROWTH; TIME; ZOOPLANKTON</t>
  </si>
  <si>
    <t>The influence of global change on Southern Ocean productivity will have major ramifications for future management of polar life. A prior laboratory study investigated the response of a batch-cultured subantarctic diatom to projected change simulating conditions for 2100 (increased temperature/CO2/irradiance/iron; decreased macronutrients), showed a twofold higher chlorophyll-derived growth rate driven mainly by temperature and iron. We translated this design to the field to understand the phytoplankton community response, within a subantarctic foodweb, to 2100 conditions. A 7-d shipboard study utilizing 250-liter mesocosms was conducted in March 2016. The outcome mirrors lab-culture experiments, yielding twofold higher chlorophyll in the 2100 treatment relative to the control. This trend was also evident for intrinsic metrics including nutrient depletion. Unlike the lab-culture study, photosynthetic competence revealed a transient effect in the 2100 mesocosm, peaking on day 3 then declining. Metaproteomics revealed significant differences in protein profiles between treatments by day 7. The control proteome was enriched for photosynthetic processes (c.f. 2100) and exhibited iron-limitation signatures; the 2100 proteome exposed a shift in cellular energy production. Our findings of enhanced phytoplankton growth are comparable to model simulations, but underlying mechanisms (temperature, iron, and/or light) differ between experiments and models. Batch-culture approaches hinder cross-comparison of mesocosm findings to model simulations (the latter are akin to continuous-culture chemostats). However, chemostat techniques are problematic to use with mesocosms, as mesozooplankton will evade seawater flow-through, thereby accumulating. Thus, laboratory, field, and modeling approaches reveal challenges to be addressed to better understand how global change will alter Southern Ocean productivity.</t>
  </si>
  <si>
    <t>[Boyd, Philip W.; Fourquez, Marion; Strzepek, Robert] Univ Tasmania, Inst Marine &amp; Antarctic Studies, Hobart, Tas, Australia; [Doney, Scott C.] Univ Virginia, Dept Environm Sci, Clark Hall, Charlottesville, VA 22903 USA; [Eggins, Sam; Ellwood, Michael J.] Australian Natl Univ, Res Sch Earth Sci, Canberra, ACT, Australia; [Nunn, Brook L.; Timmins-Schiffman, Emma] Univ Washington, Dept Genome Sci, Seattle, WA 98195 USA; Univ Toulon &amp; Var, Aix Marseille Univ, CNRS, IRD,MIO UM 110, Marseille, France</t>
  </si>
  <si>
    <t>University of Tasmania; University of Virginia; Australian National University; University of Washington; University of Washington Seattle; Universite de Toulon; Centre National de la Recherche Scientifique (CNRS); Institut de Recherche pour le Developpement (IRD); Aix-Marseille Universite</t>
  </si>
  <si>
    <t>Boyd, PW (corresponding author), Univ Tasmania, Inst Marine &amp; Antarctic Studies, Hobart, Tas, Australia.</t>
  </si>
  <si>
    <t>philip.boyd@utas.edu.au</t>
  </si>
  <si>
    <t>Doney, Scott/F-9247-2010; Ellwood, Michael J/G-7390-2011; Strzepek, Robert Francis/GQH-8703-2022; Boyd, Philip/J-7624-2014</t>
  </si>
  <si>
    <t>Doney, Scott/0000-0002-3683-2437; Strzepek, Robert Francis/0000-0002-6442-7121; Boyd, Philip/0000-0001-7850-1911; Fourquez, Marion/0000-0001-5395-4877; Ellwood, Michael/0000-0003-4288-8530</t>
  </si>
  <si>
    <t>Australia's Marine National Facility; Australian Research Council [DP170102108, DP130100679]; U.S. National Science Foundation [PLR-2026045]; University of Washington Proteomics Resource Grant [UWPR95794]</t>
  </si>
  <si>
    <t>Australia's Marine National Facility; Australian Research Council(Australian Research Council); U.S. National Science Foundation(National Science Foundation (NSF)); University of Washington Proteomics Resource Grant(University of Washington)</t>
  </si>
  <si>
    <t>The ship time for this research was financially supported by Australia's Marine National Facility. The authors are grateful to the officers, crew, and research staff of the Marine National Facility and the R.V. Investigator for their help with sample collection and generation of hydrochemistry data. The authors thank Tasman Nunn for her illustrations in Fig. 8. MJE, RS, and PWB were financially supported under Australian Research Council's Discovery program (DP170102108; DP130100679). SCD acknowledges support from the U.S. National Science Foundation (PLR-2026045). This research was financially supported under Australian Research Council's Discovery program (DP170102108; DP130100679). BLN and ETS were funded by and the proteomics work was partially supported by the University of Washington Proteomics Resource Grant (UWPR95794). Open access publishing facilitated by University of Tasmania, as part of the Wiley - University of Tasmania agreement via the Council of Australian University Librarians.</t>
  </si>
  <si>
    <t>10.1002/lno.12175</t>
  </si>
  <si>
    <t>4L7SJ</t>
  </si>
  <si>
    <t>WOS:000815613400001</t>
  </si>
  <si>
    <t>Chua, M; Ho, SYW; McMahon, CR; Jonsen, ID; de Bruyn, M</t>
  </si>
  <si>
    <t>Chua, Michelle; Ho, Simon Y. W.; McMahon, Clive R.; Jonsen, Ian D.; de Bruyn, Mark</t>
  </si>
  <si>
    <t>Movements of southern elephant seals (Mirounga leonina) from Davis Base, Antarctica: combining population genetics and tracking data</t>
  </si>
  <si>
    <t>Southern elephant seals; Genetic diversity; Mitochondrial DNA; Population genetics; Moulting; Animal tracking</t>
  </si>
  <si>
    <t>MACQUARIE ISLAND; CLIMATE-CHANGE; KERGUELEN; DIVERSITY; DIFFERENTIATION; TILETAMINE; BEHAVIOR</t>
  </si>
  <si>
    <t>Marine animals such as the southern elephant seal (Mirounga leonina) rely on a productive marine environment and are vulnerable to oceanic changes that can affect their reproduction and survival rates. Davis Base, Antarctica, acts as a moulting site for southern elephant seals that forage in Prydz Bay, but the mitochondrial haplotype diversity and natal source populations of these seals have not been characterized. In this study, we combined genetic and animal tracking data on these moulting seals to identify levels of mitochondrial haplotype diversity, natal source population, and movement behaviours during foraging and haul-out periods. Using partial sequences of the mitochondrial control region, we identified two major breeding mitochondrial lineages of seals at Davis Base. We found that the majority of the seals originated from breeding stocks within the South Atlantic Ocean and South Indian Ocean. One seal was grouped with the Macquarie Island breeding stock (South Pacific Ocean). The Macquarie Island population, unlike the other two stocks, is decreasing in size. Tracking data revealed long-distance foraging activity of the Macquarie Island seal around Crozet Islands. We speculate that changes to the Antarctic marine environment can result in a shift in foraging and movement strategies, which subsequently affects seal population growth rates.</t>
  </si>
  <si>
    <t>[Chua, Michelle; Ho, Simon Y. W.; de Bruyn, Mark] Univ Sydney, Sch Life &amp; Environm Sci, Sydney, NSW 2006, Australia; [McMahon, Clive R.] Sydney Inst Marine Sci, IMOS Anim Tagging, 19 Chowder Bay Rd, Mosman, NSW 2088, Australia; [Jonsen, Ian D.] Macquarie Univ, Sch Nat Sci, Sydney, NSW 2109, Australia; [de Bruyn, Mark] Griffith Univ, Sch Environm &amp; Sci, Australian Res Ctr Human Evolut, Nathan, Qld 4111, Australia</t>
  </si>
  <si>
    <t>University of Sydney; Sydney Institute of Marine Science; Macquarie University; Griffith University</t>
  </si>
  <si>
    <t>Chua, M; de Bruyn, M (corresponding author), Univ Sydney, Sch Life &amp; Environm Sci, Sydney, NSW 2006, Australia.;de Bruyn, M (corresponding author), Griffith Univ, Sch Environm &amp; Sci, Australian Res Ctr Human Evolut, Nathan, Qld 4111, Australia.</t>
  </si>
  <si>
    <t>michelle.chua@sydney.edu.au; m.debruyn@griffith.edu.au</t>
  </si>
  <si>
    <t>Ho, Simon YW/A-8417-2008; McMahon, Clive R/D-5713-2013; de Bruyn, Mark/C-5568-2008</t>
  </si>
  <si>
    <t>Ho, Simon YW/0000-0002-0361-2307; McMahon, Clive R/0000-0001-5241-8917; Jonsen, Ian/0000-0001-5423-6076; Chua, Michelle/0000-0002-3135-6478; de Bruyn, Mark/0000-0003-1528-9604</t>
  </si>
  <si>
    <t>10.1007/s00300-022-03058-9</t>
  </si>
  <si>
    <t>WOS:000815569100001</t>
  </si>
  <si>
    <t>Cavitte, MGP; Goosse, H; Wauthy, S; Kausch, T; Tison, JL; Van Liefferinge, B; Pattyn, F; Lenaerts, JTM; Claeys, P</t>
  </si>
  <si>
    <t>Cavitte, Marie G. P.; Goosse, Hugues; Wauthy, Sarah; Kausch, Thore; Tison, Jean-Louis; Van Liefferinge, Brice; Pattyn, Frank; Lenaerts, Jan T. M.; Claeys, Philippe</t>
  </si>
  <si>
    <t>From ice core to ground-penetrating radar: representativeness of SMB at three ice rises along the Princess Ragnhild Coast, East Antarctica</t>
  </si>
  <si>
    <t>Accumulation; Antarctic glaciology; ground-penetrating radar; ice core; ice rise</t>
  </si>
  <si>
    <t>SURFACE MASS-BALANCE; DRONNING MAUD LAND; REGIONAL CLIMATE; SNOW ACCUMULATION; WEST ANTARCTICA; DOME C; TEMPERATURE; MODEL; VARIABILITY; IMPACT</t>
  </si>
  <si>
    <t>The future contributions of the Antarctic Ice Sheet to sea level rise will depend on the evolution of its surface mass balance (SMB), which could amplify/dampen mass losses increasingly observed at the ice sheet's edge. In situ constraints of SMB over annual-to-decadal timescales consist mostly of firn/ice cores that have a surface footprint similar to cm(2). SMB constraints also come from climate models, which have a higher temporal resolution but a larger surface footprint of several km(2). We use ice-penetrating radar data to obtain an intermediate spatial and temporal resolution SMB record over three ice rises along the Princess Ragnhild Coast. The co-located ice cores allow us to obtain absolute radar-derived SMB rates at a multi-annual-to-decadal temporal resolution. By comparing the ice core SMB measurements and the radar-derived SMB records, we determine that pointwise measurements of SMB are representative of a small surface area, similar to 200 - 500m radius extending from the ice core drill site for the ice rises studied here, and that the pointwise measurements are systematically 7-15 cm w.e. a(-1) lower than the mean SMB value calculated for the whole ice rises. However, ice core records are representative of an entire ice rise's temporal variability at the temporal resolution examined.</t>
  </si>
  <si>
    <t>[Cavitte, Marie G. P.; Goosse, Hugues] Univ Catholique Louvain UCL, Earth &amp; Life Inst ELI, Georges Lemaitre Ctr Earth &amp; Climate Res TECLIM, Louvain La Neuve, Belgium; [Wauthy, Sarah; Tison, Jean-Louis; Pattyn, Frank] Univ Libre Bruxelles ULB, Lab Glaciol, Brussels, Belgium; [Kausch, Thore] Delft Univ Technol, Dept Geosci Remote Sensing, Mekelweg 5, NL-2628 CD Delft, Netherlands; [Van Liefferinge, Brice] Non Acad Brussels, Brussels, Belgium; [Lenaerts, Jan T. M.] Univ Colorado Boulder, Dept Atmospher &amp; Ocean Sci, Boulder, CO USA; [Claeys, Philippe] Vrije Univ Brussel VUB, Analyt Environm &amp; Geo Chem, Brussels, Belgium</t>
  </si>
  <si>
    <t>Universite Libre de Bruxelles; Delft University of Technology; University of Colorado System; University of Colorado Boulder; Vrije Universiteit Brussel</t>
  </si>
  <si>
    <t>Cavitte, MGP (corresponding author), Univ Catholique Louvain UCL, Earth &amp; Life Inst ELI, Georges Lemaitre Ctr Earth &amp; Climate Res TECLIM, Louvain La Neuve, Belgium.</t>
  </si>
  <si>
    <t>marie.cavitte@uclouvain.be</t>
  </si>
  <si>
    <t>Pattyn, Frank/AAA-9640-2019; (VUB), VRIJE UNIVERSITEIT BRUSSEL/B-4895-2008; Lenaerts, Jan/D-9423-2012</t>
  </si>
  <si>
    <t>Pattyn, Frank/0000-0003-4805-5636; (VUB), VRIJE UNIVERSITEIT BRUSSEL/0000-0002-4585-7687; Lenaerts, Jan/0000-0003-4309-4011</t>
  </si>
  <si>
    <t>Belgian Research Action through Interdisciplinary Networks (BRAIN-be) from the Belgian Science Policy Office [BR/165/A2/Mass2Ant]; National Aeronautics and Space Administration (NASA) [80NSSC18K0201]</t>
  </si>
  <si>
    <t>Belgian Research Action through Interdisciplinary Networks (BRAIN-be) from the Belgian Science Policy Office; National Aeronautics and Space Administration (NASA)(National Aeronautics &amp; Space Administration (NASA))</t>
  </si>
  <si>
    <t>We thank Brooke Medley for her code implementation of the Herron-Langway model. This work was supported by the Belgian Research Action through Interdisciplinary Networks (BRAIN-be) from the Belgian Science Policy Office in the framework of the project 'East Antarctic surface mass balance in the Anthropocene: observations and multi-scale modelling (Mass2Ant)' (contract no. BR/165/A2/Mass2Ant). Philippe Claeys thanks VUB strategic Research. Hugues Goosse is the research director within the F.R.S.-FNRS. Jan T. M. Lenaerts acknowledges support from the National Aeronautics and Space Administration (NASA), grant 80NSSC18K0201. Marie Cavitte is a Postdoctoral Researcher of the F.R.S-FNRS, Sarah Wauthy is a Research Fellow of the F.R.S.-FNRS. This research contributes to the AntArchitecture action group of SCAR.</t>
  </si>
  <si>
    <t>10.1017/jog.2022.39</t>
  </si>
  <si>
    <t>6S3ZU</t>
  </si>
  <si>
    <t>WOS:000815545300001</t>
  </si>
  <si>
    <t>Cleary, AC; Callesen, TA; Berge, J; Gabrielsen, TM</t>
  </si>
  <si>
    <t>Cleary, Alison C.; Callesen, Trine A.; Berge, Jorgen; Gabrielsen, Tove M.</t>
  </si>
  <si>
    <t>Parasite-copepod interactions in Svalbard: diversity, host specificity, and seasonal patterns</t>
  </si>
  <si>
    <t>Calanus glacialis; Pseudocalanus spp; Parasites; Metabarcoding; Arctic</t>
  </si>
  <si>
    <t>CALANUS-GLACIALIS; CLIMATE-CHANGE; ARCTIC-OCEAN; BERING-SEA; KRILL; ELLOBIOPSIS; MORTALITY; DINOFLAGELLATE; THALASSOMYCES; FINMARCHICUS</t>
  </si>
  <si>
    <t>Copepods of the genera Calanus and Pseudocalanus are important components of Arctic marine ecosystems. Despite the key roles of these zooplankters, little is known about the organisms they interact with most intimately, their parasites and symbionts. We applied metabarcode sequencing to uncover eukaryotic parasites present within these two copepod genera from three areas around the high Arctic archipelago of Svalbard. Ten distinct parasite groups were observed: four different Apostome ciliates, four different dinoflagellates (Chytriodinium sp., Ellobiopsis sp., Thalassomyces sp., and Hematodinium sp.), a Paradinium sp., and a trematode. Apostome ciliates closely related to Pseudocollinia spp. were the most commonly observed parasite, with overall infection rates of 21.5% in Calanus and 12.5% in Pseudocalanus. Infection by these ciliates varied seasonally, with no infections observed in early winter, but infection rates exceeding 75% in spring. Host specificity varied between parasites, with significant differences in infection rate between the two host copepod genera for four parasites (two ciliates, Chytriodinium, and a trematode). The diverse assemblage of parasites observed in these copepods, and the frequency of infection, with over one in five copepod individuals infected, suggest parasites may be playing a greater role in Arctic plankton communities than generally acknowledged.</t>
  </si>
  <si>
    <t>[Cleary, Alison C.] British Antarctic Survey, Cambridge, England; [Cleary, Alison C.; Gabrielsen, Tove M.] Univ Agder, Fac Engn &amp; Sci, Dept Nat Sci, Kristiansand, Norway; [Callesen, Trine A.; Gabrielsen, Tove M.] UNIS, Dept Arctic Biol, Longyearbyen, Svalbard, Norway; [Callesen, Trine A.] Univ Copenhagen, Dept Biol, Copenhagen, Denmark; [Callesen, Trine A.] Tech Univ Denmark, Natl Inst Aquat Resources, DTU Aqua, Lyngby, Denmark; [Berge, Jorgen] UiT Arctic Univ Norway, Fac Biosci Fisheries &amp; Econ, Dept Arctic &amp; Marine Biol, Tromso, Norway; [Berge, Jorgen] Norwegian Univ Sci &amp; Technol, Ctr Autonomous Marine Operat &amp; Syst, Dept Biol, NTNU, Trondheim, Norway</t>
  </si>
  <si>
    <t>UK Research &amp; Innovation (UKRI); Natural Environment Research Council (NERC); NERC British Antarctic Survey; University of Agder; University Centre Svalbard (UNIS); University of Copenhagen; Technical University of Denmark; UiT The Arctic University of Tromso; Norwegian University of Science &amp; Technology (NTNU)</t>
  </si>
  <si>
    <t>Cleary, AC (corresponding author), British Antarctic Survey, Cambridge, England.;Cleary, AC (corresponding author), Univ Agder, Fac Engn &amp; Sci, Dept Nat Sci, Kristiansand, Norway.</t>
  </si>
  <si>
    <t>alison_cleary@my.uri.edu</t>
  </si>
  <si>
    <t>computational resources from Saga Sigma2 [NN9515K]; European Union; Norwegian Research Council under the grant CircA [214271/F20]; ConocoPhillips; Lundin northern area program under the grant MicroFun; UNIS research funds</t>
  </si>
  <si>
    <t>computational resources from Saga Sigma2; European Union(European Union (EU)); Norwegian Research Council under the grant CircA(Research Council of Norway); ConocoPhillips; Lundin northern area program under the grant MicroFun; UNIS research funds</t>
  </si>
  <si>
    <t>We thank Eike Stubner, Miriam Marquardt, Janne E. Soreide, Anna Vader, and everyone who participated in field sampling and sorting of samples. We thank Lene Lund for lab assistance and Stuart Thompson for preparing Illumina libraries. We thank Torkel Gisselle Nielsen and Per Juel Hansen for their contributions to the preliminary analyses of the Kongsfjorden data set. We also appreciate the assistance of Jeff Shields for pointing us toward useful literature, and Brad Biggerstaff for help implementing the pooled infection rate analysis. This project was supported by computational resources from Saga Sigma2 under project NN9515K. Financial support for this project was provided by the European Union's Horizon 2020 research and innovation program under the Marie Sklodowska-Curie grant ParaKrill, the Norwegian Research Council under the grant CircA (214271/F20), the ConocoPhillips and Lundin northern area program under the grant MicroFun, and UNIS research funds.</t>
  </si>
  <si>
    <t>10.1007/s00300-022-03060-1</t>
  </si>
  <si>
    <t>3C6VY</t>
  </si>
  <si>
    <t>WOS:000815426100002</t>
  </si>
  <si>
    <t>Wong, D; Smart, JJ; Barrow, J; Cleeland, J; Yates, P; Ziegler, P; Rizzari, JR</t>
  </si>
  <si>
    <t>Wong, Darren; Smart, Jonathan J.; Barrow, Joshua; Cleeland, Jaimie; Yates, Peter; Ziegler, Philippe; Rizzari, Justin R.</t>
  </si>
  <si>
    <t>Age, growth and maturity of Southern Ocean skates (Bathyraja spp.) from the Kerguelen Plateau</t>
  </si>
  <si>
    <t>Antarctica; By-catch; Elasmobranch; Life history; Rajidae; Vertebral ageing</t>
  </si>
  <si>
    <t>VALIDATION; FISHERIES; SELECTION; SHARKS; RAYS</t>
  </si>
  <si>
    <t>Three species of Southern Ocean skates, Bathyrajaeatonii,Bathyrajairrasa and Bathyrajamurrayi, are commonly caught as incidental by-catch in fisheries around Heard Island and McDonald Islands of the Kerguelen Plateau. We used length-at-age data to present the species' life history information (age, growth and maturity for the first-time). Length- and age-at-maturity analyses revealed that B.irrasa matured at &gt; 6 years old and &gt; 1000 mm total length (TL), which was older and larger than B.murrayi (&gt; 5 years old and &gt; 400 mm TL) but similar to B.eatonii (&gt; 5 years old and &gt; 900 mm). We fitted growth models using a multi-model Bayesian framework. Our findings support the assumption that B.irrasa is slow growing and late maturing compared to B.eatonii and B.murrayi, consequently putting it at greater risk to fishery-induced increases in mortality compared to other species (e.g., B.murrayi). This is the first-time age and growth has been estimated for these species, however sample sizes for B.murrayi and B.eatonii were small and hence growth models should be interpreted with caution. Our results represent vital information for population projection models and can therefore assist in the development and/or revision of current by-catch limits to inform ongoing management strategies and conservation efforts.</t>
  </si>
  <si>
    <t>[Wong, Darren; Rizzari, Justin R.] Deakin Univ, Ctr Marine Fisheries &amp; Aquaculture Sci, Queenscliff, Vic, Australia; [Smart, Jonathan J.] South Australian Res &amp; Dev Inst, Dept Primary Ind &amp; Reg Govt South Australia, Adelaide, SA, Australia; [Barrow, Joshua] Univ Melbourne, Sch BioSci, Melbourne, Vic, Australia; [Barrow, Joshua] Fish Ageing Serv Pty Ltd, Queenscliff, Vic, Australia; [Cleeland, Jaimie; Yates, Peter; Ziegler, Philippe] Australian Antarctic Div, Dept Agr Water &amp; Environm, Kingston, Tas, Australia; [Cleeland, Jaimie] Univ Tasmania, Inst Marine &amp; Antarctic Studies, Hobart, Tas, Australia; [Yates, Peter] Dept Agr Water &amp; Environm, Biodivers Conservat Div, Canberra, ACT, Australia</t>
  </si>
  <si>
    <t>Deakin University; South Australian Research &amp; Development Institute (SARDI); University of Melbourne; Melbourne Genomics Health Alliance; Australian Antarctic Division; University of Tasmania</t>
  </si>
  <si>
    <t>Wong, D (corresponding author), Deakin Univ, Ctr Marine Fisheries &amp; Aquaculture Sci, Queenscliff, Vic, Australia.</t>
  </si>
  <si>
    <t>jwwong@deakin.edu.au</t>
  </si>
  <si>
    <t>Smart, Jonathan/0000-0003-2070-3208; Wong, Darren/0000-0003-4071-5847</t>
  </si>
  <si>
    <t>CAUL; Australia's Southern Ocean Fisheries; Deakin University</t>
  </si>
  <si>
    <t>Open Access funding enabled and organized by CAUL and its Member Institutions. We would like to acknowledge that 2018-124 Science to support Australia's Southern Ocean Fisheries 2018-2020 is supported by funding from the Fisheries Research and Development Corporation on behalf of the Australian Government. All remaining funds for the study was supported by Deakin University.</t>
  </si>
  <si>
    <t>10.1007/s00300-022-03062-z</t>
  </si>
  <si>
    <t>WOS:000815426100003</t>
  </si>
  <si>
    <t>Kingsmill, DE; Seefeldt, MW; Cassano, JJ</t>
  </si>
  <si>
    <t>Kingsmill, David E.; Seefeldt, Mark W.; Cassano, John J.</t>
  </si>
  <si>
    <t>Mesoscale evaluation of AMPS using AWARE radar observations of a wind and precipitation event over the Ross Island region of Antarctica</t>
  </si>
  <si>
    <t>AMPS; Antarctica; McMurdo Station; mesoscale; precipitation; radar; Ross Island; wind</t>
  </si>
  <si>
    <t>POLAR WEATHER RESEARCH; SURFACE AIR-FLOW; ICE SHELF; AERIAL OBSERVATIONS; SNOW ACCUMULATION; PART I; PREDICTION; MODEL; WRF; CALIBRATION</t>
  </si>
  <si>
    <t>Surface, upper-air, and radar observations are used to assess the performance of the Antarctic Mesoscale Prediction System (AMPS) in simulating the mesoscale aspects of a wind and precipitation event over the Ross Island region of Antarctica that spanned January 16-20, 2016. The observations, collected during the Atmospheric Radiation Measurement (ARM) West Antarctic Radiation Experiment (AWARE), provide a unique dataset for evaluating AMPS, especially the radar observations that facilitate a three-dimensional depiction of winds and precipitation. Comparisons of AMPS forecast data with surface meteorology, balloon-sounding, and profiling radar observations at and above sites near McMurdo Station reveal a mixture of similarities and differences. A generally southerly flow is evident at low levels in both the AMPS simulations and observed Doppler radial velocities. AMPS winds are comparable to those observed at the surface and aloft in terms of magnitude, direction, and timing but the strongest simulated southerly flow is displaced eastward relative to the observations. AMPS-simulated reflectivity over the broader Ross Island region is more limited in areal extent and smaller in magnitude than observed by a scanning Doppler radar. Three episodes of surface precipitation are observed near McMurdo Station over the five-day event with peak rates of similar to 3 mm h(-1) and a total accumulation of similar to 22 mm. However, AMPS produces no surface precipitation at that location over the five-day event due to a low-level dry bias in the forecasts. The results show the first observationally based three-dimensional understanding of meteorology in the Ross Island region.</t>
  </si>
  <si>
    <t>[Kingsmill, David E.; Seefeldt, Mark W.; Cassano, John J.] Univ Colorado, Natl Snow &amp; Ice Data Ctr NSIDC, Cooperat Inst Res Environm Sci CIRES, Boulder, CO 80309 USA; [Cassano, John J.] Univ Colorado, Dept Atmospher &amp; Ocean Sci, Boulder, CO 80309 USA</t>
  </si>
  <si>
    <t>Kingsmill, DE (corresponding author), Univ Colorado, CIRES, NSIDC, UCB 311, Boulder, CO 80309 USA.</t>
  </si>
  <si>
    <t>david.kingsmill@colorado.edu</t>
  </si>
  <si>
    <t>Cassano, John/HKW-8817-2023; KINGSMILL, DAVID/D-5899-2016; Seefeldt, Mark/D-3121-2011</t>
  </si>
  <si>
    <t>CASSANO, JOHN/0000-0003-3176-3978; KINGSMILL, DAVID/0000-0001-5824-8402; Seefeldt, Mark/0000-0003-0719-2570</t>
  </si>
  <si>
    <t>Office of Polar Programs [OPP 2001430]; National Science Foundation</t>
  </si>
  <si>
    <t>Office of Polar Programs(National Science Foundation (NSF)NSF - Directorate for Geosciences (GEO)); National Science Foundation(National Science Foundation (NSF))</t>
  </si>
  <si>
    <t>Office of Polar Programs, Grant/Award Number: OPP 2001430; National Science Foundation</t>
  </si>
  <si>
    <t>10.1002/qj.4327</t>
  </si>
  <si>
    <t>4F9SH</t>
  </si>
  <si>
    <t>Green Submitted, Bronze</t>
  </si>
  <si>
    <t>WOS:000815032600001</t>
  </si>
  <si>
    <t>IS SCIENCE TO BLAME FOR MICROPLASTICS IN ANTARCTIC SNOW?</t>
  </si>
  <si>
    <t>Palaeontology</t>
  </si>
  <si>
    <t>JUN 23</t>
  </si>
  <si>
    <t>10.1038/d41586-022-01643-w</t>
  </si>
  <si>
    <t>2H4CQ</t>
  </si>
  <si>
    <t>WOS:000814245000002</t>
  </si>
  <si>
    <t>Vellojin, JP; Saldías, GS; Allen, SE; Torres, R; Vergara-Jara, M; Sobarzo, M; DeGrandpre, MD; Iriarte, JL</t>
  </si>
  <si>
    <t>Vellojin, Jurleys P.; Saldias, Gonzalo S.; Allen, Susan E.; Torres, Rodrigo; Vergara-Jara, Maximiliano; Sobarzo, Marcus; DeGrandpre, Michael D.; Luis Iriarte, Jose</t>
  </si>
  <si>
    <t>Understanding the Implications of Hydrographic Processes on the Dynamics of the Carbonate System in a Sub-Antarctic Marine-Terminating Glacier-Fjord (53°S)</t>
  </si>
  <si>
    <t>Patagonian fjord; glacial freshwater; water column stratification; Sub-Antarctic fjords; carbonate system; phytoplankton blooms</t>
  </si>
  <si>
    <t>SEAWATER PH MEASUREMENTS; OCEAN ACIDIFICATION; SURFACE-WATER; SATURATION STATE; GAS-EXCHANGE; WIND-SPEED; SEA-WATER; ACID; CO2; PATAGONIA</t>
  </si>
  <si>
    <t>The biogeochemical dynamics of fjords in the southeastern Pacific Ocean are strongly influenced by hydrological and oceanographic processes occurring at a seasonal scale. In this study, we describe the role of hydrographic forcing on the seasonal variability of the carbonate system of the Sub-Antarctic glacial fjord, Seno Ballena, in the Strait of Magellan (53 degrees S). Biogeochemical variables were measured in 2018 during three seasonal hydrographic cruises (fall, winter and spring) and from a high-frequency pCO(2)-pH mooring for 10 months at 10 +/- 1 m depth in the fjord. The hydrographic data showed that freshwater input from the glacier influenced the adjacent surface layer of the fjord and forced the development of undersaturated CO2 (&lt; 400 mu atm) and low aragonite saturation state (Omega(Ar) &lt; 1) water. During spring, the surface water had relatively low pCO(2) (mean = 365, range: 167 - 471 mu atm), high pH (mean = 8.1 on the total proton concentration scale, range: 8.0 - 8.3), and high Omega(Ar) (mean = 1.6, range: 1.3 - 4.0). Concurrent measurements of phytoplankton biomass and nutrient conditions during spring indicated that the periods of lower pCO(2) values corresponded to higher phytoplankton photosynthesis rates, resulting from autochthonous nutrient input and vertical mixing. In contrast, higher values of pCO(2) (range: 365 - 433 mu atm) and relatively lower values of pH(T) (range: 8.0 - 8.1) and Omega(Ar) (range: 0.9 - 2.0) were recorded in cold surface waters during winter and fall. The naturally low freshwater carbonate ion concentrations diluted the carbonate ion concentrations in seawater and decreased the calcium carbonate saturation of the fjord. In spring, at 10 m depth, higher primary productivity caused a relative increase in Omega(Ar) and pH(T). Assuming global climate change will bring further glacier retreat and ocean acidification, this study represents important advances in our understanding of glacier meltwater processes on CO2 dynamics in glacier-fjord systems.</t>
  </si>
  <si>
    <t>[Vellojin, Jurleys P.; Vergara-Jara, Maximiliano; Luis Iriarte, Jose] Univ Austral Chile, Inst Acuicultura, Puerto Montt, Chile; [Vellojin, Jurleys P.; Saldias, Gonzalo S.; Torres, Rodrigo; Vergara-Jara, Maximiliano; Luis Iriarte, Jose] Univ Austral Chile, Ctr Invest Dinam Ecosistemas Marinos Altas Latitu, Punta Arenas, Chile; [Vellojin, Jurleys P.] Ctr Tecnol Acuicultura Putemun CTPA Putemun, Inst Fomento Pesquero IFOP, Castro, Chile; [Saldias, Gonzalo S.] Univ Bio Bio, Fac Ciencias, Dept Fis, Concepcion, Chile; [Saldias, Gonzalo S.; Luis Iriarte, Jose] Univ Concepcion, Ctr Invest Oceanog Pacifico COPAS Sur Austral COP, Concepcion, Chile; [Allen, Susan E.] Univ British Columbia, Dept Earth Ocean &amp; Atmospher Sci, Vancouver, BC, Canada; [Torres, Rodrigo] Ctr Invest Ecosistemas Patagonia, Lab Quim Carbonato, Coyhaique, Chile; [Sobarzo, Marcus] Univ Concepcion, Fac Ciencias Nat &amp; Oceanog, Dept Oceanog, Concepcion, Chile; [Sobarzo, Marcus] Univ Concepcion, Ctr Interdisciplinario Invest Acuicultura Sustent, Concepcion, Chile; [DeGrandpre, Michael D.] Univ Montana, Dept Chem &amp; Biochem, Missoula, MT 59812 USA</t>
  </si>
  <si>
    <t>Universidad Austral de Chile; Universidad Austral de Chile; Instituto de Fomento Pesquero (Valparaiso); Universidad del Bio-Bio; Universidad de Concepcion; University of British Columbia; Universidad de Concepcion; Universidad de Concepcion; University of Montana System; University of Montana</t>
  </si>
  <si>
    <t>Iriarte, JL (corresponding author), Univ Austral Chile, Inst Acuicultura, Puerto Montt, Chile.;Iriarte, JL (corresponding author), Univ Austral Chile, Ctr Invest Dinam Ecosistemas Marinos Altas Latitu, Punta Arenas, Chile.;Iriarte, JL (corresponding author), Univ Concepcion, Ctr Invest Oceanog Pacifico COPAS Sur Austral COP, Concepcion, Chile.</t>
  </si>
  <si>
    <t>jiriarte@uach.cl</t>
  </si>
  <si>
    <t>Saldías, Gonzalo S/C-3577-2016</t>
  </si>
  <si>
    <t>Sobarzo, Marcus/0000-0001-8756-5191; Vellojin Furnieles, Jurleys Paola/0000-0002-9173-8937; Torres, Rodrigo/0000-0003-0416-4291</t>
  </si>
  <si>
    <t>ANID-FONDECYT [1170174]; Research Program 1 of the IDEAL Center (ANID-FONDAP) [15150003]</t>
  </si>
  <si>
    <t>ANID-FONDECYT; Research Program 1 of the IDEAL Center (ANID-FONDAP)</t>
  </si>
  <si>
    <t>This project was supported by ANID-FONDECYT 1170174 (to J. L. Iriarte) and is part of the framework of Research Program 1 of the IDEAL Center (ANID-FONDAP 15150003).</t>
  </si>
  <si>
    <t>10.3389/fmars.2022.643811</t>
  </si>
  <si>
    <t>4W0FZ</t>
  </si>
  <si>
    <t>WOS:000859844900001</t>
  </si>
  <si>
    <t>Maliniemi, V; Arsenovic, P; Seppälä, A; Tyssoy, HN</t>
  </si>
  <si>
    <t>Maliniemi, Ville; Arsenovic, Pavle; Seppala, Annika; Nesse Tyssoy, Hilde</t>
  </si>
  <si>
    <t>The influence of energetic particle precipitation on Antarctic stratospheric chlorine and ozone over the 20th century</t>
  </si>
  <si>
    <t>GALACTIC COSMIC-RAYS; MODEL; CHEMISTRY; ATMOSPHERE; NOY; NITROGEN; ICE</t>
  </si>
  <si>
    <t>Chlorofluorocarbon (CFC) emissions in the latter part of the 20th century reduced stratospheric ozone abundance substantially, especially in the Antarctic region. Simultaneously, polar stratospheric ozone is also destroyed catalytically by nitrogen oxides (NOx = NO + NO2) descending from the mesosphere and the lower thermosphere during winter. These are produced by energetic particle precipitation (EPP) linked to solar activity and space weather. Active chlorine (ClOx = Cl + ClO) can also react mutually with EPP-produced NOx or hydrogen oxides (HOx) and transform both reactive agents into reservoir gases, chlorine nitrate or hydrogen chloride, which buffer ozone destruction by all these agents. We study the interaction between EPP-produced NOx, ClO and ozone over the 20th century by using free-running climate simulations of the chemistry-climate model SOCOL3-MPIOM. A substantial increase of NOx descending to the polar stratosphere is found during winter, which causes ozone depletion in the upper and mid-stratosphere. However, in the Antarctic mid-stratosphere, the EPP-induced ozone depletion became less efficient after the 1960s, especially during springtime. Simultaneously, a significant decrease in stratospheric ClO and an increase in hydrogen chloride - and partly chlorine nitrate between 10-30 hPa - can be ascribed to EPP forcing. Hence, the interaction between EPP-produced NOx/HOx and ClO likely suppressed the ozone depletion, due to both EPP and ClO at these altitudes. Furthermore, at the end of the century, a significant ClO increase and ozone decrease were obtained at 100 hPa altitude during winter and spring. This lower stratosphere response shows that EPP can influence the activation of chlorine from reservoir gases on polar stratospheric clouds, thus modulating chemical processes important for ozone hole formation. Our results show that EPP has been a significant modulator of reactive chlorine in the Antarctic stratosphere during the CFC era. With the implementation of the Montreal Protocol, stratospheric chlorine is estimated to return to pre-CFC era levels after 2050. Thus, we expect increased efficiency of chemical ozone destruction by EPP-NOx in the Antarctic upper and mid-stratosphere over coming decades. The future lower stratosphere ozone response by EPP is more uncertain.</t>
  </si>
  <si>
    <t>[Maliniemi, Ville; Arsenovic, Pavle; Nesse Tyssoy, Hilde] Univ Bergen, Dept Phys &amp; Technol, Birkeland Ctr Space Sci, Bergen, Norway; [Arsenovic, Pavle] Risk Management Solut, London, England; [Seppala, Annika] Univ Otago, Dept Phys, Dunedin, New Zealand</t>
  </si>
  <si>
    <t>University of Bergen; University of Otago</t>
  </si>
  <si>
    <t>Maliniemi, V (corresponding author), Univ Bergen, Dept Phys &amp; Technol, Birkeland Ctr Space Sci, Bergen, Norway.</t>
  </si>
  <si>
    <t>ville.maliniemi@uib.no</t>
  </si>
  <si>
    <t>Seppälä, Annika/C-8031-2014; Arsenovic, Pavle/M-8919-2018</t>
  </si>
  <si>
    <t>Seppälä, Annika/0000-0002-5028-8220; Arsenovic, Pavle/0000-0001-8844-7007; Maliniemi, Ville/0000-0002-7556-7488</t>
  </si>
  <si>
    <t>Norges Forskningsrad [300724, 223252/F50]</t>
  </si>
  <si>
    <t>Norges Forskningsrad(Research Council of Norway)</t>
  </si>
  <si>
    <t>This research has been supported by the Norges Forskningsrad (grant nos. 300724 and 223252/F50).</t>
  </si>
  <si>
    <t>10.5194/acp-22-8137-2022</t>
  </si>
  <si>
    <t>2H8EI</t>
  </si>
  <si>
    <t>WOS:000814521800001</t>
  </si>
  <si>
    <t>Moraes, MM; Hudson, ASR; Martins, YAT; Marques, AL; Bruzzi, RS; Mendes, TT; Arantes, RME</t>
  </si>
  <si>
    <t>Moraes, Michele Macedo; Ribeiro Hudson, Alexandre Servulo; Tinoco Martins, Ygor Antonio; Marques, Alice Lamounier; Bruzzi, Rubio Sabino; Mendes, Thiago Teixeira; Esteves Arantes, Rosa Maria</t>
  </si>
  <si>
    <t>Exploring the Predeployment Phase of an Antarctic Expedition and the Brazilian Pre-Antarctic Training</t>
  </si>
  <si>
    <t>MILITARY MEDICINE</t>
  </si>
  <si>
    <t>BRUNEL MOOD SCALE; ADOLESCENTS; STRESS; STATES</t>
  </si>
  <si>
    <t>In Antarctica, human access and presence are complex and require detailed planning and preparation in advance. The personnel of National Antarctic Programs (NAPs, i.e., scientists and support personnel, including military, civilians, and mountaineers) stay in different isolation, confinement, and extreme (ICE) environments such as ships, research stations, and scientific summer camps. Antarctica imposes harsh conditions that influence physiological and psychological responses impacting health, mood, and physical and cognitive performances. In this context, we argue why people should prepare in advance for staying in Antarctica and what to expect in ICE environments. We also spotlighted recommendations shared by different NAPs participant guides, including predeployment training. Next, we present a case study of the Brazilian Pre-Antarctic Training (PAT), a theoretical-practical training that provides technical and logistical information and assesses the adaptability and physical capacity of researchers and military personnel to perform fundamental activities in a polar environment. We evaluated and compared the individual's mood at the beginning and the end of the PAT week and observed group-specific mood changes depending on the sex, functions, and the facilities that participants accessed. Finally, we proposed that conducting training before staying in Antarctica, besides promoting conditions to better plan the voyage and knowledge of the region, can contribute to dealing with the possible mood swings during expeditions and even promote positive affect. Therefore, the psychophysiological effects of PAT are topics for further investigations.</t>
  </si>
  <si>
    <t>[Moraes, Michele Macedo; Esteves Arantes, Rosa Maria] Univ Fed Minas Gerais, Inst Biol Sci, Dept Pathol, BR-31275035 Belo Horizonte, MG, Brazil; [Ribeiro Hudson, Alexandre Servulo; Tinoco Martins, Ygor Antonio; Bruzzi, Rubio Sabino] Univ Fed Minas Gerais, Sch Phys Educ Physiotherapy &amp; Occupat Therapy, Exercise Physiol Lab, BR-31275035 Belo Horizonte, MG, Brazil; [Marques, Alice Lamounier] Univ Rural Rio de Janeiro, Postgrad Program Social Sci Dev Culture &amp; Soc, BR-23890000 Seropedica, RJ, Brazil; [Mendes, Thiago Teixeira] Univ Fed Bahia, Fac Educ, Dept Phys Educ, BR-40110100 Salvador, BA, Brazil</t>
  </si>
  <si>
    <t>Universidade Federal de Minas Gerais; Universidade Federal de Minas Gerais; Universidade Federal da Bahia</t>
  </si>
  <si>
    <t>Moraes, MM (corresponding author), Univ Fed Minas Gerais, Inst Biol Sci, Dept Pathol, BR-31275035 Belo Horizonte, MG, Brazil.</t>
  </si>
  <si>
    <t>Mendes, Thiago Teixeira/GWZ-5533-2022; Arantes, Rosa ME/C-5749-2013; MORAES, MICHELE/W-4042-2019</t>
  </si>
  <si>
    <t>Mendes, Thiago Teixeira/0000-0003-1644-4020; MORAES, MICHELE/0000-0003-4707-6099; Martins, Ygor/0000-0002-5534-7330; Ribeiro Hudson, Alexandre Servulo/0000-0002-1832-5044; Bruzzi, Rubio/0000-0003-3645-4592; Marques, Alice/0000-0002-0202-3447</t>
  </si>
  <si>
    <t>Conselho Nacional de Desenvolvimento Cientifico e Tecnologico (CNPq)/Ministerio da Ciencia, Tecnologia e Inovacoes (MCTI)/Coordenacao de Aperfeicoamento de Pessoal de Nivel Superior-Brasil (CAPES)/Fundo Nacional de Desenvolvimento Cientifico e Tecnologico [442645/2018-0]; Fundacao de Amparo a Pesquisa do Estado de Minas Gerais (FAPEMIG) [AEC-00017-18, CDS-PPM 000304/16, CBB-APQ-01419-14]; Pro-Reitoria de Pesquisa da Universidade Federal de Minas Gerais (PRPq UFMG); Conselho Nacional de Desenvolvimento Cientifico e Tecnologico (CNPq) [311976/2021-2]; Coordenacao de Aperfeicoamento de Pessoal de Nivel Superior-Brasil (CAPES) [001]; CAPES/BRASIL [88887.321687/2019-00]</t>
  </si>
  <si>
    <t>Conselho Nacional de Desenvolvimento Cientifico e Tecnologico (CNPq)/Ministerio da Ciencia, Tecnologia e Inovacoes (MCTI)/Coordenacao de Aperfeicoamento de Pessoal de Nivel Superior-Brasil (CAPES)/Fundo Nacional de Desenvolvimento Cientifico e Tecnologico; Fundacao de Amparo a Pesquisa do Estado de Minas Gerais (FAPEMIG)(Fundacao de Amparo a Pesquisa do Estado de Minas Gerais (FAPEMIG)); Pro-Reitoria de Pesquisa da Universidade Federal de Minas Gerais (PRPq UFMG); Conselho Nacional de Desenvolvimento Cientifico e Tecnologico (CNPq)(Conselho Nacional de Desenvolvimento Cientifico e Tecnologico (CNPQ)); Coordenacao de Aperfeicoamento de Pessoal de Nivel Superior-Brasil (CAPES)(Coordenacao de Aperfeicoamento de Pessoal de Nivel Superior (CAPES)); CAPES/BRASIL(Coordenacao de Aperfeicoamento de Pessoal de Nivel Superior (CAPES))</t>
  </si>
  <si>
    <t>This study was supported by Conselho Nacional de Desenvolvimento Cientifico e Tecnologico (CNPq)/Ministerio da Ciencia, Tecnologia e Inovacoes (MCTI)/Coordenacao de Aperfeicoamento de Pessoal de Nivel Superior-Brasil (CAPES)/Fundo Nacional de Desenvolvimento Cientifico e Tecnologico (FNDCT)/Programa Antartico Brasileiro (PROANTAR) [442645/2018-0]; Fundacao de Amparo a Pesquisa do Estado de Minas Gerais (FAPEMIG) [AEC-00017-18; CDS-PPM 000304/16; CBB-APQ-01419-14] and Pro-Reitoria de Pesquisa da Universidade Federal de Minas Gerais (PRPq UFMG). R.M.E.A. received research fellowship from Conselho Nacional de Desenvolvimento Cientifico e Tecnologico (CNPq) [311976/2021-2]. This study was financed in part by the Coordenacao de Aperfeicoamento de Pessoal de Nivel Superior-Brasil (CAPES) -Finance Code 001; MMM postdoctoral fellowship, CAPES/BRASIL [88887.321687/2019-00].</t>
  </si>
  <si>
    <t>0026-4075</t>
  </si>
  <si>
    <t>1930-613X</t>
  </si>
  <si>
    <t>MIL MED</t>
  </si>
  <si>
    <t>Milit. Med.</t>
  </si>
  <si>
    <t>10.1093/milmed/usac154</t>
  </si>
  <si>
    <t>Medicine, General &amp; Internal</t>
  </si>
  <si>
    <t>3Z2TN</t>
  </si>
  <si>
    <t>WOS:000814469400001</t>
  </si>
  <si>
    <t>Rojo, JH; Boy, CC</t>
  </si>
  <si>
    <t>Rojo, Javier Hernan; Boy, Claudia Clementina</t>
  </si>
  <si>
    <t>Life-history traits in the southernmost landlocked population of the fish Galaxias maculatus</t>
  </si>
  <si>
    <t>Age; Galaxiidae; Otoliths; Growth; Sexual maturation; Size-at-age</t>
  </si>
  <si>
    <t>INTRASPECIFIC VARIATION; JENYNS 1842; DIADROMOUS FISH; TRADE-OFFS; GROWTH; AGE; MIGRATION; BIOLOGY; PISCES; REPRODUCTION</t>
  </si>
  <si>
    <t>Studying life-history traits is critical to understanding the intraspecific variation among fish populations. In this research, we investigated the age, growth, and sexual maturity of Galaxias maculatus population from Laguna Negra (LN), the southernmost landlocked population of the species, and compared the results obtained with those obtained before for the diadromous population from Arroyo Negro (AN), 1.8 km away from LN. We read otolith growth bands to estimate age structure and calculated the gonadosomatic index to estimate sexual maturity. We found five age classes (0 + to 4 +) in LN; the maximum age was 4.5 years, the maximum documented age for the species, exceeding in 1 year the maximum age found previously for the AN population. Age class 2 + was the most represented throughout the year, and the greater age and length-at-age ratio observed in this landlocked population suggest a slower growth rate than that of AN. We hypothesize that landlocked individuals reach their first sexual maturity 1 year later than their diadromous counterparts. The protracted reproductive season detected in this landlocked population (9 months) may be related to the high size variability within age classes, where some individuals might maximize growth while others might maximize first sexual maturity. Our results suggest higher energetic costs for these basic biological activities in landlocked than diadromous populations from Tierra del Fuego, Argentina. Further studies are necessary to understand the trade-off between growth and sexual maturation in sub-Antarctic G. maculatus populations.</t>
  </si>
  <si>
    <t>[Rojo, Javier Hernan; Boy, Claudia Clementina] Ctr Austral Invest Cient CADIC CONICET, Ushuaia, Argentina</t>
  </si>
  <si>
    <t>Rojo, JH (corresponding author), Ctr Austral Invest Cient CADIC CONICET, Ushuaia, Argentina.</t>
  </si>
  <si>
    <t>javierhrojo@gmail.com</t>
  </si>
  <si>
    <t>Rojo, Javier Hernan/0000-0003-3955-9402</t>
  </si>
  <si>
    <t>CONICET [PIP 0440, P-UE 2016]; Agencia Nacional de Promocion Cientifica y Tecnologica [PICT 2014-1804, PICT 2017-3845]; Administracion de Parques Nacionales [032CPA]</t>
  </si>
  <si>
    <t>CONICET(Consejo Nacional de Investigaciones Cientificas y Tecnicas (CONICET)); Agencia Nacional de Promocion Cientifica y Tecnologica(ANPCyTSpanish Government); Administracion de Parques Nacionales</t>
  </si>
  <si>
    <t>This work was supported by CONICET (PIP 0440 and P-UE 2016); Agencia Nacional de Promocion Cientifica y Tecnologica (PICT 2014-1804, PICT 2017-3845); Administracion de Parques Nacionales (Project 032CPA).</t>
  </si>
  <si>
    <t>10.1007/s00300-022-03064-x</t>
  </si>
  <si>
    <t>WOS:000814911400001</t>
  </si>
  <si>
    <t>Dobbs, SC; Malkowski, MA; Schwartz, TM; Sickmann, ZT; Graham, SA</t>
  </si>
  <si>
    <t>Dobbs, Stephen C.; Malkowski, Matthew A.; Schwartz, Theresa M.; Sickmann, Zachary T.; Graham, Stephan A.</t>
  </si>
  <si>
    <t>Depositional Controls on Detrital Zircon Provenance: An Example From Upper Cretaceous Strata, Southern Patagonia</t>
  </si>
  <si>
    <t>detrital zircon; provenance; Patagonia; shallow marine; Cretaceous</t>
  </si>
  <si>
    <t>CERRO-TORO FORMATION; TRES PASOS FORMATION; MAGALLANES FORELAND BASIN; BACK-ARC BASIN; U-PB SHRIMP; METAMORPHIC COMPLEXES; STRATIGRAPHIC RECORD; ANTARCTIC PENINSULA; SEDIMENTARY BASIN; CHANNEL SYSTEMS</t>
  </si>
  <si>
    <t>Understanding how depositional environments within a sedimentary system redistribute and sequester sediment is critical for interpreting basin-scale provenance trends. However, sedimentary source-to-sink models commonly examine temporal changes and do not consider how variation in sedimentation processes across a dispersal pathway may result in contrasting provenance signatures. In this paper, we demonstrate a down-paleoslope shift in detrital zircon provenance signatures correlated with shallow-marine lithofacies patterns from the Upper Cretaceous La Anita Formation and underlying continental slope lithofacies of the Alta Vista Formation (Magallanes-Austral Basin, southern Patagonia). New stratigraphic, sedimentologic, and lithofacies analysis results from the La Anita Formation suggest an upward shoaling succession, from a 1) storm-influenced shoreface, 2) fluvially dominated, wave-influenced delta, and a 3) high-energy, gravelly foreshore. Stratigraphic sections are paired with U-Pb detrital zircon sandstone samples (N = 20; n = 5,219), which provide both maximum depositional ages and provenance characteristics. While all samples contain abundant zircon derived from the Andean volcanic arc (ca. 145-75 Ma), the amount from both Jurassic distal volcanic massifs (ca. 188-162 Ma) and recycled orogenic sources exhumed during the advance of the Cretaceous fold-and-thrust belt (&gt;200 Ma; 157-142 Ma) vary with changes in depositional environment. We argue that down-paleoslope, systematic enriching of local fold-and-thrust belt material within the La Anita Formation is reflective of progressive mixing of grains transported via shallow-marine processes, while distally enriched fluvio-deltaic transported zircons were sourced from large, regional catchments. This suggests that competition between transport processes across a shallow and marginal marine sequence of rocks affects the resulting provenance signatures recorded within a single stratigraphic succession. These data also detail the degree of sediment pathway connectivity between shallow-marine sources and deep-marine sinks. Detrital zircon results from muddy continental slope facies of the Alta Vista Formation are made up entirely locally derived material, while zircon results from deep-water, sand-rich channel facies of the Formation are indistinguishable from coeval fluvio-deltaic zircon signatures. This implies that continental shelf-to-slope connectivity in a sediment dispersal system, via submarine canyons or shelf-edge delta progradation, is necessary for detrital zircon distributions from the shallow-marine realm to propagate into the deeper marine.</t>
  </si>
  <si>
    <t>[Dobbs, Stephen C.; Graham, Stephan A.] Stanford Univ, Dept Geol Sci, Stanford, CA 94305 USA; [Malkowski, Matthew A.] Univ Texas Austin, Jackson Sch Geosci, Dept Geol Sci, Austin, TX USA; [Schwartz, Theresa M.] US Geol Survey, Geosci &amp; Environm Change Sci Ctr, Denver, CO USA; [Sickmann, Zachary T.] Univ Texas Austin, Inst Geophys, Jackson Sch Geosci, Austin, TX USA</t>
  </si>
  <si>
    <t>Stanford University; University of Texas System; University of Texas Austin; United States Department of the Interior; United States Geological Survey; University of Texas System; University of Texas Austin</t>
  </si>
  <si>
    <t>Dobbs, SC (corresponding author), Stanford Univ, Dept Geol Sci, Stanford, CA 94305 USA.</t>
  </si>
  <si>
    <t>scdobbs@stanford.edu</t>
  </si>
  <si>
    <t>Stanford University; Stanford Project on Deep-water Depositional Systems (SPODDS)</t>
  </si>
  <si>
    <t>Stanford University(Stanford University); Stanford Project on Deep-water Depositional Systems (SPODDS)</t>
  </si>
  <si>
    <t>This research was funded by Stanford University and the Stanford Project on Deep-water Depositional Systems (SPODDS), an industry consortium that has included Anadarko, Chevron, ConocoPhillips, RAG Austria AG, Aramco, Shell, Aera Energy, Matador, and YPF.</t>
  </si>
  <si>
    <t>JUN 22</t>
  </si>
  <si>
    <t>10.3389/feart.2022.824930</t>
  </si>
  <si>
    <t>2T6PI</t>
  </si>
  <si>
    <t>WOS:000822593700001</t>
  </si>
  <si>
    <t>Xia, ZH; Patchin, M; McKay, CP; Drndic, M</t>
  </si>
  <si>
    <t>Xia, Zehui; Patchin, Margaret; McKay, Christopher P.; Drndic, Marija</t>
  </si>
  <si>
    <t>Deoxyribonucleic Acid Extraction from Mars Analog Soils and Their Characterization with Solid-State Nanopores</t>
  </si>
  <si>
    <t>Solid-state nanopore; DNA extraction; Mars analog soils; Life detection</t>
  </si>
  <si>
    <t>ANTARCTIC DRY VALLEYS; NUCLEIC-ACIDS; BACILLUS-SUBTILIS; CLAY-MINERALS; DNA; SURVIVAL; LIFE; HOMOPOLYMERS; BIOTOXICITY; FABRICATION</t>
  </si>
  <si>
    <t>Life detection on Mars is an important topic that includes a direct search for biomarkers. This requires instruments for in situ biomarker detection that are compact, lightweight, and able to withstand operations in space. Solid-state nanopores are excellent candidates that allow fast single-molecule detection. They can withstand high temperatures and be sterilized to minimize planetary contamination. The instruments are portable with low-power requirements. We demonstrate a few key results in advancing the use of nanopores for in-space applications. First, we developed modified deoxyribonucleic acid (DNA) extraction protocols to extract DNA from Mars analog soils. Second, we used silicon nitride nanopores to demonstrate the detection of extracted DNA and corresponding current characteristics. The yields and properties of extracted DNA (e.g., estimated diameters) varied somewhat by soil types, extraction methods, and nanopores used. The yields varied from a minimum of 0.9 ng DNA/g soil for a magnesium carbonate sample from Lake Salda to a maximum of 210 ng DNA/g soil for a calcium carbonate sample from Trona Pinnacles. For a given soil type, yields from different methods varied by a factor of up to 50. These observations motivate future studies with a broader range of Mars-like soils and improved instruments to increase signal-to-noise-ratio at higher measurement bandwidths.</t>
  </si>
  <si>
    <t>[Xia, Zehui; Patchin, Margaret] Goeppert LLC, Pennovat Works, 3401 Grays Ferry Ave, Philadelphia, PA 19146 USA; [McKay, Christopher P.] NASA, Ames Res Ctr, Space Sci Div, Moffett Field, CA 94035 USA; [Drndic, Marija] Univ Penn, Dept Phys &amp; Astron, David Rittenhouse Lab, 209 South 33rd St, Philadelphia, PA 19104 USA</t>
  </si>
  <si>
    <t>National Aeronautics &amp; Space Administration (NASA); NASA Ames Research Center; University of Pennsylvania</t>
  </si>
  <si>
    <t>Xia, ZH (corresponding author), Goeppert LLC, Pennovat Works, 3401 Grays Ferry Ave, Philadelphia, PA 19146 USA.;Drndic, M (corresponding author), Univ Penn, Dept Phys &amp; Astron, David Rittenhouse Lab, 209 South 33rd St, Philadelphia, PA 19104 USA.</t>
  </si>
  <si>
    <t>zx@gppert.com; drndic@physics.upenn.edu</t>
  </si>
  <si>
    <t>McKay, Christopher/0000-0002-6243-1362</t>
  </si>
  <si>
    <t>NASA SBIR Phase II [80NSSC19C0171]</t>
  </si>
  <si>
    <t>NASA SBIR Phase II(National Aeronautics &amp; Space Administration (NASA))</t>
  </si>
  <si>
    <t>The work was supported by NASA SBIR Phase II number 80NSSC19C0171 ``Detecting life in ocean worlds with lowcapacitance solid-state nanopores.''</t>
  </si>
  <si>
    <t>10.1089/ast.2021.0051</t>
  </si>
  <si>
    <t>WOS:000814757900001</t>
  </si>
  <si>
    <t>Aoki, S; Takahashi, T; Yamazaki, K; Hirano, D; Ono, K; Kusahara, K; Tamura, T; Williams, GD</t>
  </si>
  <si>
    <t>Aoki, Shigeru; Takahashi, Tomoki; Yamazaki, Kaihe; Hirano, Daisuke; Ono, Kazuya; Kusahara, Kazuya; Tamura, Takeshi; Williams, Guy D.</t>
  </si>
  <si>
    <t>Warm surface waters increase Antarctic ice shelf melt and delay dense water formation</t>
  </si>
  <si>
    <t>CIRCUMPOLAR DEEP-WATER; SEA-ICE; PRYDZ BAY; OCEAN; CIRCULATION; VARIABILITY; BALANCE; BENEATH; MODEL; HEAT</t>
  </si>
  <si>
    <t>Melting ice shelves around Antarctica control the massive input of freshwater into the ocean and play an intricate role in global heat redistribution. The Amery Ice Shelf regulates wintertime sea-ice growth and dense shelf water formation. We investigated the role of warm Antarctic Surface Water in ice shelf melting and its impact on dense shelf water. Here we show that the coastal ocean in summer 2016/17 was almost sea-ice free, leading to higher surface water temperatures. The glacial meltwater fraction in surface water was the highest on record, hypothesised to be attributable to anomalous ice shelf melting. The excess heat and freshwater in early 2017 delayed the seasonal evolution of dense shelf water. Focused on ice shelf melting at depth, the importance and impacts of warming surface waters has been overlooked. In a warming climate, increased surface water heating will reduce coastal sea-ice production and potentially Antarctic Bottom Water formation. Excessively warm and fresh surface water along the Amery Ice Shelf, Antarctica, in 2017 led to more ice melt and delayed dense water formation, according to analyses of in situ observations.</t>
  </si>
  <si>
    <t>[Aoki, Shigeru; Yamazaki, Kaihe; Ono, Kazuya] Hokkaido Univ, Inst Low Temp Sci, Sapporo, Hokkaido, Japan; [Aoki, Shigeru; Takahashi, Tomoki; Yamazaki, Kaihe] Hokkaido Univ, Grad Sch Environm Sci, Sapporo, Hokkaido, Japan; [Hirano, Daisuke; Tamura, Takeshi] Natl Inst Polar Res, Tachikawa, Tokyo, Japan; [Hirano, Daisuke; Tamura, Takeshi] Grad Univ Adv Studies, Tachikawa, Tokyo, Japan; [Kusahara, Kazuya] Japan Agcy Marine Earth Sci &amp; Technol, Yokosuka, Kanagawa, Japan; [Williams, Guy D.] Univ Tasmania, Hobart, Tas, Australia</t>
  </si>
  <si>
    <t>Hokkaido University; Hokkaido University; Research Organization of Information &amp; Systems (ROIS); National Institute of Polar Research (NIPR) - Japan; Graduate University for Advanced Studies - Japan; Japan Agency for Marine-Earth Science &amp; Technology (JAMSTEC); University of Tasmania</t>
  </si>
  <si>
    <t>Aoki, S (corresponding author), Hokkaido Univ, Inst Low Temp Sci, Sapporo, Hokkaido, Japan.;Aoki, S (corresponding author), Hokkaido Univ, Grad Sch Environm Sci, Sapporo, Hokkaido, Japan.</t>
  </si>
  <si>
    <t>shigeru@lowtem.hokudai.ac.jp</t>
  </si>
  <si>
    <t>Yamazaki, Kaihe/HRC-7878-2023; Hirano, Daisuke/P-3963-2019</t>
  </si>
  <si>
    <t>Yamazaki, Kaihe/0000-0003-3631-5365; Ono, Kazuya/0000-0002-8282-5801</t>
  </si>
  <si>
    <t>Ministry of Education, Culture, Sports, Science and Technology [JP17H06316, JP17H06317, JP17H06322, JP17H06323, JP17H04710, JP19K12301, JP21H04918, JP21H04931]; Science Program of Japanese Antarctic Research Expedition (JARE) as Prioritized Research Project, National Institute of Polar Research (NIPR) [KP-303]; Center for the Promotion of Integrated Sciences of SOKENDAI; Joint Research Program of the Institute of Low Temperature Science, Hokkaido University</t>
  </si>
  <si>
    <t>Ministry of Education, Culture, Sports, Science and Technology(Ministry of Education, Culture, Sports, Science and Technology, Japan (MEXT)); Science Program of Japanese Antarctic Research Expedition (JARE) as Prioritized Research Project, National Institute of Polar Research (NIPR); Center for the Promotion of Integrated Sciences of SOKENDAI; Joint Research Program of the Institute of Low Temperature Science, Hokkaido University</t>
  </si>
  <si>
    <t>We are grateful to Dr. M. Kawai for supporting RAS-500 observation and to Ms. M. Kitagawa for conducting delta18O analysis. This work was supported by Grants-in-Aids for Scientific Research (JP17H06316, JP17H06317, JP17H06322, JP17H06323, JP17H04710, JP19K12301, JP21H04918, and JP21H04931) of the Ministry of Education, Culture, Sports, Science and Technology, the Science Program of Japanese Antarctic Research Expedition (JARE) as Prioritized Research Project, National Institute of Polar Research (NIPR) through Project Research KP-303, the Center for the Promotion of Integrated Sciences of SOKENDAI, and the Joint Research Program of the Institute of Low Temperature Science, Hokkaido University.</t>
  </si>
  <si>
    <t>10.1038/s43247-022-00456-z</t>
  </si>
  <si>
    <t>2H9ZF</t>
  </si>
  <si>
    <t>WOS:000814644300001</t>
  </si>
  <si>
    <t>Friedrichs, DM; McInerney, JBT; Oldroyd, HJ; Lee, WS; Yun, S; Yoon, ST; Stevens, CL; Zappa, CJ; Dow, CF; Mueller, D; Steiner, OS; Forrest, AL</t>
  </si>
  <si>
    <t>Friedrichs, Drew M.; McInerney, Jasmin B. T.; Oldroyd, Holly J.; Lee, Won Sang; Yun, Sukyoung; Yoon, Seung-Tae; Stevens, Craig L.; Zappa, Christopher J.; Dow, Christine F.; Mueller, Derek; Steiner, Oscar Sepulveda; Forrest, Alexander L.</t>
  </si>
  <si>
    <t>Observations of submesoscale eddy-driven heat transport at an ice shelf calving front</t>
  </si>
  <si>
    <t>NOVA BAY POLYNYA; THERMOPHYSICAL PROPERTIES; WATER; ANTARCTICA; VARIABILITY; SIMULATIONS; SEAWATER; LENSES; MODEL</t>
  </si>
  <si>
    <t>Antarctica's ice shelves buttress the continent's terrestrial ice, helping slow the loss of grounded ice into the ocean and limiting sea level rise. Ice-ocean interaction plays a critical role in ice shelf stability by driving basal melt rates. Consequently, improved prediction of the future state of ice shelves lies in understanding the coastal ocean mechanics that deliver heat to their cavities. Here, we present autonomous glider-based observations of a coherent structure at the calving front of a cold-water cavity ice shelf (Nansen Ice Shelf, East Antarctica). This similar to 10 km-wide eddy dominated the local ocean circulation in the austral summer of 2018/2019, promoting an upwelling of cold ice shelf water and a deepening of warm surface water. Microstructure turbulence measurements show a resulting maximum vertical heat transport of 10 W m(-2) at depths equivalent to the ice shelf draft. Similar eddy-driven heat transport further into the ice shelf cavity would support enhanced summertime melt in regions of shallower ice draft.</t>
  </si>
  <si>
    <t>[Friedrichs, Drew M.; McInerney, Jasmin B. T.; Oldroyd, Holly J.; Forrest, Alexander L.] Univ Calif Davis, Dept Civil &amp; Environm Engn, Davis, CA 95616 USA; [Friedrichs, Drew M.; McInerney, Jasmin B. T.; Forrest, Alexander L.] Univ Calif Davis, Tahoe Environm Res Ctr, Davis Incline Village, NV 89451 USA; [McInerney, Jasmin B. T.; Stevens, Craig L.] Natl Inst Water &amp; Atmospher Res, Wellington, New Zealand; [Lee, Won Sang; Yun, Sukyoung] Korea Polar Res Inst, Incheon, South Korea; [Yoon, Seung-Tae] Kyungpook Natl Univ, Sch Earth Syst Sci, Daegu, South Korea; [Stevens, Craig L.] Univ Auckland, Dept Phys, Auckland, New Zealand; [Zappa, Christopher J.] Columbia Univ, Lamont Doherty Earth Observ, New York, NY USA; [Dow, Christine F.] Univ Waterloo, Dept Geog &amp; Environm Management, Waterloo, ON, Canada; [Mueller, Derek] Carleton Univ, Dept Geog &amp; Environm Studies, Water &amp; Ice Res Lab, Ottawa, ON, Canada; [Steiner, Oscar Sepulveda] Eawag, Swiss Fed Inst Aquat Sci &amp; Technol, Surface Waters Res &amp; Management, Kastanienbaum, Switzerland</t>
  </si>
  <si>
    <t>University of California System; University of California Davis; National Institute of Water &amp; Atmospheric Research (NIWA) - New Zealand; Korea Polar Research Institute (KOPRI); Kyungpook National University; University of Auckland; Columbia University; University of Waterloo; Carleton University; Swiss Federal Institutes of Technology Domain; Swiss Federal Institute of Aquatic Science &amp; Technology (EAWAG)</t>
  </si>
  <si>
    <t>Friedrichs, DM (corresponding author), Univ Calif Davis, Dept Civil &amp; Environm Engn, Davis, CA 95616 USA.;Friedrichs, DM (corresponding author), Univ Calif Davis, Tahoe Environm Res Ctr, Davis Incline Village, NV 89451 USA.</t>
  </si>
  <si>
    <t>amfriedrichs@ucdavis.edu</t>
  </si>
  <si>
    <t>Forrest, Alexander L/C-3765-2014; Sepúlveda Steiner, Oscar/IZE-0774-2023; Yoon, Seung-Tae/GXV-4573-2022; Sepúlveda Steiner, Oscar/GYV-2583-2022</t>
  </si>
  <si>
    <t>Sepúlveda Steiner, Oscar/0000-0001-7919-0297; Yoon, Seung-Tae/0000-0002-0540-7577; Dow, Christine/0000-0003-1346-2258; Friedrichs, Andrew/0000-0002-7337-4471; Stevens, Craig/0000-0002-4730-6985; Oldroyd, Holly Jayne/0000-0001-8925-4063; Yun, Sukyoung/0000-0003-0778-7259; Zappa, Christopher J/0000-0003-0041-2913; Lee, Won Sang/0000-0002-1074-7672</t>
  </si>
  <si>
    <t>Rockland Scientific Inc .; Teledyne Webb Research; Korean Ministry of Oceans and Fisheries [KIMST20190361, PM22020]; NZ Antarctic Science Platform [ANTA1801]; University of Wisconsin-Madison Automatic Weather Station Program [1924730]; NSF-OPP awards [1543501, 1810976, 1542736, 1559691, 1043681, 1541332, 0753663, 1548562, 1238993]; NASA award [NNX10AN61G]; NASA [127993, NNX10AN61G] Funding Source: Federal RePORTER; Office of Advanced Cyberinfrastructure (OAC); Direct For Computer &amp; Info Scie &amp; Enginr [1810976, 1541332] Funding Source: National Science Foundation</t>
  </si>
  <si>
    <t>Rockland Scientific Inc .; Teledyne Webb Research; Korean Ministry of Oceans and Fisheries; NZ Antarctic Science Platform; University of Wisconsin-Madison Automatic Weather Station Program; NSF-OPP awards(National Science Foundation (NSF)); NASA award; NASA(National Aeronautics &amp; Space Administration (NASA)); Office of Advanced Cyberinfrastructure (OAC); Direct For Computer &amp; Info Scie &amp; Enginr(National Science Foundation (NSF)NSF - Directorate for Computer &amp; Information Science &amp; Engineering (CISE))</t>
  </si>
  <si>
    <t>We thank glider pilot Cordielyn Goodrich and field technician Sebastien Lavanchy, as well as the entirety of the R/V ARAON crew for successful data collection and a safe research voyage. We would also like to credit Rockland Scientific Inc and Teledyne Webb Research for their support throughout the planning and execution of our glider deployments. This study was sponsored by a research grant from the Korean Ministry of Oceans and Fisheries (KIMST20190361; PM22020). C.S. was supported by the NZ Antarctic Science Platform ANTA1801. We acknowledge the use of imagery from the NASA Worldview application (https://worldview.earthdata.nasa.gov/), part of the NASA Earth Observing System Data and Information System (EOSDIS). The authors also appreciate the support of the University of Wisconsin-Madison Automatic Weather Station Program for the wind data set, data display, and information, NSF grant number 1924730. Finally, ice shelf DEMs were provided by the Byrd Polar and Climate Research Center and the Polar Geospatial Center under NSF-OPP awards 1543501, 1810976, 1542736, 1559691, 1043681, 1541332, 0753663, 1548562, 1238993 and NASA award NNX10AN61G, with computer time provided through a Blue Waters Innovation Initiative and DEMs produced using data from Maxar.</t>
  </si>
  <si>
    <t>10.1038/s43247-022-00460-3</t>
  </si>
  <si>
    <t>WOS:000814644300002</t>
  </si>
  <si>
    <t>Purich, A</t>
  </si>
  <si>
    <t>Purich, Ariaan</t>
  </si>
  <si>
    <t>How the ocean melts Antarctic ice</t>
  </si>
  <si>
    <t>The floating ice shelves around Antarctica are key to buttressing land-based ice. Observations, simulations and analyses from around Antarctica now identify mechanisms that lead to basal melting of these vulnerable shelves.</t>
  </si>
  <si>
    <t>[Purich, Ariaan] Monash Univ, Sch Earth Atmosphere &amp; Environm, Melbourne, Vic 3800, Australia; [Purich, Ariaan] ARC Special Res Initiat Securing Antarct Environm, Melbourne, Vic 3800, Australia</t>
  </si>
  <si>
    <t>Melbourne Genomics Health Alliance; Monash University; Melbourne Genomics Health Alliance</t>
  </si>
  <si>
    <t>Purich, A (corresponding author), Monash Univ, Sch Earth Atmosphere &amp; Environm, Melbourne, Vic 3800, Australia.;Purich, A (corresponding author), ARC Special Res Initiat Securing Antarct Environm, Melbourne, Vic 3800, Australia.</t>
  </si>
  <si>
    <t>ariaan.purich@monash.edu</t>
  </si>
  <si>
    <t>Purich, Ariaan/0000-0003-2248-5937</t>
  </si>
  <si>
    <t>Australian Research Council Special Research Initiative for Securing Antarctica's Environmental Future [SR200100005]</t>
  </si>
  <si>
    <t>Australian Research Council Special Research Initiative for Securing Antarctica's Environmental Future(Australian Research Council)</t>
  </si>
  <si>
    <t>This work was supported by the Australian Research Council Special Research Initiative for Securing Antarctica's Environmental Future (SR200100005). The author is grateful for helpful discussions with Julie Arblaster and suggestions from Heike Langenberg.</t>
  </si>
  <si>
    <t>10.1038/s43247-022-00471-0</t>
  </si>
  <si>
    <t>WOS:000814644300003</t>
  </si>
  <si>
    <t>Verfaillie, D; Pelletier, C; Goosse, H; Jourdain, NC; Bull, CYS; Dalaiden, Q; Favier, V; Fichefet, T; Wille, JD</t>
  </si>
  <si>
    <t>Verfaillie, Deborah; Pelletier, Charles; Goosse, Hugues; Jourdain, Nicolas C.; Bull, Christopher Y. S.; Dalaiden, Quentin; Favier, Vincent; Fichefet, Thierry; Wille, Jonathan D.</t>
  </si>
  <si>
    <t>The circum-Antarctic ice-shelves respond to a more positive Southern Annular Mode with regionally varied melting</t>
  </si>
  <si>
    <t>SURFACE TEMPERATURE RESPONSE; SEA-ICE; CMIP5 MODELS; OZONE DEPLETION; OCEAN; TRENDS; AMUNDSEN; VARIABILITY; WINDS; IMPACT</t>
  </si>
  <si>
    <t>The Southern Hemisphere cryosphere has recently shown regionally-contrasted responses to climate change, in particular to the positive phases of the Southern Annular Mode. However, the understanding of the impacts of this mode on ice-shelf basal melt at a circum-Antarctic scale is still limited. Here, we performed idealized experiments with a pan-Antarctic regional ice-shelf cavity-resolving ocean-sea-ice model for different phases of the Southern Annular Mode. We show that positive phases lead to increased upwelling and subsurface ocean temperature and salinity close to ice shelves, while the opposite occurs for negative phases. A one-standard-deviation increase of the Southern Annular Mode leads to a net basal mass loss of 40 Gt yr(-1), with strong regional contrasts: increased ice-shelf basal melt in the Bellingshausen and Western Pacific sectors and the opposite response in the Amundsen sector. Estimates of 1000-1200 and 2090-2100 ice-shelf basal melt changes due to the Southern Annular Mode are -86.6 Gt yr(-1) and 55.0 to 164.9 Gt yr(-1), respectively, compared to the present. Positive phases of the Southern Annular Mode lead to enhanced basal melt overall in the Antarctic ice shelves, with strong losses in the Bellingshausen and Western Pacific sectors and gains in the Amundsen Sea, according to ice-ocean model experiments.</t>
  </si>
  <si>
    <t>[Verfaillie, Deborah; Pelletier, Charles; Goosse, Hugues; Dalaiden, Quentin; Fichefet, Thierry] Catholic Univ Louvain, Earth &amp; Life Inst, Louvain La Neuve, Belgium; [Jourdain, Nicolas C.; Favier, Vincent; Wille, Jonathan D.] Univ Grenoble Alpes, CNRS, IRD, G INP,IGE, Grenoble, France; [Bull, Christopher Y. S.] Northumbria Univ, Dept Geog &amp; Environm Sci, Newcastle Upon Tyne, Tyne &amp; Wear, England; [Verfaillie, Deborah] Aix Marseille Univ, CEREGE, INRAE, CNRS,IRD, Aix En Provence, France</t>
  </si>
  <si>
    <t>Universite Catholique Louvain; Institut de Recherche pour le Developpement (IRD); Communaute Universite Grenoble Alpes; Universite Grenoble Alpes (UGA); Centre National de la Recherche Scientifique (CNRS); Northumbria University; Centre National de la Recherche Scientifique (CNRS); INRAE; Institut de Recherche pour le Developpement (IRD); Aix-Marseille Universite</t>
  </si>
  <si>
    <t>Verfaillie, D (corresponding author), Catholic Univ Louvain, Earth &amp; Life Inst, Louvain La Neuve, Belgium.;Verfaillie, D (corresponding author), Aix Marseille Univ, CEREGE, INRAE, CNRS,IRD, Aix En Provence, France.</t>
  </si>
  <si>
    <t>deborah.verfaillie@gmail.com</t>
  </si>
  <si>
    <t>Jourdain, Nicolas C/B-6899-2015; Wille, Jonathan/KFQ-5871-2024; Favier, Vincent/T-1936-2017</t>
  </si>
  <si>
    <t>Pelletier, Charles/0000-0003-2177-2694; Dalaiden, Quentin/0000-0002-3885-3848; Bull, Christopher/0000-0001-8362-3446; Favier, Vincent/0000-0001-6024-9498; Wille, Jonathan/0000-0002-3918-5204</t>
  </si>
  <si>
    <t>PARAMOUR project Decadal predictability and variability of polar climate: the role of atmosphere-ocean-cryosphere multiscale interactions by the Fonds de la Recherche Scientifique-FNRS [O0100718F, 30454083]; European Union's Horizon 2020 research and innovation programme [820575]; Agence Nationale de la Recherche project [ANR-20-CE01-0013]; Agence Nationale de la Recherche (ANR) [ANR-20-CE01-0013] Funding Source: Agence Nationale de la Recherche (ANR)</t>
  </si>
  <si>
    <t>PARAMOUR project Decadal predictability and variability of polar climate: the role of atmosphere-ocean-cryosphere multiscale interactions by the Fonds de la Recherche Scientifique-FNRS; European Union's Horizon 2020 research and innovation programme(Horizon 2020); Agence Nationale de la Recherche project(Agence Nationale de la Recherche (ANR)); Agence Nationale de la Recherche (ANR)(Agence Nationale de la Recherche (ANR))</t>
  </si>
  <si>
    <t>This work was funded through the PARAMOUR project Decadal predictability and variability of polar climate: the role of atmosphere-ocean-cryosphere multiscale interactions supported by the Fonds de la Recherche Scientifique-FNRS under Grant number O0100718F (EOS ID 30454083). C.B. and N.J. are supported by the European Union's Horizon 2020 research and innovation programme under grant agreement no. 820575 (TiPACCs). J.W. and V.F. acknowledge support from the Agence Nationale de la Recherche project ANR-20-CE01-0013 (ARCA).</t>
  </si>
  <si>
    <t>10.1038/s43247-022-00458-x</t>
  </si>
  <si>
    <t>WOS:000814644300004</t>
  </si>
  <si>
    <t>Lavers, JL; Carey, GR; Guilfoyle, DR; Reynolds, R</t>
  </si>
  <si>
    <t>Lavers, Jennifer L.; Carey, Genevieve R.; Guilfoyle, David R.; Reynolds, Ron</t>
  </si>
  <si>
    <t>Impact of bushfires on seabird breeding islands in southwest Australia: a case study for developing a community-based model in adaptive management</t>
  </si>
  <si>
    <t>HUMAN ECOLOGY</t>
  </si>
  <si>
    <t>Ardenna; Bushfire; Climate change; Cultural burning; Forest fire; Figure of Eight Island; Recherche Archipelago; Western Australia</t>
  </si>
  <si>
    <t>FIRE; BIODIVERSITY; CARNEIPES; CLIMATE; CONSERVATION; SHEARWATERS; STRATEGIES; THREATS</t>
  </si>
  <si>
    <t>Traditional burning regimes have long been employed to enhance biodiversity and mitigate high-intensity wildfires. The link between changes in the distribution, success, and timing of breeding in seabirds and climatic and oceanographic variation in the marine environment has been established, with migratory seabirds less able to respond to climate variability than resident species. While climate-driven changes can also occur on seabird breeding islands, few data are available regarding potential impacts. Here we investigate the frequency and severity of bushfires on seabird breeding islands in Western Australia, regarding the 2020 fire on Figure of Eight Island in the Recherche Archipelago. A lack of quantitative, historical surveys limited our ability to quantify the number of shearwaters lost in this event. However, a review of available data suggests thousands of birds die due to burning every one or two years across the Archipelago. On Figure of Eight, shearwater burrow occupancy and density were low 12 months post-burn (0.25 and 0.02 +/- 0.03, respectively), with minimal evidence of recovery (very few burrows detected) 23 months post-burn. We discuss opportunities to develop an adaptive, community-based program for reinstating collaborative, cultural methods of fire management and monitoring regimes on seabird breeding islands in Australia.</t>
  </si>
  <si>
    <t>[Lavers, Jennifer L.; Guilfoyle, David R.; Reynolds, Ron] Univ Tasmania, Inst Marine &amp; Antarctic Studies, 20 Castray Esplanade, Hobart, Tas 7004, Australia; [Lavers, Jennifer L.] Univ Tasmania, Ctr Marine Socioecol, Hobart, Tas 7001, Australia; [Carey, Genevieve R.; Guilfoyle, David R.; Reynolds, Ron] Esperance Tjaltjraak Native Title Aboriginal Corp, 11A Shelden Rd, Esperance, WA 6450, Australia</t>
  </si>
  <si>
    <t>Lavers, JL (corresponding author), Univ Tasmania, Inst Marine &amp; Antarctic Studies, 20 Castray Esplanade, Hobart, Tas 7004, Australia.;Lavers, JL (corresponding author), Univ Tasmania, Ctr Marine Socioecol, Hobart, Tas 7001, Australia.</t>
  </si>
  <si>
    <t>Lavers, Jennifer/0000-0001-7596-6588; Carey, Genevieve/0000-0002-2473-5306</t>
  </si>
  <si>
    <t>Detached Cultural Organization; Esperance Tjaltjraak Native Title Aboriginal Corporation; Australian Federal Government's National Indigenous Australians Agency</t>
  </si>
  <si>
    <t>Special thanks to Detached Cultural Organization and the Esperance Tjaltjraak Native Title Aboriginal Corporation for funding this project via their Healthy Country Plan program, supported by the Australian Federal Government's National Indigenous Australians Agency.</t>
  </si>
  <si>
    <t>SPRINGER/PLENUM PUBLISHERS</t>
  </si>
  <si>
    <t>233 SPRING ST, NEW YORK, NY 10013 USA</t>
  </si>
  <si>
    <t>0300-7839</t>
  </si>
  <si>
    <t>1572-9915</t>
  </si>
  <si>
    <t>HUM ECOL</t>
  </si>
  <si>
    <t>Hum. Ecol.</t>
  </si>
  <si>
    <t>10.1007/s10745-022-00338-0</t>
  </si>
  <si>
    <t>Anthropology; Environmental Studies; Sociology</t>
  </si>
  <si>
    <t>Anthropology; Environmental Sciences &amp; Ecology; Sociology</t>
  </si>
  <si>
    <t>6G4WF</t>
  </si>
  <si>
    <t>WOS:000814473400001</t>
  </si>
  <si>
    <t>Powell, E; Latychev, K; Gomez, N; Mitrovica, JX</t>
  </si>
  <si>
    <t>Powell, E.; Latychev, K.; Gomez, N.; Mitrovica, J. X.</t>
  </si>
  <si>
    <t>The robustness of geodetically derived 1-D Antarctic viscosity models in the presence of complex 3-D viscoelastic Earth structure</t>
  </si>
  <si>
    <t>Geodetic instrumentation; Loading of the Earth; Sea Level change; Antarctica; Numerical modelling; Dynamics of lithosphere and mantle; Rheology: mantle</t>
  </si>
  <si>
    <t>POSTGLACIAL SEA-LEVEL; UPPER-MANTLE STRUCTURE; LAST GLACIAL MAXIMUM; RAPID BEDROCK UPLIFT; ICE-SHEET; WEST ANTARCTICA; ISOSTATIC-ADJUSTMENT; BENEATH; GRAVITY; LITHOSPHERE</t>
  </si>
  <si>
    <t>Earth structure beneath the Antarctic exerts an important control on the evolution of the ice sheet. A range of geological and geophysical data sets indicate that this structure is complex, with the western sector characterized by a lithosphere of thickness similar to 50-100 km and viscosities within the upper mantle that vary by 2-3 orders of magnitude. Recent analyses of uplift rates estimated using Global Navigation Satellite System (GNSS) observations have inferred 1-D viscosity profiles below West Antarctica discretized into a small set of layers within the upper mantle using forward modelling of glacial isostatic adjustment (GIA). It remains unclear, however, what these 1-D viscosity models represent in an area with complex 3-D mantle structure, and over what geographic length-scale they are applicable. Here, we explore this issue by repeating the same modelling procedure but applied to synthetic uplift rates computed using a realistic model of 3-D viscoelastic Earth structure inferred from seismic tomographic imaging of the region, a finite volume treatment of GIA that captures this complexity, and a loading history of Antarctic ice mass changes inferred over the period 1992-2017. We find differences of up to an order of magnitude between the best-fitting 1-D inferences and regionally averaged depth profiles through the 3-D viscosity field used to generate the synthetics. Additional calculations suggest that this level of disagreement is not systematically improved if one increases the number of observation sites adopted in the analysis. Moreover, the 1-D models inferred from such a procedure are non-unique, that is a broad range of viscosity profiles fit the synthetic uplift rates equally well as a consequence, in part, of correlations between the viscosity values within each layer. While the uplift rate at each GNSS site is sensitive to a unique subspace of the complex, 3-D viscosity field, additional analyses based on rates from subsets of proximal sites showed no consistent improvement in the level of bias in the 1-D inference. We also conclude that the broad, regional-scale uplift field generated with the 3-D model is poorly represented by a prediction based on the best-fitting 1-D Earth model. Future work analysing GNSS data should be extended to include horizontal rates and move towards inversions for 3-D structure that reflect the intrinsic 3-D resolving power of the data.</t>
  </si>
  <si>
    <t>[Powell, E.; Latychev, K.; Mitrovica, J. X.] Harvard Univ, Earth &amp; Planetary Sci, Cambridge, MA 02138 USA; [Powell, E.; Latychev, K.] Columbia Univ, Earth &amp; Environm Sci, New York, NY 10032 USA; [Gomez, N.] McGill Univ, Earth &amp; Planetary Sci, Montreal, PQ H3A 0E8, Canada</t>
  </si>
  <si>
    <t>Harvard University; Columbia University; McGill University</t>
  </si>
  <si>
    <t>Powell, E (corresponding author), Harvard Univ, Earth &amp; Planetary Sci, Cambridge, MA 02138 USA.;Powell, E (corresponding author), Columbia Univ, Earth &amp; Environm Sci, New York, NY 10032 USA.</t>
  </si>
  <si>
    <t>evelynpowell@ldeo.columbia.edu</t>
  </si>
  <si>
    <t>National Science Foundation Graduate Research Fellowship [DGE1144152, DGE1745303]; NASA [NNX17AE17G]; Canada Research Chairs; NSERC; Harvard University</t>
  </si>
  <si>
    <t>National Science Foundation Graduate Research Fellowship(National Science Foundation (NSF)); NASA(National Aeronautics &amp; Space Administration (NASA)); Canada Research Chairs(Canada Research ChairsCGIAR); NSERC(Natural Sciences and Engineering Research Council of Canada (NSERC)); Harvard University</t>
  </si>
  <si>
    <t>We thank Dr Valentina Barletta for helpful discussions that greatly improved this manuscript. This material is based upon work supported by the National Science Foundation Graduate Research Fellowship under Grants DGE1144152 and DGE1745303 [EMP], NASA under grant NNX17AE17G, Canada Research Chairs, NSERC and Harvard University.</t>
  </si>
  <si>
    <t>JUN 21</t>
  </si>
  <si>
    <t>10.1093/gji/ggac129</t>
  </si>
  <si>
    <t>C9VE3</t>
  </si>
  <si>
    <t>WOS:000965302800001</t>
  </si>
  <si>
    <t>Dickinson, A; Gunn, KL</t>
  </si>
  <si>
    <t>Dickinson, Alex; Gunn, Kathryn L.</t>
  </si>
  <si>
    <t>The Next Decade of Seismic Oceanography: Possibilities, Challenges and Solutions</t>
  </si>
  <si>
    <t>seismic oceanography; acoustic imaging; observational oceanography; submesoscale; internal waves; turbulent mixing; benchmarking; standardization</t>
  </si>
  <si>
    <t>WAVE-FORM INVERSION; ANTARCTIC CIRCUMPOLAR CURRENT; WESTERN BOUNDARY CURRENTS; ISOPYCNIC SLOPE SPECTRA; INTERNAL SOLITARY WAVES; ALBORAN SEA THERMOCLINE; STRATIFIED TURBULENCE; GLOBAL OCEAN; FINESCALE PARAMETERIZATIONS; MICROSTRUCTURE MEASUREMENTS</t>
  </si>
  <si>
    <t>Seismic reflection profiling of thermohaline structure has the potential to transform our understanding of oceanic mixing and circulation. This profiling, which is known as seismic oceanography, yields acoustic images that extend from the sea surface to the sea bed and which span horizontal distances of hundreds of kilometers. Changes in temperature and salinity are detected in two, and sometimes three, dimensions at spatial resolutions of ~O(10) m. Due to its unique combination of extensive coverage and high spatial resolution, seismic oceanography is ideally placed to characterize the processes that sustain oceanic circulation by transferring energy between basin-scale currents and turbulent flow. To date, more than one hundred research papers have exploited seismic oceanographic data to gain insight into phenomena as varied as eddy formation, internal waves, and turbulent mixing. However, despite its promise, seismic oceanography suffers from three practical disadvantages that have slowed its development into a widely accepted tool. First, acquisition of high-quality data is expensive and logistically challenging. Second, it has proven difficult to obtain independent observational constraints that can be used to benchmark seismic oceanographic results. Third, computational workflows have not been standardized and made widely available. In addition to these practical challenges, the field has struggled to identify pressing scientific questions that it can systematically address. It thus remains a curiosity to many oceanographers. We suggest ways in which the practical challenges can be addressed through development of shared resources, and outline how these resources can be used to tackle important problems in physical oceanography. With this collaborative approach, seismic oceanography can become a key member of the next generation of methods for observing the ocean.</t>
  </si>
  <si>
    <t>[Dickinson, Alex] Newcastle Univ, Sch Nat &amp; Environm Sci, Newcastle Upon Tyne, England; [Gunn, Kathryn L.] Ctr Southern Hemisphere Oceans Res CSHOR, CSIRO Oceans &amp; Atmosphere, Hobart, Tas, Australia</t>
  </si>
  <si>
    <t>Newcastle University - UK; Commonwealth Scientific &amp; Industrial Research Organisation (CSIRO)</t>
  </si>
  <si>
    <t>Dickinson, A (corresponding author), Newcastle Univ, Sch Nat &amp; Environm Sci, Newcastle Upon Tyne, England.;Gunn, KL (corresponding author), Ctr Southern Hemisphere Oceans Res CSHOR, CSIRO Oceans &amp; Atmosphere, Hobart, Tas, Australia.</t>
  </si>
  <si>
    <t>nad38@cantab.ac.uk; kgunn.sc@gmail.com</t>
  </si>
  <si>
    <t>Gunn, Kathryn/0000-0003-2397-5364; Dickinson, Alex/0000-0001-7184-927X</t>
  </si>
  <si>
    <t>10.3389/fmars.2022.736693</t>
  </si>
  <si>
    <t>3A7JU</t>
  </si>
  <si>
    <t>WOS:000827433000001</t>
  </si>
  <si>
    <t>Mayk, D; Peck, LS; Harper, EM</t>
  </si>
  <si>
    <t>Mayk, Dennis; Peck, Lloyd S.; Harper, Elizabeth M.</t>
  </si>
  <si>
    <t>Evidence for Carbonate System Mediated Shape Shift in an Intertidal Predatory Gastropod</t>
  </si>
  <si>
    <t>biomineralisation; resistance; shape plasticity; calcification; compensatory abilities; multiple stressor; dog whelk; ocean acidification (OA)</t>
  </si>
  <si>
    <t>WHELK NUCELLA-LAPILLUS; DOG-WHELK; OCEAN ACIDIFICATION; SHELL-SHAPE; CHROMOSOMAL-POLYMORPHISM; PHENOTYPIC PLASTICITY; MOLECULAR-MECHANISMS; ION CONCENTRATION; ENERGETIC BASIS; CALCIFICATION</t>
  </si>
  <si>
    <t>Phenotypic plasticity represents an important first-line organism response to newly introduced or changing environmental constraints. Knowledge about structural responses to environmental stressors could thus be an essential measure to predict species and ecosystem responses to a world in change. In this study, we combined morphometric analyses with environmental modelling to identify direct shape responses of the predatory gastropod Nucella lapillus to large-scale variability in sea surface temperature and the carbonate system. Our models suggest that the state of the carbonate system and, more specifically, the substrate inhibitor ratio ([HCO3-] [H+](-1)) (SIR) has a dominant effect on the shell shape of this intertidal muricid. Populations in regions with a lower SIR tend to form narrower shells with a higher spire to body whorl ratio, whereas populations in areas with a higher SIR form wider shells with a much lower spire to body whorl ratio. These results indicate that a widespread phenotypic response of N. lapillus to continuing ocean acidification can be expected, potentially altering the phenotypic response pattern to predator or wave exposure regimes with profound implications for North Atlantic rocky shore communities.</t>
  </si>
  <si>
    <t>[Mayk, Dennis; Peck, Lloyd S.; Harper, Elizabeth M.] Univ Cambridge, Dept Earth Sci, Cambridge, England; [Mayk, Dennis; Harper, Elizabeth M.] NERC, British Antarctic Survey, Cambridge, England</t>
  </si>
  <si>
    <t>University of Cambridge; UK Research &amp; Innovation (UKRI); Natural Environment Research Council (NERC); NERC British Antarctic Survey</t>
  </si>
  <si>
    <t>Mayk, D (corresponding author), Univ Cambridge, Dept Earth Sci, Cambridge, England.;Mayk, D (corresponding author), NERC, British Antarctic Survey, Cambridge, England.</t>
  </si>
  <si>
    <t>NERC studentship [NE/L002507/1]</t>
  </si>
  <si>
    <t>NERC studentship(UK Research &amp; Innovation (UKRI)Natural Environment Research Council (NERC))</t>
  </si>
  <si>
    <t>This study was supported by a NERC studentship awarded to DM (NE/L002507/1).</t>
  </si>
  <si>
    <t>10.3389/fmars.2022.894182</t>
  </si>
  <si>
    <t>2R2IH</t>
  </si>
  <si>
    <t>WOS:000820932600001</t>
  </si>
  <si>
    <t>Guallart, EF; Fajar, NM; García-Ibáñez, MI; Castaño-Carrera, M; Santiago-Doménech, R; Hassoun, AE; Pérez, FF; Easley, RA; Alvarez, M</t>
  </si>
  <si>
    <t>Guallart, Elisa F.; Fajar, Noelia M.; Garcia-Ibanez, Maribel I.; Castano-Carrera, Monica; Santiago-Domenech, Rocio; Hassoun, Abed El Rahman; Perez, Fiz F.; Easley, Regina A.; Alvarez, Marta</t>
  </si>
  <si>
    <t>Spectrophotometric Measurement of Carbonate Ion in Seawater over a Decade: Dealing with Inconsistencies</t>
  </si>
  <si>
    <t>ocean acidification; saturation states; bio-geochemistly; oceanic carbon cycle; time-series; CO2 system monitoring; CO(2 )system variables; climate goal</t>
  </si>
  <si>
    <t>OCEAN ACIDIFICATION; SATURATION STATES; ANTHROPOGENIC CO2; INORGANIC CARBON; CHEMISTRY; MARINE; ALKALINITY; SEA; COMPLEXATION; TEMPERATURE</t>
  </si>
  <si>
    <t>The spectrophotometric methodology for carbonate ion determination in seawater was first published in 2008 and has been continuously evolving in terms of reagents and formulations. Although being fast, relatively simple, affordable, and potentially easy to implement in different platforms and facilities for discrete and autonomous observations, its use is not widespread in the ocean acidification community. This study uses a merged overdetermined CO2 system data set (carbonate ion, pH, and alkalinity) obtained from 2009 to 2020 to assess the differences among the five current approaches of the methodology through an internal consistency analysis and discussing the sources of uncertainty. Overall, the results show that none of the approaches meet the climate goal (+/- 1 % standard uncertainty) for ocean acidification studies for the whole carbonate ion content range in this study but usually fulfill the weather goal (+/- 10 % standard uncertainty). The inconsistencies observed among approaches compromise the consistency of data sets among regions and through time, highlighting the need for a validated standard operating procedure for spectrophotometric carbonate ion measurements as already available for the other measurable CO2 variables.</t>
  </si>
  <si>
    <t>[Guallart, Elisa F.; Fajar, Noelia M.; Castano-Carrera, Monica; Alvarez, Marta] CSIC, DC, Ctr Oceanog A Coruna COAC IEO, La Coruna 15001, Spain; [Fajar, Noelia M.; Perez, Fiz F.] CSIC, Inst Invest Marinas IIM, DC, Vigo 36208, Spain; [Guallart, Elisa F.; Garcia-Ibanez, Maribel I.] CSIC, Inst Ciencies Mar ICM, DC, Barcelona 08003, Spain; [Garcia-Ibanez, Maribel I.] Univ East Anglia UEA, Sch Environm Sci, Norwich NR47TJ, Norfolk, England; [Santiago-Domenech, Rocio] CSIC, DC, Ctr Oceanog Baleares COB IEO, Palma De Mallorca 07015, Balearic Island, Spain; [Hassoun, Abed El Rahman] GEOMAR Helmholtz Ctr Ocean Res Kiel, D-24105 Kiel, Germany; [Hassoun, Abed El Rahman] Natl Council Sci Res Lebanon CNRS L, Natl Ctr Marine Sci, Beirut, Lebanon; [Easley, Regina A.] NIST, Chem Sci Div, Gaithersburg, MD 20899 USA</t>
  </si>
  <si>
    <t>Consejo Superior de Investigaciones Cientificas (CSIC); Consejo Superior de Investigaciones Cientificas (CSIC); CSIC - Instituto de Investigaciones Marinas (IIM); Consejo Superior de Investigaciones Cientificas (CSIC); CSIC - Centro Mediterraneo de Investigaciones Marinas y Ambientales (CMIMA); CSIC - Instituto de Ciencias del Mar (ICM); Consejo Superior de Investigaciones Cientificas (CSIC); Helmholtz Association; GEOMAR Helmholtz Center for Ocean Research Kiel; Centre National de la Recherche Scientifique (CNRS) - Lebanon; National Center for Marine Sciences (CNRSL); National Institute of Standards &amp; Technology (NIST) - USA</t>
  </si>
  <si>
    <t>Guallart, EF (corresponding author), CSIC, DC, Ctr Oceanog A Coruna COAC IEO, La Coruna 15001, Spain.;Guallart, EF (corresponding author), CSIC, Inst Ciencies Mar ICM, DC, Barcelona 08003, Spain.</t>
  </si>
  <si>
    <t>efguallart@icm.csic.es</t>
  </si>
  <si>
    <t>García-Ibáñez, Maribel I./AAE-1798-2019; Easley, Regina/O-6159-2017; Álvarez, Marta/D-4367-2009; Fernandez Perez, Fiz/B-9001-2011</t>
  </si>
  <si>
    <t>García-Ibáñez, Maribel I./0000-0001-5218-0064; Álvarez, Marta/0000-0002-5075-9344; Fernandez Perez, Fiz/0000-0003-4836-8974; F. Guallart, Elisa/0000-0003-2965-6671; Easley, Regina/0000-0002-1876-2893; HASSOUN, Abed El Rahman/0000-0003-1940-215X; Santiago Domenech, Rocio/0000-0003-3318-5200; Fajar, Noelia M/0000-0001-9560-4381</t>
  </si>
  <si>
    <t>Spanish Ministry of Science, Innovation and Universities [PTA2016-12441-I, FJCI2015-24394]; GAIN Grupo de Referencia Competitiva from Xunta de Galicia [IN607A 2018/2]; NOAA's Ocean Acidification Program (OAP) [NA17OAR0170332]; NERC's CUSTARD (Carbon Uptake and Seasonal Traits of Antarctic Remineralisation Depths) project [NE/P021263/1]; 2018 NF-POGO Shipboard Fellowship; BOCATS2 project - MCIN/AEI [PID2019-104279GB-C21/AEI/10.13039/501100011033]; IEO RADIALES program; RADPROF program; MEDSHIP18 program; ATLAS project [678760]; INTERREG Atlantic Area iFADO project; Ocean Carbon Biogeochemistry program; NERC [NE/P021263/1] Funding Source: UKRI</t>
  </si>
  <si>
    <t>Spanish Ministry of Science, Innovation and Universities(Spanish Government); GAIN Grupo de Referencia Competitiva from Xunta de Galicia; NOAA's Ocean Acidification Program (OAP); NERC's CUSTARD (Carbon Uptake and Seasonal Traits of Antarctic Remineralisation Depths) project(UK Research &amp; Innovation (UKRI)Natural Environment Research Council (NERC)); 2018 NF-POGO Shipboard Fellowship; BOCATS2 project - MCIN/AEI; IEO RADIALES program; RADPROF program; MEDSHIP18 program; ATLAS project; INTERREG Atlantic Area iFADO project; Ocean Carbon Biogeochemistry program; NERC(UK Research &amp; Innovation (UKRI)Natural Environment Research Council (NERC))</t>
  </si>
  <si>
    <t>E.F.G. was supported by a Personal Te ' cnico de Apoyo contract (PTA2016-12441-I) and N.M.F. was supported by a Juan de la Cierva postdoctoral contract (FJCI2015-24394), both from the Spanish Ministry of Science, Innovation and Universities and GAIN Grupo de Referencia Competitiva IN607A 2018/2 from Xunta de Galicia. M.I.G.-I. was supported by NOAA's Ocean A c i d i fi c a t i o n Program (OAP) v i a Award No. NA17OAR0170332, and by NERC's CUSTARD (Carbon Uptake and Seasonal Traits of Antarctic Remineralisation Depths) project NE/P021263/1. A.E.R.H. was supported via the 2018 NF-POGO Shipboard Fellowship. F.F.P. was supported by the BOCATS2 (PID2019-104279GB-C21/AEI/10.13039/501100011033) project funded by MCIN/AEI/10.13039/501100011033 and contributing to WATER:iOS CSIC PTI. M.A. was supported by IEO RADIALES, RADPROF, and MEDSHIP18 programs. The MEDWAVES cruise was funded under the ATLAS project (Grant Agreement No. 678760). The RADPROF (2020) cruise was funded under the INTERREG Atlantic Area iFADO project. Useful and related discussions were held at the Ocean Carbonate System Intercomparison Forum working group funded by the Ocean Carbon Biogeochemistry program.</t>
  </si>
  <si>
    <t>10.1021/acs.est.1c06083</t>
  </si>
  <si>
    <t>2J4QJ</t>
  </si>
  <si>
    <t>WOS:000815643300001</t>
  </si>
  <si>
    <t>Hendrycks, EA; De Broyer, C</t>
  </si>
  <si>
    <t>Hendrycks, Ed A.; De Broyer, Claude</t>
  </si>
  <si>
    <t>New deep-sea Atlantic and Antarctic species of Abyssorchomene De Broyer, 1984 (Amphipoda, Lysianassoidea, Uristidae) with a redescription of A. abyssorum (Stebbing, 1888)</t>
  </si>
  <si>
    <t>EUROPEAN JOURNAL OF TAXONOMY</t>
  </si>
  <si>
    <t>Amphipoda; Abyssorchomene; scavengers; abyssal; Atlantic; Southern Ocean</t>
  </si>
  <si>
    <t>SCAVENGING AMPHIPODS; INDIAN-OCEAN; SOUTHERN-OCEAN; CRUSTACEA; GENUS; NORTHEAST; BATHYAL; ASSEMBLAGES; CONSUMPTION; DIVERSITY</t>
  </si>
  <si>
    <t>During the Census of Marine Life Polarstern ANDEEP I-III and Meteor M79/1 DIVA -3 expeditions, autonomous baited trap systems were employed to sample the mobile, necrophagous amphipods from abyssal depths. Within DIVA-3 (July 10???August 26 2009), a free-fall baited trap was used successfully at three stations in the southwest Atlantic, once in the Argentine Basin and twice in the Brazilian Basin. A total of twenty-one stations were sampled by baited traps during the ANDEEP I-III (2002, 2005) cruises in the Southern Ocean. Trap sets recovered large numbers of scavenging lysianassoid and alicelloid amphipods, including specimens of the widespread and commonly considered cosmopolitan uristid species Abyssorchomene abyssorum (Stebbing, 1888). During examinations of these and other North Atlantic collections of A. abyssorum, two similar new species A. patriciae sp. nov. and A. shannonae sp. nov. were discovered. Important morphological characters which differentiate the two new species from their congeners are found in the shape of the head lobe, coxa 1, gnathopod 2, coxa 5, pereopod 7 basis and uropod 3 rami length. The new species are fully figured and an identification key is provided. Abyssorchomene abyssorum is redescribed and for the first time, the female is fully described and illustrated from new material. The Southern Ocean endemic A. scotianensis (Andres, 1983) is also described and illustrated from new collections to complement the original description.</t>
  </si>
  <si>
    <t>[Hendrycks, Ed A.] Canadian Museum Nat Res &amp; Collect, POB 3443,Stn D, Ottawa, ON K1P 6P4, Canada; [De Broyer, Claude] Royal Belgian Inst Nat Sci, Rue Vautier 29, B-1000 Brussels, Belgium</t>
  </si>
  <si>
    <t>Royal Belgian Institute of Natural Sciences</t>
  </si>
  <si>
    <t>Hendrycks, EA (corresponding author), Canadian Museum Nat Res &amp; Collect, POB 3443,Stn D, Ottawa, ON K1P 6P4, Canada.</t>
  </si>
  <si>
    <t>ehendrycks@nature.ca; cdebroyer@naturalsciences.be</t>
  </si>
  <si>
    <t>Alfred Sloan Foundation through the Census of Marine Life (CoML); CMN Research Advisory Committee grants</t>
  </si>
  <si>
    <t>There are a multitude of persons we would like to thank for providing specimens crucial for our study. A huge thank you goes to Captain Pahl, the officers and crew of the RV Meteor, Chief Scientist Pedro Martinez Arbizu (Forschungsinstitut Senckenberg, DZMB) and the scientific personnel of DIVA-3 for a very successful sampling expedition of which one of us (EH) was collecting baited trap material. The Alfred Sloan Foundation provided funding through the Census of Marine Life (CoML) and is gratefully thanked.; Study support over the years was given to the first author through CMN Research Advisory Committee grants and was highly appreciated. David Shale and Cedric d'Udekem d'Acoz provided an image of freshly collected Abyssorchomene patriciae sp. nov. and A. scotianensis, respectively (Figs 10, 18) and are gratefully acknowledged.</t>
  </si>
  <si>
    <t>MUSEUM NATL HISTOIRE NATURELLE</t>
  </si>
  <si>
    <t>PARIS</t>
  </si>
  <si>
    <t>SERVICE PUBLICATIONS SCIENTIFIQUES, 57 RUE CUVIER, 75005 PARIS, FRANCE</t>
  </si>
  <si>
    <t>2118-9773</t>
  </si>
  <si>
    <t>EUR J TAXON</t>
  </si>
  <si>
    <t>Eur. J. Taxon.</t>
  </si>
  <si>
    <t>10.5852/ejt.2022.825.1829</t>
  </si>
  <si>
    <t>Plant Sciences; Entomology; Zoology</t>
  </si>
  <si>
    <t>2I6OY</t>
  </si>
  <si>
    <t>WOS:000815096800001</t>
  </si>
  <si>
    <t>MACPHAIL, M; CARPENTER, R; HILL, R</t>
  </si>
  <si>
    <t>MACPHAIL, M. I. C. H. A. E. L.; CARPENTER, R. A. Y. M. O. N. D.; HILL, R. O. B. E. R. T.</t>
  </si>
  <si>
    <t>Formal recognition of extinct Antarctic polar forests as a distinct biome</t>
  </si>
  <si>
    <t>Antarctica; Austral Polar Forest Biome; conifer-Nothofagus-dominated vegetation; Mesozoic-early Cenozoic; polar forests; temperate rainforest</t>
  </si>
  <si>
    <t>SOUTHERN-HEMISPHERE CONIFERS; ALEXANDER ISLAND; LEAF; EVOLUTION; VEGETATION; MACROFOSSILS; GLACIATION; DIVERSITY; RESPONSES; DINOSAUR</t>
  </si>
  <si>
    <t>We conclude that the extinct polar forests of Antarctica deserve recognition as a distinct biome - the 'Austral Polar Forest Biome' - rather than being regarded as analogous to modern rainforest.</t>
  </si>
  <si>
    <t>[MACPHAIL, M. I. C. H. A. E. L.] Australian Natl Univ, Dept Archaeol &amp; Nat Hist, Coll Asia &amp; Pacif, Canberra, ACT 2601, Australia; [CARPENTER, R. A. Y. M. O. N. D.; HILL, R. O. B. E. R. T.] Univ Adelaide, Sch Biol Sci, Adelaide, SA 5005, Australia; [HILL, R. O. B. E. R. T.] Univ Adelaide, Dept Ecol &amp; Evolutionary Biol, Adelaide, SA 5005, Australia</t>
  </si>
  <si>
    <t>Australian National University; University of Adelaide; University of Adelaide</t>
  </si>
  <si>
    <t>MACPHAIL, M (corresponding author), Australian Natl Univ, Dept Archaeol &amp; Nat Hist, Coll Asia &amp; Pacif, Canberra, ACT 2601, Australia.</t>
  </si>
  <si>
    <t>mike.macphail@anu.edu.au</t>
  </si>
  <si>
    <t>Macphail, Michael/0000-0001-5639-4959; Hill, Robert/0000-0003-4564-4339</t>
  </si>
  <si>
    <t>S0954102022000190</t>
  </si>
  <si>
    <t>10.1017/S0954102022000190</t>
  </si>
  <si>
    <t>WOS:000813972900001</t>
  </si>
  <si>
    <t>Mills, KE; Armitage, D; Eurich, JG; Kleisner, KM; Pecl, GT; Tokunaga, K</t>
  </si>
  <si>
    <t>Mills, Katherine E.; Armitage, Derek; Eurich, Jacob G.; Kleisner, Kristin M.; Pecl, Gretta T.; Tokunaga, Kanae</t>
  </si>
  <si>
    <t>Co-production of knowledge and strategies to support climate resilient fisheries</t>
  </si>
  <si>
    <t>climate change; co-production; marine fisheries; Ocean Decade; resilience</t>
  </si>
  <si>
    <t>Knowledge co-production offers a promising approach to design effective and equitable pathways to reach development goals. Fisheries Strategies for Changing Oceans and Resilient Ecosystems by 2030 (FishSCORE), a United Nations Ocean Decade programme, will co-produce knowledge that advances solutions for climate resilient fisheries through networks and partnerships that include scientists, stakeholders, practitioners, managers, and policy experts. FishSCORE will establish (1) a global network that will develop broadly relevant information and tools to assess and operationalize climate resilience in marine fisheries and (2) local and regional partnerships that will apply those tools to identify and forward context-specific resilience strategies. FishSCORE's activities will be guided by a set of core principles that include commitments to inclusivity, equity, co-leadership, co-ownership, and reciprocity. FishSCORE will focus on identifying solutions for climate resilient fisheries, and it will also advance goals associated with capacity, power, and agency that will support iterative, pluralistic approaches to decision-making in fisheries experiencing ongoing climate-driven changes. This process of co-producing knowledge and strategies requires considerable investments of time from all partners, which is well aligned with the Ocean Decade. However, secure funding must be prioritized to support and implement co-production activities over this long time horizon.</t>
  </si>
  <si>
    <t>[Mills, Katherine E.; Tokunaga, Kanae] Gulf Maine Res Inst, 350 Commercial St, Portland, ME 04101 USA; [Armitage, Derek] Univ Waterloo, Sch Environm Resources &amp; Sustainabil, 20 Univ Ave W, Waterloo, ON N2L 3G1, Canada; [Eurich, Jacob G.] Environm Def Fund, Santa Barbara, CA 93106 USA; [Eurich, Jacob G.] Univ Calif Santa Barbara, Marine Sci Inst, Santa Barbara, CA 93106 USA; [Kleisner, Kristin M.] Environm Def Fund, 18 Tremont St Suite 850, Boston, MA 02108 USA; [Pecl, Gretta T.] Univ Tasmania, Ctr Marine Socioecol, Hobart, Tas 7005, Australia; [Pecl, Gretta T.] Univ Tasmania, Inst Marine &amp; Antarctic Studies, Hobart, Tas 7005, Australia</t>
  </si>
  <si>
    <t>Gulf of Maine Research Institute; University of Waterloo; University of California System; University of California Santa Barbara; Environmental Defense Fund; University of Tasmania; University of Tasmania</t>
  </si>
  <si>
    <t>Mills, KE (corresponding author), Gulf Maine Res Inst, 350 Commercial St, Portland, ME 04101 USA.</t>
  </si>
  <si>
    <t>kmills@gmri.org</t>
  </si>
  <si>
    <t>Eurich, Dr. Jacob G./K-8598-2019; Pecl, Gretta/D-7267-2011</t>
  </si>
  <si>
    <t>Eurich, Dr. Jacob G./0000-0003-1764-7524; Pecl, Gretta/0000-0003-0192-4339; Kleisner, Kristin/0000-0002-6918-1546; Tokunaga, Kanae/0000-0002-6171-5187; Mills, Katherine/0000-0001-6078-7747</t>
  </si>
  <si>
    <t>David and Lucile Packard Foundation [2018-68222]; Pew Marine Fellows program; Social Sciences and Humanities Research Council of Canada through the Vulnerability to Viability (V2V) Global Partnership for Small-Scale Fisheries; National Science Foundation [CNH 1826668]</t>
  </si>
  <si>
    <t>David and Lucile Packard Foundation(The David &amp; Lucile Packard Foundation); Pew Marine Fellows program; Social Sciences and Humanities Research Council of Canada through the Vulnerability to Viability (V2V) Global Partnership for Small-Scale Fisheries(Social Sciences and Humanities Research Council of Canada (SSHRC)); National Science Foundation(National Science Foundation (NSF))</t>
  </si>
  <si>
    <t>FishSCORE, a decadal programme endorsed by the United Nations Decade of Ocean Science for Sustainable Development, was first conceptualized by a Science for Nature and People Partnership (SNAPP) Climate Resilient Fisheries Working Group. SNAPP is a partnership of The Nature Conservancy and Wildlife Conservation Society. The SNAPP working group is part of a cohort of research funded by the generosity of the David and Lucile Packard Foundation Grant #2018-68222 to address the theme of Oceans, Climate, and Equity. The authors are grateful to the working group members and advisors for thoughtful discussion and support. We are also grateful for financial support from the Pew Marine Fellows program (to KEM), Social Sciences and Humanities Research Council of Canada through the Vulnerability to Viability (V2V) Global Partnership for Small-Scale Fisheries (to DA), and the National Science Foundation (CNH 1826668 to JGE). We thank Petri Tuohimaa for designing Figure 1. The manuscript benefited from editing and input from Meghan Fletcher and from comments provided by the editor.</t>
  </si>
  <si>
    <t>MAR 14</t>
  </si>
  <si>
    <t>10.1093/icesjms/fsac110</t>
  </si>
  <si>
    <t>9Z6UW</t>
  </si>
  <si>
    <t>WOS:000813307800001</t>
  </si>
  <si>
    <t>Keogan, K; Daunt, F; Wanless, S; Phillips, RA; Alvarez, D; Anker-Nilssen, T; Barrett, RT; Bech, C; Becker, PH; Berglund, PA; Bouwhuis, S; Burr, ZM; Chastel, O; Christensen-Dalsgaard, S; Descamps, S; Diamond, T; Elliott, K; Erikstad, KE; Harris, M; Hentati-Sundberg, J; Heubeck, M; Kress, SW; Langset, M; Lorentsen, SH; Major, HL; Mallory, M; Mellor, M; Miles, WTS; Moe, B; Mostello, C; Newell, M; Nisbet, I; Reiertsen, TK; Rock, J; Shannon, P; Varpe, O; Lewis, S; Phillimore, AB</t>
  </si>
  <si>
    <t>Keogan, Katharine; Daunt, Francis; Wanless, Sarah; Phillips, Richard A.; Alvarez, David; Anker-Nilssen, Tycho; Barrett, Robert T.; Bech, Claus; Becker, Peter H.; Berglund, Per-Arvid; Bouwhuis, Sandra; Burr, Zofia M.; Chastel, Olivier; Christensen-Dalsgaard, Signe; Descamps, Sebastien; Diamond, Tony; Elliott, Kyle; Erikstad, Kjell-Einar; Harris, Mike; Hentati-Sundberg, Jonas; Heubeck, Martin; Kress, Stephen W.; Langset, Magdalene; Lorentsen, Svein-Hakon; Major, Heather L.; Mallory, Mark; Mellor, Mick; Miles, Will T. S.; Moe, Borge; Mostello, Carolyn; Newell, Mark; Nisbet, Ian; Reiertsen, Tone Kirstin; Rock, Jennifer; Shannon, Paula; Varpe, Oystein; Lewis, Sue; Phillimore, Albert B.</t>
  </si>
  <si>
    <t>Variation and correlation in the timing of breeding of North Atlantic seabirds across multiple scales</t>
  </si>
  <si>
    <t>JOURNAL OF ANIMAL ECOLOGY</t>
  </si>
  <si>
    <t>breeding time; climate change; macroecology; multispecies; phenology</t>
  </si>
  <si>
    <t>CLIMATE-CHANGE; TRACKING REVEALS; OCEAN; PHENOLOGY; SUCCESS; TERNS; TIME; SEASONALITY; SENSITIVITY; PLASTICITY</t>
  </si>
  <si>
    <t>Timing of breeding, an important driver of fitness in many populations, is widely studied in the context of global change, yet despite considerable efforts to identify environmental drivers of seabird nesting phenology, for most populations we lack evidence of strong drivers. Here we adopt an alternative approach, examining the degree to which different populations positively covary in their annual phenology to infer whether phenological responses to environmental drivers are likely to be (a) shared across species at a range of spatial scales, (b) shared across populations of a species or (c) idiosyncratic to populations. We combined 51 long-term datasets on breeding phenology spanning 50 years from nine seabird species across 29 North Atlantic sites and examined the extent to which different populations share early versus late breeding seasons depending on a hierarchy of spatial scales comprising breeding site, small-scale region, large-scale region and the whole North Atlantic. In about a third of cases, we found laying dates of populations of different species sharing the same breeding site or small-scale breeding region were positively correlated, which is consistent with the hypothesis that they share phenological responses to the same environmental conditions. In comparison, we found no evidence for positive phenological covariation among populations across species aggregated at larger spatial scales. In general, we found little evidence for positive phenological covariation between populations of a single species, and in many instances the inter-year variation specific to a population was substantial, consistent with each population responding idiosyncratically to local environmental conditions. Black-legged kittiwake Rissa tridactyla was the exception, with populations exhibiting positive covariation in laying dates that decayed with the distance between breeding sites, suggesting that populations may be responding to a similar driver. Our approach sheds light on the potential factors that may drive phenology in our study species, thus furthering our understanding of the scales at which different seabirds interact with interannual variation in their environment. We also identify additional systems and phenological questions to which our inferential approach could be applied.</t>
  </si>
  <si>
    <t>[Keogan, Katharine; Lewis, Sue; Phillimore, Albert B.] Univ Edinburgh, Inst Evolutionary Biol, Ashworth Labs, Edinburgh, Midlothian, Scotland; [Daunt, Francis; Wanless, Sarah; Harris, Mike; Newell, Mark; Lewis, Sue] Ctr Ecol &amp; Hydrol, Penicuik, Midlothian, Scotland; [Phillips, Richard A.] NERC, British Antarctic Survey, Cambridge, England; [Alvarez, David] Univ Oviedo, Oviedo, Spain; [Anker-Nilssen, Tycho; Christensen-Dalsgaard, Signe; Langset, Magdalene; Lorentsen, Svein-Hakon; Moe, Borge] Norwegian Inst Nat Res NINA, Trondheim, Norway; [Barrett, Robert T.; Erikstad, Kjell-Einar; Reiertsen, Tone Kirstin] Tromso Univ Museum, Dept Nat Sci, Tromso, Norway; [Bech, Claus] Norwegian Univ Sci &amp; Technol, Dept Biol, Trondheim, Norway; [Becker, Peter H.; Bouwhuis, Sandra] Inst Avian Res, Wilhelmshaven, Germany; [Berglund, Per-Arvid] Baltic Seabird Project, Klintehamn, Sweden; [Burr, Zofia M.; Varpe, Oystein] Univ Ctr Svalbard, Dept Arctic Biol, Longyearbyen, Norway; [Chastel, Olivier] CNRS ULR, Ctr Etud Biol Chize, Villiers En Bois, France; [Descamps, Sebastien] Norwegian Polar Res Inst, High North Res Ctr Climate &amp; Environm, Tromso, Norway; [Diamond, Tony] Univ New Brunswick, Fredericton, NB, Canada; [Elliott, Kyle] McGill Univ, Dept Nat Resource Sci, Ste Anne De Bellevue, PQ, Canada; [Erikstad, Kjell-Einar; Reiertsen, Tone Kirstin] Norweglan Inst Nat Res NINA, Fram Ctr Tromso, Tromso, Norway; [Erikstad, Kjell-Einar] Norwegian Univ Sci &amp; Technol, Ctr Conservat Biol, Dept Biol, Trondheim, Norway; [Hentati-Sundberg, Jonas] Swedish Univ Agr Sci, Inst Marine Res, Dept Aquat Resources, Uppsala, Sweden; [Heubeck, Martin] Univ Aberdeen, Aberdeen Inst Coastal Sci &amp; Management, Aberdeen, Scotland; [Kress, Stephen W.; Shannon, Paula] Natl Audubon Soc, Seabird Inst, Bremen, ME USA; [Major, Heather L.] Univ New Brunswick, St John, NB, Canada; [Mallory, Mark] Acadia Univ, Biol, Wolfville, NS, Canada; [Mellor, Mick; Miles, Will T. S.] Univ St Andrews, SOETAG, Sch Biol, St Andrews, Fife, Scotland; [Mostello, Carolyn] Massachusetts Div Fisheries &amp; Wildlife, Westborough, MA USA; [Nisbet, Ian] ICT Nisbet &amp; Co, N Falmouth, MA USA; [Rock, Jennifer] Environm &amp; Climate Change Canada, Canadian Wildlife Serv, Sackville, NB, Canada; [Varpe, Oystein] Norwegian Inst Nat Res NINA, Bergen, Norway; [Varpe, Oystein] Univ Bergen, Dept Biol Sci, Bergen, Norway; [Lewis, Sue] Edinburgh Napier Univ, Edinburgh, Midlothian, Scotland</t>
  </si>
  <si>
    <t>University of Edinburgh; UK Centre for Ecology &amp; Hydrology (UKCEH); UK Research &amp; Innovation (UKRI); Natural Environment Research Council (NERC); NERC British Antarctic Survey; University of Oviedo; Norwegian Institute Nature Research; UiT The Arctic University of Tromso; Norwegian University of Science &amp; Technology (NTNU); University Centre Svalbard (UNIS); Centre National de la Recherche Scientifique (CNRS); Norwegian Polar Institute; University of New Brunswick; McGill University; Norwegian University of Science &amp; Technology (NTNU); Swedish University of Agricultural Sciences; University of Aberdeen; University of New Brunswick; Acadia University; University of St Andrews; Environment &amp; Climate Change Canada; Canadian Wildlife Service; Norwegian Institute Nature Research; University of Bergen; Edinburgh Napier University</t>
  </si>
  <si>
    <t>Phillimore, AB (corresponding author), Univ Edinburgh, Inst Evolutionary Biol, Ashworth Labs, Edinburgh, Midlothian, Scotland.</t>
  </si>
  <si>
    <t>albert.phillimore@ed.ac.uk</t>
  </si>
  <si>
    <t>Phillimore, Albert/B-8837-2009; Lewis, Sue/D-3380-2012; Mallory, Mark L/A-1952-2017; Anker-Nilssen, Tycho/AAB-7666-2022; Moe, Børge/P-2946-2015; Bouwhuis, Sandra/H-5270-2011; Alvarez, David/B-7472-2012; Hentati-Sundberg, Jonas/N-6535-2017; Bech, Claus/C-1086-2011; Daunt, Francis/K-6688-2012</t>
  </si>
  <si>
    <t>Phillimore, Albert/0000-0002-6553-1553; Lewis, Sue/0000-0003-3511-2259; Anker-Nilssen, Tycho/0000-0002-1030-5524; Bouwhuis, Sandra/0000-0003-4023-1578; Alvarez, David/0000-0002-2190-7950; Lorentsen, Svein-Hakon/0000-0002-7867-0034; Hentati-Sundberg, Jonas/0000-0002-3201-9262; Berglund, Per-Arvid/0000-0002-5378-9792; Major, Heather/0000-0002-7265-1289; Bech, Claus/0000-0002-0860-0663; Daunt, Francis/0000-0003-4638-3388</t>
  </si>
  <si>
    <t>French Polar Institute; Norwegian Polar Institute; Norwegian Environment Agency; Natural Resources Canada; Environment and Climate Change Canada; Natural Environment Research Council; NERC [NE/E012906/1] Funding Source: UKRI</t>
  </si>
  <si>
    <t>French Polar Institute; Norwegian Polar Institute; Norwegian Environment Agency; Natural Resources Canada(Natural Resources CanadaCanadian Forest Service); Environment and Climate Change Canada; Natural Environment Research Council(UK Research &amp; Innovation (UKRI)Natural Environment Research Council (NERC)); NERC(UK Research &amp; Innovation (UKRI)Natural Environment Research Council (NERC))</t>
  </si>
  <si>
    <t>French Polar Institute; Norwegian Polar Institute; Norwegian Environment Agency; Natural Resources Canada; Environment and Climate Change Canada; Natural Environment Research Council</t>
  </si>
  <si>
    <t>0021-8790</t>
  </si>
  <si>
    <t>1365-2656</t>
  </si>
  <si>
    <t>J ANIM ECOL</t>
  </si>
  <si>
    <t>J. Anim. Ecol.</t>
  </si>
  <si>
    <t>10.1111/1365-2656.13758</t>
  </si>
  <si>
    <t>Ecology; Zoology</t>
  </si>
  <si>
    <t>Environmental Sciences &amp; Ecology; Zoology</t>
  </si>
  <si>
    <t>4H7FX</t>
  </si>
  <si>
    <t>WOS:000813945100001</t>
  </si>
  <si>
    <t>Markle, BR; Steig, EJ</t>
  </si>
  <si>
    <t>Markle, Bradley R.; Steig, Eric J.</t>
  </si>
  <si>
    <t>Improving temperature reconstructions from ice-core water-isotope records</t>
  </si>
  <si>
    <t>EPICA DOME C; DEUTERIUM EXCESS; WEST ANTARCTICA; CLIMATE-CHANGE; SURFACE SNOW; STABLE-ISOTOPES; VARIABILITY; O-18; FRACTIONATION; PRECIPITATION</t>
  </si>
  <si>
    <t>Oxygen and hydrogen isotope ratios in polar precipitation are widely used as proxies for local temperature. In combination, oxygen and hydrogen isotope ratios also provide information on sea surface temperature at the oceanic moisture source locations where polar precipitation originates. Temperature reconstructions obtained from ice-core records generally rely on linear approximations of the relationships among local temperature, source temperature, and water-isotope values. However, there are important nonlinearities that significantly affect such reconstructions, particularly for source region temperatures. Here, we describe a relatively simple water-isotope distillation model and a novel temperature reconstruction method that accounts for these nonlinearities. Further, we examine in detail many of the parameters, assumptions, and uncertainties that underlie water-isotope distillation models and their influence on these temperature reconstructions. We provide new reconstructions of absolute surface temperature, condensation temperature, and source region evaporation temperature for all long Antarctic ice-core records for which the necessary data are available. These reconstructions differ from previous estimates due to both our new model and reconstruction technique, the influence of which is investigated directly. We also provide thorough uncertainty estimates for all temperature histories. Our reconstructions constrain the pattern and magnitude of polar amplification in the past and reveal asymmetries in the temperature histories of East and West Antarctica.</t>
  </si>
  <si>
    <t>[Markle, Bradley R.] Univ Colorado, Inst Arctic &amp; Alpine Res, Boulder, CO 80309 USA; [Markle, Bradley R.] Univ Colorado, Dept Geol Sci, Boulder, CO 80309 USA; [Markle, Bradley R.; Steig, Eric J.] Univ Washington, Dept Earth &amp; Space Sci, Seattle, WA 98195 USA</t>
  </si>
  <si>
    <t>University of Colorado System; University of Colorado Boulder; University of Colorado System; University of Colorado Boulder; University of Washington; University of Washington Seattle</t>
  </si>
  <si>
    <t>Markle, BR (corresponding author), Univ Colorado, Inst Arctic &amp; Alpine Res, Boulder, CO 80309 USA.;Markle, BR (corresponding author), Univ Colorado, Dept Geol Sci, Boulder, CO 80309 USA.;Markle, BR (corresponding author), Univ Washington, Dept Earth &amp; Space Sci, Seattle, WA 98195 USA.</t>
  </si>
  <si>
    <t>bradley.markle@colorado.edu</t>
  </si>
  <si>
    <t>Steig, Eric J/G-9088-2015</t>
  </si>
  <si>
    <t>Markle, Bradley/0000-0002-2282-6546</t>
  </si>
  <si>
    <t>National Science Foundation [1043092, 1141839, 1443105]</t>
  </si>
  <si>
    <t>This research has been supported by the National Science Foundation (grant nos. 1043092, 1141839, and 1443105).</t>
  </si>
  <si>
    <t>10.5194/cp-18-1321-2022</t>
  </si>
  <si>
    <t>2G2YK</t>
  </si>
  <si>
    <t>WOS:000813464200001</t>
  </si>
  <si>
    <t>Soutullo, A; Machado-Gaye, AL; Juri, E</t>
  </si>
  <si>
    <t>Soutullo, Alvaro; Machado-Gaye, Ana Laura; Juri, Eduardo</t>
  </si>
  <si>
    <t>Managing cumulative impacts and protected areas in Antarctica: what can we learn from the rest of the world?</t>
  </si>
  <si>
    <t>POLAR RESEARCH</t>
  </si>
  <si>
    <t>Adaptive management; Ardley Island; ecosystem management; environmental impact assessment; Fildes Peninsula; management plans</t>
  </si>
  <si>
    <t>ADAPTIVE MANAGEMENT</t>
  </si>
  <si>
    <t>For more than 20 years Antarctic Treaty Parties have been discussing how to appropriately manage cumulative impacts in the continent. Preventing cumu-lative impacts requires the fluent exchange of information to enable proper and timely assessment of, and response to, the impacts that result from multiple activities, undertaken by multiple stakeholders and supervised by different Parties. This is a particular challenge for the effective management of Antarctic Specially Protected Areas (ASPAs), as a lack of coordination may potentially put at risk the fulfillment of their conservation objectives. Here we suggest that incorporating lessons learnt from protected areas management elsewhere might improve the effectiveness of ASPAs and provide valuable experiences and insights on how to better manage cumulative impacts in the rest of the continent. Key concepts to incorporate in Antarctica???s environmental manage-ment toolbox include (1) the notion of adaptive management, which is a cor-nerstone of protected areas management effectiveness elsewhere, and (2) the need of empowering protected area managers, which are a key (but often miss-ing) element to ensure local compliance with management plans, co-ordinate on site activities, facilitate exchange of information, promote cooperation and manage conflicts.</t>
  </si>
  <si>
    <t>[Soutullo, Alvaro; Machado-Gaye, Ana Laura] Univ Republ, Eastern Reg Univ Ctr, Ave Cachimba del Rey S-N, Maldonado 20000, Uruguay; [Machado-Gaye, Ana Laura; Juri, Eduardo] Uruguayan Antarctic Inst, Montevideo, Uruguay</t>
  </si>
  <si>
    <t>Universidad de la Republica, Uruguay</t>
  </si>
  <si>
    <t>Soutullo, A (corresponding author), Univ Republ, Eastern Reg Univ Ctr, Ave Cachimba del Rey S-N, Maldonado 20000, Uruguay.</t>
  </si>
  <si>
    <t>a.soutullo@gmail.com</t>
  </si>
  <si>
    <t>Soutullo, Alvaro/0000-0002-3198-7878; MAchado Gaye, Ana Laura/0000-0002-1019-5062</t>
  </si>
  <si>
    <t>Ecos Sud Program [PU20B01/U20B03]; General Capacity Building Fund of the Commission for the Conservation of Antarctic Marine Living Resources; Agencia Nacional de Investigacion e Innovacion's (ANII) Clemente Estable Fund [FCE_1_2021_1_166587]; ANII National System of Researchers; Programa de Desarrollo de las Ciencias Basicas</t>
  </si>
  <si>
    <t>Ecos Sud Program; General Capacity Building Fund of the Commission for the Conservation of Antarctic Marine Living Resources; Agencia Nacional de Investigacion e Innovacion's (ANII) Clemente Estable Fund; ANII National System of Researchers; Programa de Desarrollo de las Ciencias Basicas</t>
  </si>
  <si>
    <t>This work was supported by the Ecos Sud Program (project PU20B01/U20B03), the General Capacity Building Fund of the Commission for the Conservation of Antarctic Marine Living Resources and the Agencia Nacional de Investigacion e Innovacion's (ANII) Clemente Estable Fund (project FCE_1_2021_1_166587). AS was supported by ANII National System of Researchers and Programa de Desarrollo de las Ciencias Basicas.</t>
  </si>
  <si>
    <t>OPEN ACADEMIA AB</t>
  </si>
  <si>
    <t>SPANGA</t>
  </si>
  <si>
    <t>STORMBYVAGEN 6, SPANGA, SE-163 55, SWEDEN</t>
  </si>
  <si>
    <t>0800-0395</t>
  </si>
  <si>
    <t>1751-8369</t>
  </si>
  <si>
    <t>POLAR RES-SWEDEN</t>
  </si>
  <si>
    <t>Polar Res.</t>
  </si>
  <si>
    <t>JUN 20</t>
  </si>
  <si>
    <t>10.33265/polar.v41.8432</t>
  </si>
  <si>
    <t>Ecology; Geosciences, Multidisciplinary; Oceanography</t>
  </si>
  <si>
    <t>Environmental Sciences &amp; Ecology; Geology; Oceanography</t>
  </si>
  <si>
    <t>2Z7SJ</t>
  </si>
  <si>
    <t>WOS:000826772500001</t>
  </si>
  <si>
    <t>Lukashanets, DA; Hihiniak, YH; Miamin, VY</t>
  </si>
  <si>
    <t>Lukashanets, Dzmitry A.; Hihiniak, Yury H.; Miamin, Vladislav Y.</t>
  </si>
  <si>
    <t>Extremely high abundances of Prasiola crispa-associated micrometazoans in East Antarctica</t>
  </si>
  <si>
    <t>Bdelloids; rotifers; tardigrades; algae; nematodes; Antarctic oases</t>
  </si>
  <si>
    <t>DRONNING-MAUD-LAND; VICTORIA LAND; LARSEMANN HILLS; DRY VALLEYS; ROSS ISLAND; TARDIGRADES; MICROFAUNA; ROTIFERS; INVERTEBRATES; DIVERSITY</t>
  </si>
  <si>
    <t>To elucidate poorly known aspects of the microscopic metazoan distribution in ice-free parts of the Antarctic, we examined samples of the multicellular terres-trial alga Prasiola crispa, collected over the last decade in different parts of con-tinental East Antarctica and Haswell Island. We found that the micrometazoans inhabiting the algae consist of remarkably abundant bdelloid rotifers (subclass Bdelloidea), followed by tardigrades. We did not find nematodes. The rotifer assemblages were characterized by low diversity (only six species). Nevertheless, rotifer densities were extremely high: mean densities ranged from 75 to 3030 individuals per 100 mg of the dry sample weight and the maximum value num-bered in excess of 8000 per 100 mg of the dry sample weight. These data show that terrestrial algae, along with mosses, are a very attractive habitat for rotifers and tardigrades in the Antarctic. The statistical analysis showed a lack of cor-relations between rotifer and tardigrade densities and nutrients (N, C, P, K and Na). Our findings are consistent with the patchy distribution of terrestrial micrometazoans in the Antarctic that has previously been found.</t>
  </si>
  <si>
    <t>[Lukashanets, Dzmitry A.] Klaipeda Univ, Marine Res Inst, Univ Ave 17, LT-92294 Klaipeda, Lithuania; [Lukashanets, Dzmitry A.] Polish Acad Sci, Inst Oceanol, Sopot, Poland; [Hihiniak, Yury H.; Miamin, Vladislav Y.] Natl Acad Sci Belarus, State Sci &amp; Pract Ctr Bioresources, Minsk, BELARUS; [Miamin, Vladislav Y.] Belarusian State Univ, Biol Fac, Minsk, BELARUS</t>
  </si>
  <si>
    <t>Klaipeda University; Polish Academy of Sciences; Institute of Oceanology of the Polish Academy of Sciences; National Academy of Sciences of Belarus (NASB); Belarusian State University</t>
  </si>
  <si>
    <t>Lukashanets, DA (corresponding author), Klaipeda Univ, Marine Res Inst, Univ Ave 17, LT-92294 Klaipeda, Lithuania.</t>
  </si>
  <si>
    <t>lukashanets.dima@gmail.com</t>
  </si>
  <si>
    <t>10.33265/polar.v41.7781</t>
  </si>
  <si>
    <t>2Z5EX</t>
  </si>
  <si>
    <t>WOS:000826602200001</t>
  </si>
  <si>
    <t>Cimen, H; Touray, M; Gulsen, SH; Hazir, S</t>
  </si>
  <si>
    <t>Cimen, Harun; Touray, Mustapha; Gulsen, Sebnem Hazal; Hazir, Selcuk</t>
  </si>
  <si>
    <t>Natural products from Photorhabdus and Xenorhabdus: mechanisms and impacts</t>
  </si>
  <si>
    <t>Bacterial secondary metabolites; Xenorhabdus; Photorhabdus; Entomopathogenic nematodes</t>
  </si>
  <si>
    <t>SPODOPTERA-EXIGUA LEPIDOPTERA; TRANS-CINNAMIC ACID; AEDES-AEGYPTI; ENTOMOPATHOGENIC BACTERIA; BACILLUS-THURINGIENSIS; SYMBIOTIC BACTERIA; INSECTICIDAL PROTEIN; ANTIFUNGAL ACTIVITY; CROP LOSSES; NEMATODES</t>
  </si>
  <si>
    <t>Insects and fungal pathogens pose constant problems to public health and agriculture, especially in resource-limited parts of the world; and the use of chemical pesticides continues to be the main methods for the control of these organisms. Photorhabdus spp. and Xenorhabdus spp., (Fam; Morganellaceae), enteric symbionts of Steinernema, and Heterorhabditis nematodes are naturally found in soil on all continents, except Antarctic, and on many islands throughout the world. These bacteria produce diverse secondary metabolites that have important biological and ecological functions. Secondary metabolites include non-ribosomal peptides, polyketides, and/or hybrid natural products that are synthesized using polyketide synthetase (PRS), non-ribosomal peptide synthetase (NRPS), or similar enzymes and are sources of new pesticide/drug compounds and/or can serve as lead molecules for the design and synthesize of new alternatives that could replace current ones. This review addresses the effects of these bacterial symbionts on insect pests, fungal phytopathogens, and animal pathogens and discusses the substances, mechanisms, and impacts on agriculture and public health.</t>
  </si>
  <si>
    <t>[Cimen, Harun; Touray, Mustapha; Gulsen, Sebnem Hazal; Hazir, Selcuk] Adnan Menderes Univ, Fac Arts &amp; Sci, Dept Biol, Aydin, Turkey</t>
  </si>
  <si>
    <t>Adnan Menderes University</t>
  </si>
  <si>
    <t>Cimen, H (corresponding author), Adnan Menderes Univ, Fac Arts &amp; Sci, Dept Biol, Aydin, Turkey.</t>
  </si>
  <si>
    <t>haruncimenn@gmail.com</t>
  </si>
  <si>
    <t>HAZIR, SELCUK/KGK-6236-2024; TOURAY, Mustapha/AAP-3193-2020</t>
  </si>
  <si>
    <t>HAZIR, SELCUK/0000-0001-9298-1472; TOURAY, Mustapha/0000-0002-9550-0782; GULSEN, Sebnem Hazal/0000-0001-6981-7025; Cimen, Harun/0000-0002-0106-4183</t>
  </si>
  <si>
    <t>10.1007/s00253-022-12023-9</t>
  </si>
  <si>
    <t>2S2JB</t>
  </si>
  <si>
    <t>WOS:000813677500002</t>
  </si>
  <si>
    <t>John, PM; Gireesh, R; Sanjeevan, VN; Gopinath, A</t>
  </si>
  <si>
    <t>John, Princy M.; Gireesh, R.; Sanjeevan, V. N.; Gopinath, Anu</t>
  </si>
  <si>
    <t>Distribution of Vanadium in the Surficial Sediments of Prydz Bay, Indian Sector of the Southern Ocean</t>
  </si>
  <si>
    <t>SOIL &amp; SEDIMENT CONTAMINATION</t>
  </si>
  <si>
    <t>Elemental composition; Prydz bay; total organic carbon; texture; vanadium</t>
  </si>
  <si>
    <t>TRACE-ELEMENTS; HEALTH-RISK; ROSS SEA; COASTAL; METALS; IMPACT; SOIL; BIOAVAILABILITY; TRANSLOCATION; CONTAMINATION</t>
  </si>
  <si>
    <t>The study was carried out in seven stations to assess concentration levels of Vanadium (V) in sediments of the Prydz Bay, Indian sector of the Southern Ocean during the austral summer season. Sediment analysis showed that V concentration on the eastern side was extensively higher than on the western side of Prydz Bay. A significant observation was the high concentration of V concentration in fine sediment fraction than in total metal fraction. Vanadium concentration level on the western side varied from 19.4 to 45.5 mg/kg while it was 40.9-65.8 mg/kg on the eastern side of Prydz Bay. The prevailing petroleum-related activities coupled with fuel combustion processes at various research stations in the Antarctic subcontinent and the influence of sea ice cover interaction could be the reason for the high V concentration on the eastern side of Prydz Bay. A significant spatial variation in textural characteristics, elemental composition, and total organic carbon was observed with high concentration levels of total organic carbon (TOC), total nitrogen (TN), and total hydrogen (TH) in the eastern part of Prydz Bay. The statistical analysis revealed a strong positive correlation of V concentration with governing factors at p &lt; .01 level.</t>
  </si>
  <si>
    <t>[John, Princy M.] Kerala Univ Fisheries &amp; Ocean Studies, Fac Ocean Sci &amp; Technol, Kochi, Kerala, India; [Gireesh, R.; Sanjeevan, V. N.] Kerala Univ Fisheries &amp; Ocean Studies, Ctr Aquat Resource Management &amp; Conservat, Kochi, Kerala, India; [Gopinath, Anu] Kerala Univ Fisheries &amp; Ocean Studies, Dept Aquat Environm Management, Kochi, Kerala, India</t>
  </si>
  <si>
    <t>Kerala University of Fisheries &amp; Ocean Studies; Kerala University of Fisheries &amp; Ocean Studies; Kerala University of Fisheries &amp; Ocean Studies</t>
  </si>
  <si>
    <t>Gopinath, A (corresponding author), Kerala Univ Fisheries &amp; Ocean Studies, Dept Aquat Environm Management, Kochi, Kerala, India.</t>
  </si>
  <si>
    <t>dranugopinath@gmail.com</t>
  </si>
  <si>
    <t>ministry of Earth Science (MoES), India</t>
  </si>
  <si>
    <t>Funding for this research is provided by the ministry of Earth Science (MoES), India.</t>
  </si>
  <si>
    <t>1532-0383</t>
  </si>
  <si>
    <t>1549-7887</t>
  </si>
  <si>
    <t>SOIL SEDIMENT CONTAM</t>
  </si>
  <si>
    <t>Soil. Sediment. Contam.</t>
  </si>
  <si>
    <t>MAY 19</t>
  </si>
  <si>
    <t>10.1080/15320383.2022.2090501</t>
  </si>
  <si>
    <t>C3NL7</t>
  </si>
  <si>
    <t>WOS:000813658600001</t>
  </si>
  <si>
    <t>Guyot, A; Protat, A; Alexander, SP; Klekociuk, AR; Kuma, P; McDonald, A</t>
  </si>
  <si>
    <t>Guyot, Adrien; Protat, Alain; Alexander, Simon P.; Klekociuk, Andrew R.; Kuma, Peter; McDonald, Adrian</t>
  </si>
  <si>
    <t>Detection of supercooled liquid water containing clouds with ceilometers: development and evaluation of deterministic and data-driven retrievals</t>
  </si>
  <si>
    <t>ATMOSPHERIC MEASUREMENT TECHNIQUES</t>
  </si>
  <si>
    <t>MIXED-PHASE CLOUDS; ANTARCTIC PENINSULA; DUMONT DURVILLE; ADELIE LAND; ICE; PRECIPITATION; MICROPHYSICS; SATELLITE; ALGORITHM; FORECAST</t>
  </si>
  <si>
    <t>Cloud and aerosol lidars measuring backscatter and depolarization ratio are the most suitable lidars to detect cloud phase (liquid, ice, or mixed phase). However, such instruments are not widely deployed as part of operational networks. In this study, we propose a new algorithm to detect supercooled liquid water containing clouds (SLCC) based on ceilometers measuring only co-polarization backscatter. We utilize observations collected at Davis, Antarctica, where low-level, mixed-phase clouds, including supercooled liquid water (SLW) droplets and ice crystals, remain poorly understood due to the paucity of ground-based observations. A 3-month set of observations were collected during the austral summer of November 2018 to February 2019, with a variety of instruments including a depolarization lidar and a W-band cloud radar which were used to build a two-dimensional cloud phase mask distinguishing SLW and mixed-phase clouds. This cloud phase mask is used as the reference to develop a new algorithm based on the observations of a single polarization ceilometer operating in the vicinity for the same period. Deterministic and data-driven retrieval approaches were evaluated: an extreme gradient boosting (XGBoost) framework ingesting backscatter average characteristics was the most effective method at reproducing the classification obtained with the combined radarlidar approach with an accuracy as high as 0.91. This study provides a new SLCC retrieval approach based on ceilometer data and highlights the considerable benefits of these instruments to provide intelligence on cloud phase in polar regions that usually suffer from a paucity of observations. Finally, the two algorithms were applied to a full year of ceilometer observations to retrieve cloud phase and frequency of occurrences of SLCC: SLCC was present 29 +/- 6 % of the time for T19 and 24 +/- 5 % of the time for G22-Davis over that annual cycle.</t>
  </si>
  <si>
    <t>[Guyot, Adrien; Protat, Alain] Australian Bur Meteorol, Melbourne, Vic, Australia; [Alexander, Simon P.; Klekociuk, Andrew R.] Australian Antarct Div, Kingston, Tas, Australia; [Kuma, Peter] Stockholm Univ, Dept Meteorol, Stockholm, Sweden; [McDonald, Adrian] Univ Canterbury, Sch Phys &amp; Chem Sci, Christchurch, New Zealand</t>
  </si>
  <si>
    <t>Bureau of Meteorology - Australia; Australian Antarctic Division; Stockholm University; University of Canterbury</t>
  </si>
  <si>
    <t>Guyot, A (corresponding author), Australian Bur Meteorol, Melbourne, Vic, Australia.</t>
  </si>
  <si>
    <t>adrien.guyot@bom.gov.au</t>
  </si>
  <si>
    <t>; Klekociuk, Andrew/A-4498-2015</t>
  </si>
  <si>
    <t>Alexander, Simon/0000-0001-6823-8857; Klekociuk, Andrew/0000-0003-3335-0034; Guyot, Adrien/0000-0002-3064-7986; Kuma, Peter/0000-0002-0910-8646</t>
  </si>
  <si>
    <t>Australian Antarctic Division [4292, 4387]</t>
  </si>
  <si>
    <t>This research has been supported by the Australian Antarctic Division (grant nos. 4292 and 4387).</t>
  </si>
  <si>
    <t>1867-1381</t>
  </si>
  <si>
    <t>1867-8548</t>
  </si>
  <si>
    <t>ATMOS MEAS TECH</t>
  </si>
  <si>
    <t>Atmos. Meas. Tech.</t>
  </si>
  <si>
    <t>10.5194/amt-15-3663-2022</t>
  </si>
  <si>
    <t>2F6SY</t>
  </si>
  <si>
    <t>WOS:000813038800001</t>
  </si>
  <si>
    <t>Wu, XD; Yue, FG; Wang, JC; Yu, XW; Liu, HW; Gu, WH; Han, MM; Li, J; Xie, ZQ</t>
  </si>
  <si>
    <t>Wu, Xudong; Yue, Fange; Wang, Jiancheng; Yu, Xiawei; Liu, Hongwei; Gu, Weihua; Han, Mingming; Li, Juan; Xie, Zhouqing</t>
  </si>
  <si>
    <t>Indoor air particles in research vessel from Shanghai to Antarctic: Characteristics, influencing factors, and potential controlling pathway</t>
  </si>
  <si>
    <t>JOURNAL OF ENVIRONMENTAL SCIENCES</t>
  </si>
  <si>
    <t>Indoor air; Ship; Influencing factor; Generalized additive model (GAM); Quantification; Controlling pathway</t>
  </si>
  <si>
    <t>PARTICULATE MATTER PM2.5; SIZE DISTRIBUTIONS; ABSORPTION PHOTOMETRY; OUTDOOR; RESUSPENSION; POLLUTION; CHINA</t>
  </si>
  <si>
    <t>Despite millions of seafarers and passengers staying on ships each year, few studies have been conducted on the indoor air quality inside ship hulls. In this study, we investigated the levels and size distribution of indoor particulate matter during two cruises of the research vessel Xuelong from Shanghai to Antarctica. The results showed that the particle size less than 2.5 mu m (PM 2.5 ), and particle size less than 10 mu m (PM 10 ) concentrations in different rooms of the ship widely varied. We observed high particulate matter (PM) levels in some of the rooms. The mass concentration distribution was dominated by 1-4 mu m particles, which may have been caused by the hygroscopic growth of fine particles. The dominant factors influencing PM concentrations were indoor temperature, relative humidity, and human activity. We quantified contributions of these factors to the levels of indoor particles using a generalized additive model. In clean rooms, the levels of indoor particles were controlled by temperature and relative humidity, whereas in polluted rooms, the levels of indoor particles were mainly influenced by temperature and human activity, which implied that controlling temperature and human activity would efficiently reduce the levels of indoor particles. (c) 2022 The Research Center for Eco-Environmental Sciences, Chinese Academy of Sciences. Published by Elsevier B.V.</t>
  </si>
  <si>
    <t>[Wu, Xudong; Yue, Fange; Wang, Jiancheng; Yu, Xiawei; Liu, Hongwei; Gu, Weihua; Xie, Zhouqing] Univ Sci &amp; Technol China, Dept Environm Sci &amp; Engn, Anhui Key Lab Polar Environm &amp; Global Change, Hefei 230026, Peoples R China; [Han, Mingming; Li, Juan] Univ Sci &amp; Technol China, Dept Anesthesiol, Affiliated Hosp 1, Hefei 230001, Peoples R China; [Xie, Zhouqing] Chinese Acad Sci, Ctr Excellence Urban Atmospher Environm, Inst Urban Environm, Xiamen 361021, Peoples R China</t>
  </si>
  <si>
    <t>Chinese Academy of Sciences; University of Science &amp; Technology of China, CAS; Chinese Academy of Sciences; University of Science &amp; Technology of China, CAS; Chinese Academy of Sciences; Institute of Urban Environment, CAS</t>
  </si>
  <si>
    <t>Xie, ZQ (corresponding author), Univ Sci &amp; Technol China, Dept Environm Sci &amp; Engn, Anhui Key Lab Polar Environm &amp; Global Change, Hefei 230026, Peoples R China.;Li, J (corresponding author), Univ Sci &amp; Technol China, Dept Anesthesiol, Affiliated Hosp 1, Hefei 230001, Peoples R China.;Xie, ZQ (corresponding author), Chinese Acad Sci, Ctr Excellence Urban Atmospher Environm, Inst Urban Environm, Xiamen 361021, Peoples R China.</t>
  </si>
  <si>
    <t>huamuzi1999@126.com; zqxie@ustc.edu.cn</t>
  </si>
  <si>
    <t>HAN, MINGMING/AAR-5381-2021; wu, xudong/KGL-1857-2024; wang, jian-cheng/AAR-3728-2021</t>
  </si>
  <si>
    <t>wang, jian-cheng/0000-0001-5325-4432</t>
  </si>
  <si>
    <t>National Natural Science Foundation of China [41941014, 41676173]; Ministry of Natural Resources of the People's Republic of China [IRASCC2020-2022, 01-01-02E]; China Arctic and Antarctic Administration</t>
  </si>
  <si>
    <t>National Natural Science Foundation of China(National Natural Science Foundation of China (NSFC)); Ministry of Natural Resources of the People's Republic of China; China Arctic and Antarctic Administration</t>
  </si>
  <si>
    <t>This study was supported by the National Natural Science Foundation of China (Nos. 41941014, 41676173), and the Ministry of Natural Resources of the People's Republic of China (No. IRASCC2020-2022-No.01-01-02E). The field work was supported by China Arctic and Antarctic Administration.</t>
  </si>
  <si>
    <t>1001-0742</t>
  </si>
  <si>
    <t>1878-7320</t>
  </si>
  <si>
    <t>J ENVIRON SCI</t>
  </si>
  <si>
    <t>J. Environ. Sci.</t>
  </si>
  <si>
    <t>10.1016/j.jes.2022.04.045</t>
  </si>
  <si>
    <t>3D2AG</t>
  </si>
  <si>
    <t>WOS:000829110500011</t>
  </si>
  <si>
    <t>Weygand, JM; Zesta, E; Kadokura, A; Oliveira, DM</t>
  </si>
  <si>
    <t>Weygand, James M.; Zesta, Eftyhia; Kadokura, Akira; Oliveira, Denny M.</t>
  </si>
  <si>
    <t>Investigation of the Differences in Onset Times for Magnetically Conjugate Magnetometers</t>
  </si>
  <si>
    <t>conjugacy; onset; magnetometer; auroral; ionosphere</t>
  </si>
  <si>
    <t>CONDUCTIVITY; DISRUPTION; SUBSTORMS; FLUX</t>
  </si>
  <si>
    <t>We have identified nearly 1,000 onsets using two pairs of hemispheric conjugate ground magnetometers where the onset is defined based on a sharp decline in the H component of the magnetic field at a ground magnetometer station. Specifically, we used the pair of stations at West Antarctica Ice Sheet Divide and Sanikiluaq, Canada; Syowa, Antarctica; and Tjornes, Iceland. While the onset time in the southern hemisphere is identified by eye, the value of the differences in the onset time between the northern and southern hemispheres is determined using cross covariance. We observe differences in the onset time between the two hemispheres as large as several minutes, but 53% of the events show no difference in the onset time. Using statistics, we show that the largest differences in onset time are associated with the summer and winter seasons and when the IMF By value is limited between 0.5 and 2.5 nT, which is the IMF By range when the local time difference between the northern and southern hemisphere foot points is the smallest. The results indicate that ionospheric conductivity associated with solar illumination plays a role in the differences in onset time between the northern and southern hemisphere when only non-zero differences in onset time are considered. We validate these results with two other less robust methods. The median value of the differences in onset time indicates that the onsets occur similar to 23 s earlier in the winter hemisphere than that in the summer hemisphere. It has been reported that the time difference between the start of the substorm in the magnetotail and the observed auroral break up (substorm auroral onset) in the ionosphere is 30 s to 2 min in the current disruption model and the near earth neutral line model, respectively. Our results may be of interest to those two models.</t>
  </si>
  <si>
    <t>[Weygand, James M.] Univ Calif Los Angeles, Dept Earth Planetary &amp; Space Sci, Los Angeles, CA 90095 USA; [Zesta, Eftyhia] NASA, Geospace Phys Lab, Goddard Space Right Ctr, Greenbelt, MD USA; [Kadokura, Akira] Natl Inst Polar Res, Tokyo, Japan; [Kadokura, Akira] Res Org Informat &amp; Syst, Joint Support Ctr Data Sci Res, Polar Environm Data Sci Ctr, Tokyo, Japan; [Kadokura, Akira] SOKENDAI, Dept Polar Sci, Grad Univ Adv Studies, Tokyo, Japan; [Oliveira, Denny M.] Univ Maryland, Goddard Planetary Heliophys Inst, Baltimore, MD USA; [Oliveira, Denny M.] NASA, Heliophys Sci Div, Goddard Space Flight Ctr, Greenbelt, MD USA</t>
  </si>
  <si>
    <t>University of California System; University of California Los Angeles; National Aeronautics &amp; Space Administration (NASA); Research Organization of Information &amp; Systems (ROIS); National Institute of Polar Research (NIPR) - Japan; Research Organization of Information &amp; Systems (ROIS); Graduate University for Advanced Studies - Japan; University System of Maryland; University of Maryland Baltimore; National Aeronautics &amp; Space Administration (NASA); NASA Goddard Space Flight Center</t>
  </si>
  <si>
    <t>Weygand, JM (corresponding author), Univ Calif Los Angeles, Dept Earth Planetary &amp; Space Sci, Los Angeles, CA 90095 USA.</t>
  </si>
  <si>
    <t>jweygand@igpp.ucla.edu</t>
  </si>
  <si>
    <t>Oliveira, Denny M/B-9818-2015</t>
  </si>
  <si>
    <t>Oliveira, Denny M/0000-0003-2078-7229</t>
  </si>
  <si>
    <t>NASA THEMIS contract [NAS502099]; NSF Antarctic Aeronomy and Astrophysics, Office of Polar Programs [ANT-1043621]; NSF Directorate of Atmospheric and Geosciences grant [1606014]; NASA HGI grant [80NSSC22K0756]; Grants-in-Aid for Scientific Research [22KK0049] Funding Source: KAKEN; Div Atmospheric &amp; Geospace Sciences; Directorate For Geosciences [1606014] Funding Source: National Science Foundation</t>
  </si>
  <si>
    <t>NASA THEMIS contract; NSF Antarctic Aeronomy and Astrophysics, Office of Polar Programs; NSF Directorate of Atmospheric and Geosciences grant(National Science Foundation (NSF)); NASA HGI grant; Grants-in-Aid for Scientific Research(Ministry of Education, Culture, Sports, Science and Technology, Japan (MEXT)Japan Society for the Promotion of ScienceGrants-in-Aid for Scientific Research (KAKENHI)); Div Atmospheric &amp; Geospace Sciences; Directorate For Geosciences(National Science Foundation (NSF)NSF - Directorate for Geosciences (GEO))</t>
  </si>
  <si>
    <t>This study was made possible by NASA THEMIS contract NAS502099 at UCLA; NSF Antarctic Aeronomy and Astrophysics, Office of Polar Programs grant ANT-1043621; and NSF Directorate of Atmospheric and Geosciences grant 1606014, and NASA HGI grant 80NSSC22K0756.</t>
  </si>
  <si>
    <t>JUN 17</t>
  </si>
  <si>
    <t>10.3389/fspas.2022.896199</t>
  </si>
  <si>
    <t>6R0EC</t>
  </si>
  <si>
    <t>WOS:000891979400001</t>
  </si>
  <si>
    <t>Liu, SH; Fang, S; Cong, BL; Li, TT; Yi, D; Zhang, ZH; Zhao, LL; Zhang, PY</t>
  </si>
  <si>
    <t>Liu, Shenghao; Fang, Shuo; Cong, Bailin; Li, Tingting; Yi, Dan; Zhang, Zhaohui; Zhao, Linlin; Zhang, Pengying</t>
  </si>
  <si>
    <t>The Antarctic Moss Pohlia nutans Genome Provides Insights Into the Evolution of Bryophytes and the Adaptation to Extreme Terrestrial Habitats</t>
  </si>
  <si>
    <t>whole-genome sequencing; gene-family expansions; Antarctic bryophyte; metabolomic profiling; flavonoid biosynthesis; UV-B radiation</t>
  </si>
  <si>
    <t>UV-B RADIATION; PHYSCOMITRELLA-PATENS; GENE; LAND; IDENTIFICATION; PREDICTION; CLASSIFICATION; EXPANSION; ALIGNMENT; ACCURATE</t>
  </si>
  <si>
    <t>The Antarctic continent has extreme natural environment and fragile ecosystem. Mosses are one of the dominant floras in the Antarctic continent. However, their genomic features and adaptation processes to extreme environments remain poorly understood. Here, we assembled the high-quality genome sequence of the Antarctic moss (Pohlia nutans) with 698.20 Mb and 22 chromosomes. We found that the high proportion of repeat sequences and a recent whole-genome duplication (WGD) contribute to the large size genome of P. nutans when compared to other bryophytes. The genome of P. nutans harbors the signatures of massive segmental gene duplications and large expansions of gene families, likely facilitating neofunctionalization. Genomic characteristics that may support the Antarctic lifestyle of this moss comprise expanded gene families involved in phenylpropanoid biosynthesis, unsaturated fatty acid biosynthesis, and plant hormone signal transduction. Additional contributions include the significant expansion and upregulation of several genes encoding DNA photolyase, antioxidant enzymes, flavonoid biosynthesis enzymes, possibly reflecting diverse adaptive strategies. Notably, integrated multi-omic analyses elucidate flavonoid biosynthesis may function as the reactive oxygen species detoxification under UV-B radiation. Our studies provide insight into the unique features of the Antarctic moss genome and their molecular responses to extreme terrestrial environments.</t>
  </si>
  <si>
    <t>[Liu, Shenghao; Fang, Shuo; Cong, Bailin; Li, Tingting; Yi, Dan; Zhang, Zhaohui; Zhao, Linlin] Minist Nat Resources, Key Lab Marine Ecoenvironm Sci &amp; Technol, Inst Oceanog 1, Qingdao, Peoples R China; [Liu, Shenghao; Cong, Bailin; Zhao, Linlin] Fuzhou Univ, Sch Adv Mfg, Jinjiang, Peoples R China; [Zhang, Pengying] Sch Life Sci, Natl Glycoengn Res Ctr, Qingdao, Peoples R China; [Zhang, Pengying] Shandong Univ, Qingdao, Peoples R China</t>
  </si>
  <si>
    <t>First Institute of Oceanography, Ministry of Natural Resources; Ministry of Natural Resources of the People's Republic of China; Fuzhou University; Shandong University</t>
  </si>
  <si>
    <t>Zhao, LL (corresponding author), Minist Nat Resources, Key Lab Marine Ecoenvironm Sci &amp; Technol, Inst Oceanog 1, Qingdao, Peoples R China.;Zhao, LL (corresponding author), Fuzhou Univ, Sch Adv Mfg, Jinjiang, Peoples R China.;Zhang, PY (corresponding author), Sch Life Sci, Natl Glycoengn Res Ctr, Qingdao, Peoples R China.</t>
  </si>
  <si>
    <t>zhaolinlin@fio.org.cn; zhangpy80@sdu.edu.cn</t>
  </si>
  <si>
    <t>Liu, Shenghao/ISU-3076-2023; L, J/JEF-9564-2023; zhang, ting/IYT-0642-2023; Ting, Zhang/KGM-5479-2024; Li, Tingting/HKE-0812-2023</t>
  </si>
  <si>
    <t>National Natural Science Foundation of China [41976225]; Central Public-Interest Scientific Institution Basal Research Foundation of China [GY0219Q05]; Development Project of Shandong Province [2019GSF107064]</t>
  </si>
  <si>
    <t>National Natural Science Foundation of China(National Natural Science Foundation of China (NSFC)); Central Public-Interest Scientific Institution Basal Research Foundation of China; Development Project of Shandong Province</t>
  </si>
  <si>
    <t>This research was funded by the National Natural Science Foundation of China, grant/award number: 41976225; the Central Public-Interest Scientific Institution Basal Research Foundation of China, grant/award number: GY0219Q05; and the Development Project of Shandong Province, grant/award number: 2019GSF107064.</t>
  </si>
  <si>
    <t>10.3389/fpls.2022.920138</t>
  </si>
  <si>
    <t>6J6GW</t>
  </si>
  <si>
    <t>WOS:000886920200001</t>
  </si>
  <si>
    <t>Shellock, RJ; Cvitanovic, C; Mackay, M; McKinnon, MC; Blythe, J; Kelly, R; van Putten, IE; Tuohy, P; Bailey, M; Begossi, A; Crona, B; Fakoya, KA; Ferreira, BP; Ferrer, AJG; Frangoudes, K; Gobin, J; Goh, HC; Haapasaari, P; Hardesty, BD; Häussermann, V; Hoareau, K; Hornidge, AK; Isaacs, M; Kraan, M; Li, YJ; Liu, M; Lopes, PFM; Mlakar, M; Morrison, TH; Oxenford, HA; Pecl, GT; Penca, J; Robinson, C; Selim, S; Skern-Mauritzen, M; Soejima, K; Soto, D; Spalding, AK; Vadrot, A; Vaidianu, N; Webber, M; Wisz, MS</t>
  </si>
  <si>
    <t>Shellock, Rebecca J.; Cvitanovic, Christopher; Mackay, Mary; McKinnon, Merryn C.; Blythe, Jessica; Kelly, Rachel; van Putten, Ingrid E.; Tuohy, Paris; Bailey, Megan; Begossi, Alpina; Crona, Beatrice; Fakoya, Kafayat A.; Ferreira, Beatrice P.; Ferrer, Alice J. G.; Frangoudes, Katia; Gobin, Judith; Goh, Hong Ching; Haapasaari, Paivi; Hardesty, Britta Denise; Haussermann, Vreni; Hoareau, Kelly; Hornidge, Anna-Katharina; Isaacs, Moenieba; Kraan, Marloes; Li, Yinji; Liu, Min; Lopes, Priscila F. M.; Mlakar, Marina; Morrison, Tiffany H.; Oxenford, Hazel A.; Pecl, Gretta T.; Penca, Jerneja; Robinson, Carol; Selim, Samiya; Skern-Mauritzen, Mette; Soejima, Kumi; Soto, Doris; Spalding, Ana K.; Vadrot, Alice; Vaidianu, Natasa; Webber, Mona; Wisz, Mary S.</t>
  </si>
  <si>
    <t>Breaking down barriers: The identification of actions to promote gender equality in interdisciplinary marine research institutions</t>
  </si>
  <si>
    <t>KNOWLEDGE EXCHANGE; WOMEN; SCIENCE; FEMALE; DIVERSITY; CHALLENGES; ACADEMICS; MENTORS; CLIMATE; COLLABORATION</t>
  </si>
  <si>
    <t>Interdisciplinary research is paramount to addressing ocean sustainability challenges in the 21st century. However, women leaders have been underrepresented in interdisciplinary marine research, and there is little guidance on how to achieve the conditions that will lead to an increased proportion of women scientists in positions of leadership. Here, we conduct in-depth qualitative research to explore the main barriers and enablers to women's leadership in an academic interdisciplinary marine research context. We found that interdisciplinarity can present unique and additional barriers to women leaders (e.g., complexity and lack of value attributed to interdisciplinary research) and are exacerbated by existing gender-specific issues that women experience (e.g., isolation and underrepresentation and stereotyping). Together these barriers overlap forming the glass obstacle course''-which is particularly challenging for women in minoritized groups. Here, we provide a list of concrete, ambitious, and actionable enablers that can promote and support women's leadership in academic interdisciplinary marine research.</t>
  </si>
  <si>
    <t>[Shellock, Rebecca J.; Cvitanovic, Christopher; McKinnon, Merryn C.; Tuohy, Paris] Australian Natl Univ, Australian Natl Ctr Publ Awareness Sci, Canberra, ACT, Australia; [Mackay, Mary; Kelly, Rachel; van Putten, Ingrid E.; Hardesty, Britta Denise; Pecl, Gretta T.] Univ Tasmania, Ctr Marine Socioecol, Hobart, Tas, Australia; [Mackay, Mary; Kelly, Rachel; van Putten, Ingrid E.; Hardesty, Britta Denise] CSIRO, CSIRO Oceans &amp; Atmosphere, Hobart, Tas 7001, Australia; [Blythe, Jessica] Brock Univ, Environm Sustainabil Res Ctr, St Catharines, ON, Canada; [Kelly, Rachel] Mem Univ, Future Ocean &amp; Coastal Infrastruct Consortium, St John, NL, Canada; [Bailey, Megan] Dalhousie Univ, Marine Affairs Program, Halifax, NS, Canada; [Begossi, Alpina] Univ Estadual Campinas, NEPA Nucleo Estudos &amp; Pesquisas Alimentacao, Av Albert Einstein 291, BR-13083852 Campinas, SP, Brazil; [Begossi, Alpina] Fisheries &amp; Food Inst FIFO, Rua Sousa Lima 16, BR-22081010 Rio De Janeiro, RJ, Brazil; [Begossi, Alpina] Univ Santa Cecilia, Grad Grp, 12 R Cesario Mota 08, BR-11045040 Santos, SP, Brazil; [Crona, Beatrice] Stockholm Univ, Stockholm Resilience Ctr, Stockholm, Sweden; [Crona, Beatrice] Royal Swedish Acad Sci, Beijer Inst Ecol Econ, Stockholm, Sweden; [Fakoya, Kafayat A.] Lagos State Univ, Lagos, Nigeria; [Ferreira, Beatrice P.] Univ Fed Pernambuco, Av Prof Moraes Rego S-N, BR-50670420 Recife, PE, Brazil; [Ferrer, Alice J. G.] Univ Philippines Visayas, Iloilo 5023, Philippines; [Frangoudes, Katia] Univ Brest, IUEM, AMURE, CNRS,Ifremer,UMR 6308, Plouzane, France; [Gobin, Judith] Univ West Indies, Dept Life Sci, St Augustine, Trinidad Tobago; [Goh, Hong Ching] Univ Malaya, Fac Built Environm, Dept Urban &amp; Reg Planning, Kuala Lumpur, Malaysia; [Haapasaari, Paivi] Univ Helsinki, Fac Biol &amp; Environm Sci, Ecosyst &amp; Environm Res Programme, Helsinki, Finland; [Haapasaari, Paivi] Univ Lapland, Fac Law, Rovaniemi, Finland; [Haussermann, Vreni] Pontificia Univ Catolica Valparaiso, Fac Recursos Nat, Escuela Ciencias Mar, Valparaiso, Chile; [Hoareau, Kelly] Univ Seychelles, Univ Seychelles James Michel Blue Econ Res Inst, Anse Royale, Seychelles; [Hornidge, Anna-Katharina] Univ Bonn, German Dev Inst, Deutsch Inst Entwicklungspolit DIE, Bonn, Germany; [Hornidge, Anna-Katharina] Univ Bonn, Inst Polit Sci &amp; Sociol, Bonn, Germany; [Isaacs, Moenieba] Univ Western Cape, Inst Poverty Land &amp; Agr Studies PLAAS, Cape Town, South Africa; [Kraan, Marloes] Wageningen Univ &amp; Res, Wageningen Econ Res, The Hague, Netherlands; [Kraan, Marloes] Wageningen Univ &amp; Res, Environm Policy Grp, Hollandseweg 1, NL-6706 KN Wageningen, Netherlands; [Li, Yinji] Tokai Univ, Sch Marine Sci &amp; Technol, Shimizu Ku, 3-20-1 Orido, Shizuoka, Japan; [Liu, Min] Xiamen Univ, State Key Lab Marine Environm Sci, Xiamen, Peoples R China; [Liu, Min] Xiamen Univ, Coll Ocean &amp; Earth Sci, Xiamen, Peoples R China; [Lopes, Priscila F. M.] Univ Fed Rio Grande do Norte, Dept Ecol, Fishing Ecol Management &amp; Econ Grp, Natal, RN, Brazil; [Mlakar, Marina] Rudjer Boskovic Inst, Div Marine &amp; Environm Res, Bijenicka 54, Zagreb 10000, Croatia; [Morrison, Tiffany H.] James Cook Univ, ARC Ctr Excellence Coral Reef Studies, Townsville, Qld, Australia; [Oxenford, Hazel A.] Univ West Indies, Ctr Resource Management &amp; Environm Studies CERMES, Cave Hill Campus, BB-11000 Wanstead, Barbados; [Pecl, Gretta T.] Univ Tasmania, Inst Marine &amp; Antarctic Studies, Private Bag 49, Hobart, Tas 7001, Australia; [Penca, Jerneja] Euro Mediterranean Univ EMUNI, Kidricevo Nabrezjen 2, Piran 6630, Slovenia; [Robinson, Carol] Univ East Anglia, Ctr Ocean &amp; Atmospher Sci, Sch Environm Sci, Norwich, Norfolk, England; [Selim, Samiya] Leibniz Ctr Trop Marine Res ZMT, Social Sci Dept, Social Ecol Syst Anal, Bremen, Germany; [Selim, Samiya] Univ Liberal Arts Bangladesh ULAB, Ctr Sustainable Dev, Dhaka, Bangladesh; [Skern-Mauritzen, Mette] Inst Marine Res, POB 1870 Nordnes, N-5817 Bergen, Norway; [Soejima, Kumi] Setsunan Univ, Fac Agr, Dept Agrifood Business, Osaka, Japan; [Soto, Doris] Interdisciplinary Ctr Aquaculture Res INCAR, Puerto Montt, Chile; [Spalding, Ana K.] Oregon State Univ, Sch Publ Policy, Corvallis, OR 97331 USA; [Spalding, Ana K.] Smithsonian Trop Res Inst, Panama City, Panama; [Spalding, Ana K.] Coiba Res Stn COIBA AIP, Panama City, Panama; [Vadrot, Alice] Univ Vienna, Dept Polit Sci, Kolingasse 14-16, Vienna, Austria; [Vaidianu, Natasa] Ovidius Univ Constanta, Fac Nat Sci &amp; Agr Sci, Constanta, Romania; [Vaidianu, Natasa] Univ Bucharest, Interdisciplinary Ctr Adv Res Terr Dynam, Bucharest, Romania; [Webber, Mona] Univ West Indies, Ctr Marine Sci, Jamaica, NY USA; [Wisz, Mary S.] World Maritime Univ, Malmo, Sweden; [Wisz, Mary S.] World Maritime Univ, Sasakawa Global Ocean Inst, Malmo, Sweden</t>
  </si>
  <si>
    <t>Australian National University; University of Tasmania; Commonwealth Scientific &amp; Industrial Research Organisation (CSIRO); Brock University; Memorial University Newfoundland; Dalhousie University; Universidade Estadual de Campinas; Universidade Santa Cecilia; Stockholm University; Royal Swedish Academy of Sciences; Beijer Institute of Ecological Economics; Lagos State University; Universidade Federal de Pernambuco; University of the Philippines System; University of the Philippines Visayas; Universite de Bretagne Occidentale; Institut Universitaire Europeen de la Mer (IUEM); Centre National de la Recherche Scientifique (CNRS); CNRS - Institute of Ecology &amp; Environment (INEE); Ifremer; University West Indies Mona Jamaica; University West Indies Saint Augustine; Universiti Malaya; University of Helsinki; University of Lapland; Pontificia Universidad Catolica de Valparaiso; University of Bonn; Deutsches Institut Entwicklungspolitik (DIE); University of Bonn; University of the Western Cape; Wageningen University &amp; Research; Wageningen University &amp; Research; Tokai University; Xiamen University; Xiamen University; Universidade Federal do Rio Grande do Norte; Rudjer Boskovic Institute; James Cook University; University West Indies Mona Jamaica; University West Indies Cave Hill Campus; University of Tasmania; University of East Anglia; Leibniz Zentrum fur Marine Tropenforschung (ZMT); Institute of Marine Research - Norway; Setsunan University; Oregon State University; Smithsonian Institution; Smithsonian Tropical Research Institute; University of Vienna; Ovidius University; University of Bucharest</t>
  </si>
  <si>
    <t>Shellock, RJ (corresponding author), Australian Natl Univ, Australian Natl Ctr Publ Awareness Sci, Canberra, ACT, Australia.</t>
  </si>
  <si>
    <t>rebecca.shellock@anu.edu.au</t>
  </si>
  <si>
    <t>Hardesty, Britta Denise/A-3189-2011; GOH, HONG CHING/B-8546-2010; Wisz, Mary S/J-7826-2013; Fakoya, Kafayat/KEJ-0741-2024; Ferreira, Beatrice P/A-5786-2013; Pecl, Gretta/D-7267-2011; Lopes, Priscila/H-2028-2012; Fakoya, Kafayat/ABD-6470-2020; Crona, Beatrice/HHZ-3183-2022; McKinnon, Merryn/AAV-2011-2021; Vadrot, Alice BM/O-7789-2017; Robinson, Carol/F-7649-2011; Morrison, Tiffany/D-4460-2012; Holder, Alvin/B-6329-2016</t>
  </si>
  <si>
    <t>GOH, HONG CHING/0000-0002-9250-2205; Pecl, Gretta/0000-0003-0192-4339; Lopes, Priscila/0000-0002-6774-5117; Crona, Beatrice/0000-0003-1617-4067; McKinnon, Merryn/0000-0003-4808-0380; Haapasaari, Paivi/0000-0001-9342-5195; Selim, Samiya/0000-0002-3916-215X; Shellock, Rebecca/0000-0002-0434-3516; Vadrot, Alice BM/0000-0002-6043-9846; Robinson, Carol/0000-0003-3033-4565; Ferrer, Alice Joan/0000-0002-2294-1835; Morrison, Tiffany/0000-0001-5433-037X; Haussermann, Verena Susanne/0000-0001-9630-7477; Holder, Alvin/0000-0001-9618-5297; Skern-Mauritzen, Mette/0000-0002-3609-2870; Kraan, Marloes/0000-0003-4189-746X</t>
  </si>
  <si>
    <t>CNPq [301592/2017-9, 301515/2019-0]; European Research Council-ERC [804599 -538 MARIPOLDATA -ERC-2018STG]; United Kingdom Research and Innovation (UKRI) [NE/P021107/1]; Universiti Malaya [IF052-2017]; Norwegian Research Council [288192]; Romanian Ministry of Education and Research, CNCS -UEFISCDI, within PNCDI III [PN-III-P1-1.1-TE-2019-1444]; project T4BS [EASME/EMFF/2019/863621]; European Union [639 862428]; NERC [NE/P021107/2, NE/P021107/1, NE/S008950/1] Funding Source: UKRI</t>
  </si>
  <si>
    <t>CNPq(Conselho Nacional de Desenvolvimento Cientifico e Tecnologico (CNPQ)); European Research Council-ERC(European Research Council (ERC)Spanish Government); United Kingdom Research and Innovation (UKRI)(UK Research &amp; Innovation (UKRI)); Universiti Malaya(Universiti Malaya); Norwegian Research Council(Research Council of Norway); Romanian Ministry of Education and Research, CNCS -UEFISCDI, within PNCDI III(Consiliul National al Cercetarii Stiintifice (CNCS)Unitatea Executiva pentru Finantarea Invatamantului Superior, a Cercetarii, Dezvoltarii si Inovarii (UEFISCDI)); project T4BS; European Union(European Union (EU)); NERC(UK Research &amp; Innovation (UKRI)Natural Environment Research Council (NERC))</t>
  </si>
  <si>
    <t>We thank Katherine Maltby, Sara Mynott, and Natasha Simmonds for providing feedback on and piloting the interview guide. We also thank S.A. McCormack (Visual Knowledge) for the development of Figures 1 and 2. We also thank the three anonymous reviewers for their comments that helped to improve the paper. A.B. (301592/2017-9) and P.F.M.L. (301515/2019-0) thank CNPq for a productivity grant. A.V. is funded by the European Research Council-ERC (grant agreement no. 804599 -538 MARIPOLDATA -ERC-2018STG). G.H.C. would like to acknowledge the support by funding in part from the Global Challenges Research Fund (GCRF) via the United Kingdom Research and Innovation (UKRI) under grant agreement NE/P021107/1 to the Blue Communities project, which is partially hosted by the Universiti Malaya under reference no. IF052-2017. M.S.-M. acknowledges support from the Norwegian Research Council, grant no. 288192 (BarentsRISK). N.V. was supported by a grant of the Romanian Ministry of Education and Research, CNCS -UEFISCDI, project no. PN-III-P1-1.1-TE-2019-1444, within PNCDI III and the project T4BS (grant no. EASME/EMFF/2019/863621). M.S.W. acknowledges the MISSION ATLANTIC project funded by the European Union's Horizon 2020 Research and Innovation Program under grant agreement no. 639 862428.</t>
  </si>
  <si>
    <t>10.1016/j.oneear.2022.05.006</t>
  </si>
  <si>
    <t>3N9TA</t>
  </si>
  <si>
    <t>WOS:000836485600018</t>
  </si>
  <si>
    <t>Johnston, NM; Murphy, EJ; Atkinson, A; Constable, AJ; Cotte, C; Cox, M; Daly, KL; Driscoll, R; Flores, H; Halfter, S; Henschke, N; Hill, SL; Höfer, J; Hunt, BPV; Kawaguchi, S; Lindsay, D; Liszka, C; Loeb, V; Manno, C; Meyer, B; Pakhomov, EA; Pinkerton, MH; Reiss, CS; Richerson, K; Smith, WO; Steinberg, DK; Swadling, KM; Tarling, GA; Thorpe, SE; Veytia, D; Ward, P; Weldrick, CK; Yang, G</t>
  </si>
  <si>
    <t>Johnston, Nadine M.; Murphy, Eugene J.; Atkinson, Angus; Constable, Andrew J.; Cotte, Cedric; Cox, Martin; Daly, Kendra L.; Driscoll, Ryan; Flores, Hauke; Halfter, Svenja; Henschke, Natasha; Hill, Simeon L.; Hoefer, Juan; Hunt, Brian P. V.; Kawaguchi, So; Lindsay, Dhugal; Liszka, Cecilia; Loeb, Valerie; Manno, Clara; Meyer, Bettina; Pakhomov, Evgeny A.; Pinkerton, Matthew H.; Reiss, Christian S.; Richerson, Kate; Smith, Walker O., Jr.; Steinberg, Deborah K.; Swadling, Kerrie M.; Tarling, Geraint A.; Thorpe, Sally E.; Veytia, Devi; Ward, Peter; Weldrick, Christine K.; Yang, Guang</t>
  </si>
  <si>
    <t>Status, Change, and Futures of Zooplankton in the Southern Ocean</t>
  </si>
  <si>
    <t>zooplankton; ecosystems; Southern Ocean; global change; projections; ecosystem services; management; conservation</t>
  </si>
  <si>
    <t>KRILL EUPHAUSIA-SUPERBA; PTEROPOD LIMACINA-HELICINA; CONTINUOUS PLANKTON RECORDER; TERRA-NOVA BAY; MESOZOOPLANKTON COMMUNITY STRUCTURE; EAST ANTARCTICA 80-150-DEGREES-E; THYSANOESSA-MACRURA EUPHAUSIACEA; TEMPERATURE-DEPENDENT GROWTH; TUNICATE SALPA-THOMPSONI; CLIMATE-CHANGE IMPACTS</t>
  </si>
  <si>
    <t>In the Southern Ocean, several zooplankton taxonomic groups, euphausiids, copepods, salps and pteropods, are notable because of their biomass and abundance and their roles in maintaining food webs and ecosystem structure and function, including the provision of globally important ecosystem services. These groups are consumers of microbes, primary and secondary producers, and are prey for fishes, cephalopods, seabirds, and marine mammals. In providing the link between microbes, primary production, and higher trophic levels these taxa influence energy flows, biological production and biomass, biogeochemical cycles, carbon flux and food web interactions thereby modulating the structure and functioning of ecosystems. Additionally, Antarctic krill (Euphausia superba) and various fish species are harvested by international fisheries. Global and local drivers of change are expected to affect the dynamics of key zooplankton species, which may have potentially profound and wide-ranging implications for Southern Ocean ecosystems and the services they provide. Here we assess the current understanding of the dominant metazoan zooplankton within the Southern Ocean, including Antarctic krill and other key euphausiid, copepod, salp and pteropod species. We provide a systematic overview of observed and potential future responses of these taxa to a changing Southern Ocean and the functional relationships by which drivers may impact them. To support future ecosystem assessments and conservation and management strategies, we also identify priorities for Southern Ocean zooplankton research.</t>
  </si>
  <si>
    <t>[Johnston, Nadine M.; Murphy, Eugene J.; Hill, Simeon L.; Liszka, Cecilia; Manno, Clara; Tarling, Geraint A.; Thorpe, Sally E.; Ward, Peter] British Antarctic Survey, Nat Environm Res Council, Cambridge, England; [Atkinson, Angus] Plymouth Marine Lab, Plymouth, Devon, England; [Constable, Andrew J.; Cox, Martin; Kawaguchi, So] Australian Antarctic Div, Hobart, Tas, Australia; [Constable, Andrew J.] Univ Tasmania, Ctr Marine Socioecol, Hobart, Tas, Australia; [Cotte, Cedric] Sorbonne Univ, CNRS, IRD, MHN,Lab Oceanog Climat Expt &amp; Approaches Numeriqu, Paris, France; [Daly, Kendra L.] Univ S Florida, Coll Marine Sci, St Petersburg, FL USA; [Driscoll, Ryan; Flores, Hauke] Helmholtz Ctr Polar &amp; Marine Res, Alfred Wegener Inst Polar &amp; Marine Res, Bremerhaven, Germany; [Halfter, Svenja] Univ Tasmania, Inst Marine &amp; Antarctic Studies, Hobart, Tas, Australia; [Henschke, Natasha; Hunt, Brian P. V.; Pakhomov, Evgeny A.] Univ British Columbia, Dept Earth Ocean &amp; Atmospher Sci, Vancouver, BC, Canada; [Hoefer, Juan] Pontificia Univ Catolica Valparaiso, Escuela Ciencias Mar, Valparaiso, Chile; [Hoefer, Juan] Ctr Invest Dinam Ecosistemas Marinos Altas Latitu, Valdivia, Chile; [Hunt, Brian P. V.; Pakhomov, Evgeny A.] Hakai Inst, Heriot Bay, BC, Canada; [Hunt, Brian P. V.; Pakhomov, Evgeny A.] Univ British Columbia, Inst Oceans &amp; Fisheries, Vancouver, BC, Canada; [Lindsay, Dhugal] Japan Agcy Marine Earth Sci &amp; Technol, Inst Extra Cutting Edge Sci &amp; Technol Avant Garde, Yokosuka, Japan; [Loeb, Valerie] Calif State Univ Moss Landing, Moss Landing Marine Labs, Moss Landing, CA USA; [Meyer, Bettina] Carl von Ossietzky Univ Oldenburg, Inst Chem &amp; Biol Marine Environm, Oldenburg, Germany; [Meyer, Bettina] Carl von Ossietzky Univ Oldenburg, Helmholtz Inst Funct Marine Biodivers HIFMB, Oldenburg, Germany; [Pinkerton, Matthew H.] Natl Inst Water &amp; Atmospher Res Ltd, Wellington, New Zealand; [Reiss, Christian S.] South West Fisheries Ctr, Natl Ocean &amp; Atmospher Adm Fisheries, Antarctic Ecosyst Res Div, La Jolla, CA USA; [Richerson, Kate] Natl Ocean &amp; Atmospher Adm, Fishery Resource Anal &amp; Monitoring Div, Northwest Fisheries Sci Ctr, Natl Marine Fisheries Serv, Newport, OR USA; [Smith, Walker O., Jr.; Steinberg, Deborah K.] William &amp; Mary, Virginia Inst Marine Sci, Gloucester Point, VA USA; [Smith, Walker O., Jr.] Shanghai Jiao Tong Univ, Sch Oceanog, Shanghai, Peoples R China; [Swadling, Kerrie M.; Weldrick, Christine K.] Univ Tasmania, Australian Antarct Program Partnership, Inst Marine &amp; Antarctic Studies, Hobart, Tas, Australia; [Veytia, Devi] Univ Tasmania, Inst Marine Antarctic Studies, Hobart, Tas, Australia; [Yang, Guang] Chinese Acad Sci, Inst Oceanol, Qingdao, Peoples R China</t>
  </si>
  <si>
    <t>UK Research &amp; Innovation (UKRI); Natural Environment Research Council (NERC); NERC British Antarctic Survey; Plymouth Marine Laboratory; Australian Antarctic Division; University of Tasmania; Sorbonne Universite; Institut de Recherche pour le Developpement (IRD); Centre National de la Recherche Scientifique (CNRS); State University System of Florida; University of South Florida; Helmholtz Association; Alfred Wegener Institute, Helmholtz Centre for Polar &amp; Marine Research; University of Tasmania; University of British Columbia; Pontificia Universidad Catolica de Valparaiso; Hakai Institute; University of British Columbia; Japan Agency for Marine-Earth Science &amp; Technology (JAMSTEC); Moss Landing Marine Laboratories; Carl von Ossietzky Universitat Oldenburg; Carl von Ossietzky Universitat Oldenburg; National Institute of Water &amp; Atmospheric Research (NIWA) - New Zealand; National Oceanic Atmospheric Admin (NOAA) - USA; National Oceanic Atmospheric Admin (NOAA) - USA; National Aeronautics &amp; Space Administration (NASA); William &amp; Mary; Virginia Institute of Marine Science; Shanghai Jiao Tong University; University of Tasmania; University of Tasmania; Chinese Academy of Sciences; Institute of Oceanology, CAS</t>
  </si>
  <si>
    <t>Johnston, NM (corresponding author), British Antarctic Survey, Nat Environm Res Council, Cambridge, England.</t>
  </si>
  <si>
    <t>nmj@bas.ac.uk</t>
  </si>
  <si>
    <t>Halfter, Svenja/AGW-5810-2022; Atkinson, Angus/HOH-3417-2023; Cotte, Cedric/C-3296-2013; murphy, eugene/GZL-1620-2022; Simeon, Hill L/B-2307-2008; Weldrick, Christine/N-2617-2017</t>
  </si>
  <si>
    <t>Halfter, Svenja/0000-0002-0480-0350; Johnston, Nadine M/0000-0003-2211-1492; Weldrick, Christine/0000-0003-1099-438X; Hofer, Juan/0000-0002-5887-4929; Steinberg, Deborah K./0000-0001-9884-4655; Liszka, Cecilia/0000-0003-1309-4045</t>
  </si>
  <si>
    <t>UKRI Natural Environment Research Council (NERC) through the British Antarctic Survey (BAS) ALI-Science Southern Ocean ecosystems project of the BAS Ecosystems Team; European Union Horizon 2020 Research and Innovation Programme project PolarRES [101003590]; FONDECYT [3180152]; ANID [FONDAP-IDEAL 15150003]; ICED; NIWA SSIF Programme 4, MBIE [C01X1710, ANTA1801]; Fisheries New Zealand project [ZBD2018-01]; WWF</t>
  </si>
  <si>
    <t>UKRI Natural Environment Research Council (NERC) through the British Antarctic Survey (BAS) ALI-Science Southern Ocean ecosystems project of the BAS Ecosystems Team; European Union Horizon 2020 Research and Innovation Programme project PolarRES; FONDECYT(Comision Nacional de Investigacion Cientifica y Tecnologica (CONICYT)CONICYT FONDECYT); ANID; ICED; NIWA SSIF Programme 4, MBIE(New Zealand Ministry of Business, Innovation and Employment (MBIE)); Fisheries New Zealand project; WWF</t>
  </si>
  <si>
    <t>NMJ and EJM were supported by the UKRI Natural Environment Research Council (NERC) through the British Antarctic Survey (BAS) ALI-Science Southern Ocean ecosystems project of the BAS Ecosystems Team. NMJ was also supported by the European Union Horizon 2020 Research and Innovation Programme project PolarRES (under Grant agreement no. 101003590). JH was funded by ANID (FONDAP-IDEAL 15150003) and FONDECYT (Postdoctorado 3180152) and his attendance at the MEASO Workshop in Woking, United Kingdom was supported by ICED. MHP was funded by NIWA SSIF Programme 4, MBIE (Ross-RAMP, C01X1710; ASP, ANTA1801), and Fisheries New Zealand project ZBD2018-01. AA and SLH's contributions were funded by WWF.</t>
  </si>
  <si>
    <t>10.3389/fevo.2021.624692</t>
  </si>
  <si>
    <t>3A0MQ</t>
  </si>
  <si>
    <t>WOS:000826961100001</t>
  </si>
  <si>
    <t>Song, XY; Wang, ZM; Liang, JC; Zhang, BJ; Du, Y; Zeng, ZL; Liu, ML</t>
  </si>
  <si>
    <t>Song, Xiangyu; Wang, Zemin; Liang, Jianchang; Zhang, Baojun; Du, Yang; Zeng, Zhaoliang; Liu, Mingliang</t>
  </si>
  <si>
    <t>Automatic Extraction of the Basal Channel Based on Neural Network</t>
  </si>
  <si>
    <t>IEEE JOURNAL OF SELECTED TOPICS IN APPLIED EARTH OBSERVATIONS AND REMOTE SENSING</t>
  </si>
  <si>
    <t>Ice shelf; Ice; Surface morphology; Sea surface; Depression; Grounding; Feature extraction; Basal channel; ice shelf; neural network; remote sensing</t>
  </si>
  <si>
    <t>PINE ISLAND GLACIER; ROSS ICE SHELF; GROUNDING LINE; CONVOLUTIONAL NETWORKS; SEMANTIC SEGMENTATION; OCEAN CIRCULATION; WARM WATER; BENEATH; MELT; RETREAT</t>
  </si>
  <si>
    <t>The basal channel is a morphological feature that widely exists at the bottom of ice shelves, which is mainly formed by the incision of warm water at the base of ice shelves. The study of the basal channel can contribute to further understanding the impact of global warming on polar ice shelves. In this article, the depression caused by the basal channel on the surface of an ice shelf is used to confirm and extract the channel's position. The automatic acquisition of the channel is realized by machine learning. To extract the basal channel more efficiently and minimize the subjectivity caused by visual interpretation, a neural network was applied for the first time, which effectively improved the accuracy of basal channel extraction. We took the manual extraction results of basal channels as the training set input from the model. The improved U-NET network model was used to classify the 79NG ice shelf area, and the extraction accuracy was 73.58%. Then, the trained model was extended to the Peterman ice shelf and Ryder ice shelf located in Greenland. The extraction accuracies were 75.54% and 72.70%, respectively.</t>
  </si>
  <si>
    <t>[Song, Xiangyu; Liang, Jianchang] Shijiazhuang Tiedao Univ, Minist Educ, Key Lab Rd &amp; Railway Engn Safety Control, Shijiazhuang 050043, Hebei, Peoples R China; [Song, Xiangyu; Liang, Jianchang] Shijiazhuang Tiedao Univ, Sch Civil Engn, Shijiazhuang 050043, Hebei, Peoples R China; [Wang, Zemin; Zhang, Baojun; Zeng, Zhaoliang; Liu, Mingliang] Wuhan Univ, Chinese Antarctic Ctr Surveying &amp; Mapping, Wuhan 430079, Peoples R China; [Du, Yang] Nanjing Univ Aeronaut &amp; Astronaut, Coll Astronaut, Nanjing 210016, Peoples R China</t>
  </si>
  <si>
    <t>Shijiazhuang Tiedao University; Shijiazhuang Tiedao University; Wuhan University; Nanjing University of Aeronautics &amp; Astronautics</t>
  </si>
  <si>
    <t>Zhang, BJ (corresponding author), Wuhan Univ, Chinese Antarctic Ctr Surveying &amp; Mapping, Wuhan 430079, Peoples R China.;Du, Y (corresponding author), Nanjing Univ Aeronaut &amp; Astronaut, Coll Astronaut, Nanjing 210016, Peoples R China.</t>
  </si>
  <si>
    <t>songxiangyu@stdu.edu.cn; zmwang@whu.edu.cn; liangjianchang@sina.com; bjzhang@whu.edu.cn; dudu-jia0918@nuaa.edu.cn; zhaoliang.zeng@whu.edu.cn; liumingliang@whu.edu.cn</t>
  </si>
  <si>
    <t>song, xiangyu/0000-0003-2629-5444; Zhang, Baojun/0000-0001-5438-8723; Zeng, Zhaoliang/0000-0002-9108-8575; Du, Yang/0000-0003-0395-0901</t>
  </si>
  <si>
    <t>National Natural Science Foundation of China [42006184, 41941010]; Fundamental Research Funds for the Central Universities [2042022kf1068]</t>
  </si>
  <si>
    <t>This work was supported in part by the National Natural Science Foundation of China under Grant 42006184 and Grant 41941010, and in part by the Fundamental Research Funds for the Central Universities under Grant 2042022kf1068.</t>
  </si>
  <si>
    <t>1939-1404</t>
  </si>
  <si>
    <t>2151-1535</t>
  </si>
  <si>
    <t>IEEE J-STARS</t>
  </si>
  <si>
    <t>IEEE J. Sel. Top. Appl. Earth Observ. Remote Sens.</t>
  </si>
  <si>
    <t>10.1109/JSTARS.2022.3184156</t>
  </si>
  <si>
    <t>Engineering, Electrical &amp; Electronic; Geography, Physical; Remote Sensing; Imaging Science &amp; Photographic Technology</t>
  </si>
  <si>
    <t>Engineering; Physical Geography; Remote Sensing; Imaging Science &amp; Photographic Technology</t>
  </si>
  <si>
    <t>2Q6DC</t>
  </si>
  <si>
    <t>WOS:000820509600001</t>
  </si>
  <si>
    <t>Wagner, DN; Shupe, MD; Cox, C; Persson, OG; Uttal, T; Frey, MM; Kirchgaessner, A; Schneebeli, M; Jaggi, M; Macfarlane, AR; Itkin, P; Arndt, S; Hendricks, S; Krampe, D; Nicolaus, M; Ricker, R; Regnery, J; Kolabutin, N; Shimanshuck, E; Oggier, M; Raphael, I; Stroeve, J; Lehning, M</t>
  </si>
  <si>
    <t>Wagner, David N.; Shupe, Matthew D.; Cox, Christopher; Persson, Ola G.; Uttal, Taneil; Frey, Markus M.; Kirchgaessner, Amelie; Schneebeli, Martin; Jaggi, Matthias; Macfarlane, Amy R.; Itkin, Polona; Arndt, Stefanie; Hendricks, Stefan; Krampe, Daniela; Nicolaus, Marcel; Ricker, Robert; Regnery, Julia; Kolabutin, Nikolai; Shimanshuck, Egor; Oggier, Marc; Raphael, Ian; Stroeve, Julienne; Lehning, Michael</t>
  </si>
  <si>
    <t>Snowfall and snow accumulation during the MOSAiC winter and spring seasons</t>
  </si>
  <si>
    <t>SURFACE HEAT-BUDGET; SEA-ICE; BLOWING SNOW; PRECIPITATION; MODEL; COVER; MICROSTRUCTURE; THERMODYNAMICS; REDISTRIBUTION; BACKSCATTER</t>
  </si>
  <si>
    <t>Data from the Multidisciplinary drifting Observatory for the Study of Arctic Climate (MOSAiC) expedition allowed us to investigate the temporal dynamics of snowfall, snow accumulation and erosion in great detail for almost the whole accumulation season (November 2019 to May 2020). We computed cumulative snow water equivalent (SWE) over the sea ice based on snow depth and density retrievals from a SnowMicroPen and approximately weekly measured snow depths along fixed transect paths. We used the derived SWE from the snow cover to compare with precipitation sensors installed during MOSAiC. The data were also compared with ERAS reanalysis snowfall rates for the drift track. We found an accumulated snow mass of 38 mm SWE between the end of October 2019 and end of April 2020. The initial SWE over first-year ice relative to second-year ice increased from 50 % to 90 % by end of the investigation period. Further, we found that the Vaisala Present Weather Detector 22, an optical precipitation sensor, and installed on a railing on the top deck of research vessel Polarstern, was least affected by blowing snow and showed good agreements with SWE retrievals along the transect. On the contrary, the OTT Pluvio 2 pluviometer and the OTT Parsivel 2 laser disdrometer were largely affected by wind and blowing snow, leading to too high measured precipitation rates. These are largely reduced when eliminating drifting snow periods in the comparison. ERAS reveals good timing of the snowfall events and good agreement with ground measurements with an overestimation tendency. Retrieved snowfall from the ship-based K-a-band ARM zenith radar shows good agreements with SWE of the snow cover and differences comparable to those of ERAS. Based on the results, we suggest the K-a-band radar-derived snowfall as an upper limit and the present weather detector on RV Polarstern as a lower limit of a cumulative snowfall range. Based on these findings, we suggest a cumulative snowfall of 72 to 107 mm and a precipitation mass loss of the snow cover due to erosion and sublimation as between 47 % and 68 %, for the time period between 31 October 2019 and 26 April 2020. Extending this period beyond available snow cover measurements, we suggest a cumulative snowfall of 98-114 mm.</t>
  </si>
  <si>
    <t>[Wagner, David N.; Schneebeli, Martin; Jaggi, Matthias; Macfarlane, Amy R.; Lehning, Michael] WSL Inst Snow &amp; Avalanche Res SLF, Davos, Switzerland; [Wagner, David N.] Ecole Polytech Fed Lausanne, CRYOS, Sch Architecture Civil &amp; Environm Engn, Lausanne, Switzerland; [Shupe, Matthew D.; Cox, Christopher; Persson, Ola G.; Uttal, Taneil] NOAA Phys Sci Lab, Boulder, CO USA; [Shupe, Matthew D.; Cox, Christopher; Persson, Ola G.] Univ Colorado Boulder, Cooperat Inst Res Environm Sci, Boulder, CO USA; [Frey, Markus M.; Kirchgaessner, Amelie] British Antarctic Survey, Nat Environm Res Council, Cambridge, England; [Itkin, Polona] UiT Arctic Univ Norway, Tromso, Norway; [Itkin, Polona] Colorado State Univ, Cooperat Inst Res Atmosphere, Ft Collins, CO 80523 USA; [Arndt, Stefanie; Hendricks, Stefan; Krampe, Daniela; Nicolaus, Marcel; Ricker, Robert; Regnery, Julia] Helmholtz Zentrum Polar &amp; Meeresforsch, Alfred Wegener Inst, Bremerhaven, Germany; [Kolabutin, Nikolai; Shimanshuck, Egor] Arctic &amp; Antarctic Res Inst, St Petersburg, Russia; [Oggier, Marc] Univ Alaska Fairbanks, Int Arctic Res Ctr, Fairbanks, AK USA; [Raphael, Ian] Dartmouth Coll, Thayer Sch Engn, Hanover, NH 03755 USA; [Stroeve, Julienne] Univ Manitoba, Ctr Earth Observat Sci, Winnipeg, MB, Canada; [Stroeve, Julienne] UCL, Earth Sci Dept, London, England; [Stroeve, Julienne] Univ Colorado, Natl Snow &amp; Ice Data Ctr, Boulder, CO 80309 USA</t>
  </si>
  <si>
    <t>Swiss Federal Institutes of Technology Domain; Swiss Federal Institute for Forest, Snow &amp; Landscape Research; Swiss Federal Institutes of Technology Domain; Ecole Polytechnique Federale de Lausanne; University of Colorado System; University of Colorado Boulder; UK Research &amp; Innovation (UKRI); Natural Environment Research Council (NERC); NERC British Antarctic Survey; UiT The Arctic University of Tromso; Colorado State University; Helmholtz Association; Alfred Wegener Institute, Helmholtz Centre for Polar &amp; Marine Research; Arctic &amp; Antarctic Research Institute; University of Alaska System; University of Alaska Fairbanks; Dartmouth College; University of Manitoba; University of London; University College London; University of Colorado System; University of Colorado Boulder</t>
  </si>
  <si>
    <t>Wagner, DN (corresponding author), WSL Inst Snow &amp; Avalanche Res SLF, Davos, Switzerland.;Wagner, DN (corresponding author), Ecole Polytech Fed Lausanne, CRYOS, Sch Architecture Civil &amp; Environm Engn, Lausanne, Switzerland.</t>
  </si>
  <si>
    <t>david.wagner@slf.ch</t>
  </si>
  <si>
    <t>Macfarlane, Amy/JJF-4792-2023; Hendricks, Stefan/D-5168-2011; Kirchgaessner, Amelie/JGL-9010-2023; Frey, Markus/G-1756-2012; Arndt, Stefanie/AAA-6178-2021; Krampe, Daniela/GXR-6757-2022; Nicolaus, Marcel/A-3658-2013; Ricker, Robert/Z-4214-2019; Schneebeli, Martin/B-1063-2008; COX, CHRISTOPHER/O-4276-2016; Lehning, Michael/AFS-9462-2022; SHUPE, MATTHEW/F-8754-2011; Kolabutin, Nikolay/G-7252-2015</t>
  </si>
  <si>
    <t>Macfarlane, Amy/0000-0002-1638-8885; Hendricks, Stefan/0000-0002-1412-3146; Kirchgaessner, Amelie/0000-0001-7483-3652; Frey, Markus/0000-0003-0535-0416; Arndt, Stefanie/0000-0001-9782-3844; Nicolaus, Marcel/0000-0003-0903-1746; Ricker, Robert/0000-0001-6928-7757; Schneebeli, Martin/0000-0003-2872-4409; Wagner, David Nicholas/0000-0002-7686-0811; Regnery, Julia/0000-0003-2704-7813; COX, CHRISTOPHER/0000-0003-2203-7173; Lehning, Michael/0000-0002-8442-0875; Krampe, Daniela/0000-0003-0633-5023; SHUPE, MATTHEW/0000-0002-0973-9982; Kolabutin, Nikolay/0000-0002-4107-5223</t>
  </si>
  <si>
    <t>Swiss National Science Foundation [SNSF-200020_179130]; Swiss Polar Institute [DIRCR-2018-003]; European Union [730965]; WSL Institute for Snow and Avalanche Research SLF [WSL_201812N1678]; National Science Foundation [NSF-1820927, OPP-1724551]; NOAA's Physical Sciences Laboratory (PSL); NOAA's Global Ocean Monitoring and Observing Program (GOMO); DOE Atmospheric System Research Program [DE-SC0019251, DE-SC0021341]; Research Council of Norway [RCN-287871]; German Research Foundation (DFG) [AR1236/1, NI1095/5]; Alfred Wegener Institute fund AWI_SNOW; Alfred Wegener Institute fund AWI_ICE; Alfred Wegener Institute fund AWI_ROV; NERC [NE/S00257X/1] Funding Source: UKRI; U.S. Department of Energy (DOE) [DE-SC0021341, DE-SC0019251] Funding Source: U.S. Department of Energy (DOE)</t>
  </si>
  <si>
    <t>Swiss National Science Foundation(Swiss National Science Foundation (SNSF)); Swiss Polar Institute; European Union(European Union (EU)); WSL Institute for Snow and Avalanche Research SLF; National Science Foundation(National Science Foundation (NSF)); NOAA's Physical Sciences Laboratory (PSL); NOAA's Global Ocean Monitoring and Observing Program (GOMO); DOE Atmospheric System Research Program; Research Council of Norway(Research Council of Norway); German Research Foundation (DFG)(German Research Foundation (DFG)); Alfred Wegener Institute fund AWI_SNOW; Alfred Wegener Institute fund AWI_ICE; Alfred Wegener Institute fund AWI_ROV; NERC(UK Research &amp; Innovation (UKRI)Natural Environment Research Council (NERC)); U.S. Department of Energy (DOE)(United States Department of Energy (DOE))</t>
  </si>
  <si>
    <t>David N. Wagner and Michael Lehning were supported by the Swiss National Science Foundation (grant no. SNSF-200020_179130). Martin Schneebeli, Amy R. Macfarlane and David N. Wagner were supported by the Swiss Polar Institute (grant no. DIRCR-2018-003). Martin Schneebeli and Amy R. Macfarlane were supported by the European Union's Horizon 2020 research and innovation program projects ARICE (grant no. 730965) for berth fees associated with the participation of the DEARice project and the WSL Institute for Snow and Avalanche Research SLF (grant no. WSL_201812N1678). Met tower data were supported by the National Science Foundation (grant no. OPP-1724551) and by NOAA's Physical Sciences Laboratory (PSL) and Global Ocean Monitoring and Observing Program (GOMO). Matthew D. Shupe was supported by the DOE Atmospheric System Research Program (grant nos. DE-SC0019251 and DE-SC0021341). Polona Itkin was supported by the National Science Foundation (grant no. NSF-1820927) and by the Research Council of Norway (grant no. RCN-287871). Stefanie Arndt, Stefan Hendricks, Daniela Krampe, Marcel Nicolaus, Robert Ricker and Julia Regnery were supported through the Alfred Wegener Institute funds AWI_SNOW, AWI_ICE and AWI_ROV. Stefanie Arndt and Marcel Nicolaus were supported through the German Research Foundation (DFG) projects SnowCast (grant no. AR1236/1) and SCASI (grant no. NI1095/5).</t>
  </si>
  <si>
    <t>10.5194/tc-16-2373-2022</t>
  </si>
  <si>
    <t>2E6FO</t>
  </si>
  <si>
    <t>Green Submitted, Green Accepted, gold</t>
  </si>
  <si>
    <t>WOS:000812322400001</t>
  </si>
  <si>
    <t>Dall'Osto, M; Vaque, D; Sotomayor-Garcia, A; Cabrera-Brufau, M; Estrada, M; Buchaca, T; Soler, M; Nunes, S; Zeppenfeld, S; van Pinxteren, M; Herrmann, H; Wex, H; Rinaldi, M; Paglione, M; Beddows, DCS; Harrison, RM; Berdalet, E</t>
  </si>
  <si>
    <t>Dall'Osto, Manuel; Vaque, Dolors; Sotomayor-Garcia, Ana; Cabrera-Brufau, Miguel; Estrada, Marta; Buchaca, Teresa; Soler, Montserrat; Nunes, Sdena; Zeppenfeld, Sebastian; van Pinxteren, Manuela; Herrmann, Hartmut; Wex, Heike; Rinaldi, Matteo; Paglione, Marco; Beddows, David C. S.; Harrison, Roy M.; Berdalet, Elisa</t>
  </si>
  <si>
    <t>Sea Ice Microbiota in the Antarctic Peninsula Modulates Cloud-Relevant Sea Spray Aerosol Production</t>
  </si>
  <si>
    <t>Antarctic; aerosols; ocean-atmosphere interaction; marine biogeochemistry; clouds; BEPSII; CATCH</t>
  </si>
  <si>
    <t>DISSOLVED ORGANIC-MATTER; POLYMERIC SUBSTANCES EPS; DYE-BINDING ASSAY; MARINE AEROSOL; NUCLEATING PARTICLES; PLANKTONIC BACTERIA; OCEAN; CARBON; SEAWATER; FLUORESCENCE</t>
  </si>
  <si>
    <t>Sea spray aerosol (SSA) formation plays a major role in the climate system. The Antarctic Peninsula (AP) is affected by the greatest warming occurring in the Southern Ocean; changes in cryospheric and biological processes are being observed. Whilst there is some evidence that organic material produced by ice algae and/or phytoplankton in the high Arctic contributes to SSA, less is known about Antarctic Sea ice (sympagic) regions. To gain insight into the influence of Antarctic Sea ice biology and biogeochemistry on atmospheric aerosol, we report simultaneous water-air measurements made by means of in situ aerosol chamber experiments. For the first time, we present a methodology showing that the controlled plunging jet aerosol chamber settings do not cause major cell disruption on the studied sea ice ecosystems. Larger sea ice phytoplankton cells (&gt;20 mu m; mainly diatoms) tend to sediment at the bottom of the chamber (during the 24h experiment) and likely have a minor role on SSA production. When comparing four chamber experiments - we find that the two producing more SSA are the ones with highest abundance of nanophytoplankton cells (&lt;20 mu m; mainly nanoflagellates) as well as viruses. Our marine biogeochemical data show two broad groups of dissolved organic carbon: one rich in carbohydrates and proteic material and one rich in humic-like substances; the latter enhancing SSA production. This work provides unique insights into sea ice productivity that modulates SSA production, with potentially significant climate impacts. Further studies of these types are advised in order to see how microbiology impacts the biogeochemical cycling of elements and how aerosols are formed and processed in cold regions.</t>
  </si>
  <si>
    <t>[Dall'Osto, Manuel; Vaque, Dolors; Sotomayor-Garcia, Ana; Cabrera-Brufau, Miguel; Estrada, Marta; Berdalet, Elisa] CSIC, Dept Marine Biol &amp; Oceanog, Inst Marine Sci, Barcelona, Spain; [Buchaca, Teresa; Soler, Montserrat] Spanish Res Council CEAB CSIC, Ctr Adv Studies Blanes, Integrat Freshwater Ecol Grp IFE, Blanes, Spain; [Nunes, Sdena] King Abdullah Univ Sci &amp; Technol KAUST, Red Sea Res Ctr RSRC, Thuwal, Saudi Arabia; [Zeppenfeld, Sebastian; van Pinxteren, Manuela; Herrmann, Hartmut] Leibniz Inst Tropospher Res TROPOS, Atmospher Chem Dept ACD, Leipzig, Germany; [Wex, Heike] Leibniz Inst Tropospher Res TROPOS, Expt Aerosol &amp; Cloud Microphys Dept, Leipzig, Germany; [Rinaldi, Matteo; Paglione, Marco] CNR, Inst Atmospher Sci &amp; Climate, Bologna, Italy; [Beddows, David C. S.; Harrison, Roy M.] Univ Birmingham, Natl Ctr Atmospher Sci, Sch Geog Earth &amp; Environm Sci, Div Environm Hlth &amp; Risk Management, Birmingham, England; [Harrison, Roy M.] King Abdulaziz Univ, Ctr Excellence Environm Studies, Dept Environm Sci, Jeddah, Saudi Arabia</t>
  </si>
  <si>
    <t>Consejo Superior de Investigaciones Cientificas (CSIC); CSIC - Centro Mediterraneo de Investigaciones Marinas y Ambientales (CMIMA); CSIC - Instituto de Ciencias del Mar (ICM); Consejo Superior de Investigaciones Cientificas (CSIC); CSIC - Centre d'Estudis Avancats de Blanes (CEAB); King Abdullah University of Science &amp; Technology; Leibniz Institut fur Tropospharenforschung (TROPOS); Leibniz Institut fur Tropospharenforschung (TROPOS); Consiglio Nazionale delle Ricerche (CNR); Istituto di Scienze dell'Atmosfera e del Clima (ISAC-CNR); UK Research &amp; Innovation (UKRI); Natural Environment Research Council (NERC); NERC National Centre for Atmospheric Science; University of Birmingham; King Abdulaziz University</t>
  </si>
  <si>
    <t>Dall'Osto, M (corresponding author), CSIC, Dept Marine Biol &amp; Oceanog, Inst Marine Sci, Barcelona, Spain.</t>
  </si>
  <si>
    <t>dallosto@icm.csic.es</t>
  </si>
  <si>
    <t>Zeppenfeld, Sebastian/JVD-7795-2023; Harrison, Roy Michael/A-2256-2008; Cabrera-Brufau, Miguel/G-4391-2015; Paglione, Marco/J-9760-2012; Buchaca, Teresa/L-1679-2014; Herrmann, Hartmut/C-2486-2009; Zeppenfeld, Sebastian/JRW-2179-2023; dallosto, manuel/G-3584-2016; Beddows, David/ABA-7223-2021</t>
  </si>
  <si>
    <t>Cabrera-Brufau, Miguel/0000-0002-0740-9306; Paglione, Marco/0000-0002-4423-2570; Buchaca, Teresa/0000-0001-7933-8992; Herrmann, Hartmut/0000-0001-7044-2101; dallosto, manuel/0000-0003-4203-894X; Harrison, Roy/0000-0002-2684-5226; Beddows, David/0000-0001-9277-2099; Zeppenfeld, Sebastian/0000-0003-4622-3181</t>
  </si>
  <si>
    <t>Spanish Ministry of Economy through project PI-ICE [CTM 2017-89117-R]; Spanish Ministry of Economy through Ramon y Cajal fellowship [RYC-2012-11922]; Severo Ochoa Centre of Excellence' accreditation [CEX2019-000928-S]; UK Natural Environment Research Council</t>
  </si>
  <si>
    <t>Spanish Ministry of Economy through project PI-ICE; Spanish Ministry of Economy through Ramon y Cajal fellowship; Severo Ochoa Centre of Excellence' accreditation; UK Natural Environment Research Council(UK Research &amp; Innovation (UKRI)Natural Environment Research Council (NERC))</t>
  </si>
  <si>
    <t>The study was further supported by the Spanish Ministry of Economy through project PI-ICE (no. CTM 2017-89117-R) and the Ramon y Cajal fellowship (no. RYC-2012-11922). This work acknowledges the Severo Ochoa Centre of Excellence' accreditation (CEX2019-000928-S). The National Centre for Atmospheric Science (NCAS) Birmingham group is funded by the UK Natural Environment Research Council. DOC was analyzed by Mara Abad (ICM-CSIC) and the POC was analyzed at the IIM-CSIC (Vigo).</t>
  </si>
  <si>
    <t>JUN 16</t>
  </si>
  <si>
    <t>10.3389/fmars.2022.827061</t>
  </si>
  <si>
    <t>5X8AQ</t>
  </si>
  <si>
    <t>WOS:000878820200001</t>
  </si>
  <si>
    <t>Hatlebakk, M; Niehoff, B; Choquet, M; Hop, H; Wold, A; Hoarau, G; Soreide, JE</t>
  </si>
  <si>
    <t>Hatlebakk, Maja; Niehoff, Barbara; Choquet, Marvin; Hop, Haakon; Wold, Anette; Hoarau, Galice; Soreide, Janne E.</t>
  </si>
  <si>
    <t>Seasonal Enzyme Activities of Sympatric Calanus glacialis and C. finmarchicus in the High-Arctic</t>
  </si>
  <si>
    <t>calanoid copepods; overwintering; metabolism; enzyme activities; Svalbard</t>
  </si>
  <si>
    <t>DIGESTIVE ENZYMES; ANTARCTIC KRILL; EGG-PRODUCTION; DISKO BAY; COPEPOD; METABOLISM; DORMANCY; LIFE; FOOD; TEMPERATURE</t>
  </si>
  <si>
    <t>In the Arctic shelf seas, the mesozooplankton biomass is dominated by the arctic copepod Calanus glacialis, but its boreal congeneric C. finmarchicus is expanding northwards. Even though it is already there, C. finmarchicus may not be able to truly establish itself in the Arctic seas and potentially replace C. glacialis. We compared metabolic and digestive enzyme activities of sympatric C. glacialis and C. finmarchicus from Isfjorden, Svalbard and off-shelf north of Svalbard. The seasonal regulation of anabolic and catabolic enzyme activities was generally similar for the two species, but with some interspecific differences corresponding to their ontogeny. Wake-up from overwintering started earlier in adults of C. glacialis than in C. finmarchicus, while the onset of dormancy started early in the overwintering stages of both species. Furthermore, C. glacialis showed an earlier and higher mobilization of lipase enzyme activities, indicating higher efficiency in assimilating dietary lipids compared to C. finmarchicus. Similar population sizes and population structures for C. finmarchicus off-shelf north of Svalbard and in Isfjorden support a similar origin. Still, C. finmarchicus was able to match regulation of enzyme activities to the bloom even though the bloom peaked approximately a month later off-shelf north of Svalbard, indicating that food availability is an important signal for the final step of termination of diapause. Even though the two species largely follow the same patterns of metabolic enzyme activities, the more efficient lipid anabolism of C. glacialis may give it an advantage over C. finmarchicus in high-Arctic unpredictable environments with short-pulsed primary production regimes.</t>
  </si>
  <si>
    <t>[Hatlebakk, Maja; Soreide, Janne E.] Univ Ctr Svalbard, Dept Arctic Biol, Longyearbyen, Norway; [Hatlebakk, Maja; Choquet, Marvin; Hoarau, Galice] Nord Univ, Fac Biosci &amp; Aquaculture, Bodo, Norway; [Niehoff, Barbara] Helmholtz Ctr Polar &amp; Marine Res, Polar Biol Oceanog, Alfred Wegener Inst, Bremerhaven, Germany; [Hop, Haakon; Wold, Anette] Norwegian Polar Res Inst, Fram Ctr, Tromso, Norway</t>
  </si>
  <si>
    <t>University Centre Svalbard (UNIS); Nord University; Helmholtz Association; Alfred Wegener Institute, Helmholtz Centre for Polar &amp; Marine Research; Norwegian Polar Institute</t>
  </si>
  <si>
    <t>Hatlebakk, M (corresponding author), Univ Ctr Svalbard, Dept Arctic Biol, Longyearbyen, Norway.;Hatlebakk, M (corresponding author), Nord Univ, Fac Biosci &amp; Aquaculture, Bodo, Norway.</t>
  </si>
  <si>
    <t>maja.k.v.hatlebakk@ntnu.no</t>
  </si>
  <si>
    <t>Soreide, Janne/HNI-3758-2023; Wold, Anette/JXN-7159-2024</t>
  </si>
  <si>
    <t>10.3389/fmars.2022.877904</t>
  </si>
  <si>
    <t>2O6JP</t>
  </si>
  <si>
    <t>WOS:000819163500001</t>
  </si>
  <si>
    <t>Mayor, DJ; Cook, KB; Thornton, B; Atherden, F; Tarling, GA; Anderson, TR</t>
  </si>
  <si>
    <t>Mayor, Daniel J.; Cook, Kathryn B.; Thornton, Barry; Atherden, Florence; Tarling, Geraint A.; Anderson, Thomas R.</t>
  </si>
  <si>
    <t>Biomass Turnover Rates in Metabolically Active and Inactive Marine Calanoid Copepods</t>
  </si>
  <si>
    <t>lipid turnover; protein turnover; basal metabolism; diapause; ecosystem model; physiology; stoichiometry</t>
  </si>
  <si>
    <t>BIOCHEMICAL-COMPOSITION; FINMARCHICUS; ZOOPLANKTON; NITROGEN; STARVATION; NUTRITION; EXCRETION; DORMANCY</t>
  </si>
  <si>
    <t>Lipid-storing copepods are fundamental to the functioning of marine ecosystems, transferring energy from primary producers to higher trophic levels and sequestering atmospheric carbon (C) in the deep ocean. Quantifying trophic transfer and biogeochemical cycling by copepods requires improved understanding of copepod metabolic rates in both surface waters and during lipid-fueled metabolism over winter. Here we present new biomass turnover rates of C and nitrogen (N) in Calanoides acutus, Calanoides natalis, Calanus glacialis and Calanus hyperboreus alongside published data for Calanus finmarchicus and Calanus pacificus. Turnover rates in metabolically active animals, normalised to 10 degrees C, ranged between 0.007 - 0.105 d(-1) and 0.004 - 0.065 d(-1) for C and N, respectively. Turnover rates of C were typically faster than those for N, supporting the understanding that non-protein C, e.g. lipid, is catabolised faster than protein. Re-analysis of published data indicates that inactive, overwintering C. finmarchicus turn over wax ester lipids at a rate of 0.0016 d(-1). These and other basal rate data will facilitate the mechanistic representation of copepod physiology in global biogeochemical models, thereby reducing uncertainties in our predictions of future ocean ecosystem functioning and C sequestration.</t>
  </si>
  <si>
    <t>[Mayor, Daniel J.; Cook, Kathryn B.; Atherden, Florence; Anderson, Thomas R.] Natl Oceanog Ctr, Southampton, England; [Thornton, Barry] James Hutton Inst, Aberdeen, Scotland; [Tarling, Geraint A.] British Antarctic Survey, Cambridge, England</t>
  </si>
  <si>
    <t>NERC National Oceanography Centre; James Hutton Institute; UK Research &amp; Innovation (UKRI); Natural Environment Research Council (NERC); NERC British Antarctic Survey</t>
  </si>
  <si>
    <t>Mayor, DJ (corresponding author), Natl Oceanog Ctr, Southampton, England.</t>
  </si>
  <si>
    <t>dan.mayor@noc.ac.uk</t>
  </si>
  <si>
    <t>Anderson, Thomas R/K-5487-2012; Cook, Kathryn Barbara/ISA-2646-2023; Mayor, Daniel/HDN-8520-2022</t>
  </si>
  <si>
    <t>Cook, Kathryn Barbara/0000-0001-8590-3011; Mayor, Daniel/0000-0002-1295-0041</t>
  </si>
  <si>
    <t>Natural Environment Research Council (UK) [COMICS: NE/M020835/1, DIAPOD: NE/P006353/1]</t>
  </si>
  <si>
    <t>Natural Environment Research Council (UK)(UK Research &amp; Innovation (UKRI)Natural Environment Research Council (NERC))</t>
  </si>
  <si>
    <t>This work was funded by the Natural Environment Research Council (UK) (COMICS: NE/M020835/1; DIAPOD: NE/P006353/1).</t>
  </si>
  <si>
    <t>10.3389/fmars.2022.907290</t>
  </si>
  <si>
    <t>2O6SQ</t>
  </si>
  <si>
    <t>WOS:000819187100001</t>
  </si>
  <si>
    <t>Mueller, SJ; Michael, K; Urso, I; Sales, G; De Pitta, C; Suberg, L; Wessels, W; Pakhomov, EA; Meyer, B</t>
  </si>
  <si>
    <t>Mueller, Svenja J.; Michael, Katharina; Urso, Ilenia; Sales, Gabriele; De Pitta, Cristiano; Suberg, Lavinia; Wessels, Wiebke; Pakhomov, Evgeny A.; Meyer, Bettina</t>
  </si>
  <si>
    <t>Seasonal and Form-Specific Gene Expression Signatures Uncover Different Generational Strategies of the Pelagic Tunicate Salpa thompsoni During the Southern Ocean Winter</t>
  </si>
  <si>
    <t>Southern Ocean; Salpa thompsoni; overwintering; aggregates; solitaries; season</t>
  </si>
  <si>
    <t>ANTARCTIC PENINSULA; LAZAREV SEA; KRILL; ECOLOGY; GENOME; PHYTOPLANKTON; TRANSCRIPTOME; ACCLIMATION; RESPIRATION; TEMPERATURE</t>
  </si>
  <si>
    <t>The pelagic tunicate Salpa thompsoni is recognized as a major metazoan grazer in the Southern Ocean. Long term observations show an increase in this species' biomass and a southward shift in its distribution both of which are positively correlated with ocean warming and winter sea ice decline around the Antarctic Peninsula. However, our understanding on how salps adapt their life cycle to the extreme seasonality of the Southern Ocean and the putative differences between its two reproductive forms (aggregates, solitaries) is rudimentary. In particular, our current knowledge of whether and how S. thompsoni overwinter is limited, largely due to winter sampling constraints. In this study, we investigated the form-specific gene expression profiles of Salpa thompsoni during the austral autumn and winter. Between the seasons, genes related to translation showed the biggest difference in gene expression. We found more genes were upregulated in solitaries compared to aggregates, indicating a potentially form-specific overwintering strategy. Our data provide first insights into the seasonal and form-specific physiology of salps by considering their complex life cycle, thereby contributing to a more comprehensive understanding of the response of salps to seasonal changes in their environment and to anthropogenic induced global climate change.</t>
  </si>
  <si>
    <t>[Mueller, Svenja J.; Michael, Katharina; Wessels, Wiebke; Meyer, Bettina] Carl von Ossietzky Univ Oldenburg, Inst Chem &amp; Biol Marine Environm, Oldenburg, Germany; [Mueller, Svenja J.; Michael, Katharina; Suberg, Lavinia; Meyer, Bettina] Alfred Wegener Inst, Sci Div Polar Biol Oceanog, Helmholtz Ctr Polar &amp; Marine Res, Bremerhaven, Germany; [Urso, Ilenia; Sales, Gabriele; De Pitta, Cristiano] Univ Padua, Dept Biol, Padua, Italy; [Pakhomov, Evgeny A.] Univ British Columbia, Dept Earth Ocean &amp; Atmospher Sci, Vancouver, BC, Canada; [Pakhomov, Evgeny A.] Univ British Columbia, Inst Oceans &amp; Fisheries, Vancouver, BC, Canada; [Pakhomov, Evgeny A.] Hakai Inst, Heriot Bay, BC, Canada; [Meyer, Bettina] Carl von Ossietzky Univ Oldenburg, Helmholtz Inst Funct Marine Biodivers HIFMB, Oldenburg, Germany</t>
  </si>
  <si>
    <t>Carl von Ossietzky Universitat Oldenburg; Helmholtz Association; Alfred Wegener Institute, Helmholtz Centre for Polar &amp; Marine Research; University of Padua; University of British Columbia; University of British Columbia; Hakai Institute; Carl von Ossietzky Universitat Oldenburg</t>
  </si>
  <si>
    <t>Mueller, SJ; Meyer, B (corresponding author), Carl von Ossietzky Univ Oldenburg, Inst Chem &amp; Biol Marine Environm, Oldenburg, Germany.;Mueller, SJ; Meyer, B (corresponding author), Alfred Wegener Inst, Sci Div Polar Biol Oceanog, Helmholtz Ctr Polar &amp; Marine Res, Bremerhaven, Germany.;Meyer, B (corresponding author), Carl von Ossietzky Univ Oldenburg, Helmholtz Inst Funct Marine Biodivers HIFMB, Oldenburg, Germany.</t>
  </si>
  <si>
    <t>svenja.julica.mueller@uni-oldenburg.de; bettina.meyer@awi.de</t>
  </si>
  <si>
    <t>De Pitta, Cristiano/AAY-7302-2020</t>
  </si>
  <si>
    <t>De Pitta, Cristiano/0000-0001-8013-8162; Urso, Ilenia/0000-0002-6439-6943; Muller, Svenja Julica/0000-0002-7078-9700</t>
  </si>
  <si>
    <t>German Ministry for Education and Research (BMBF) [FKZ 03F0746A, FKZ 03F0828A]; Programma Nazionale di Ricerche in Antartide PNRA [2016_00225, PNRA19_00065]; Alfred Wegener Institute, Helmholtz Centre for Polar and Marine Research</t>
  </si>
  <si>
    <t>German Ministry for Education and Research (BMBF)(Federal Ministry of Education &amp; Research (BMBF)); Programma Nazionale di Ricerche in Antartide PNRA; Alfred Wegener Institute, Helmholtz Centre for Polar and Marine Research(Helmholtz Association)</t>
  </si>
  <si>
    <t>This work was supported by project phases I+II of The performance of krill vs. salps to withstand in a warming Southern Ocean (PEKRIS (FKZ 03F0746A), PEKRIS II (FKZ 03F0828A)) of the German Ministry for Education and Research (BMBF) and the Programma Nazionale di Ricerche in Antartide PNRA (grant 2016_00225 and PNRA19_00065). Financial support for open-access publication has been given by the Open Access Publication Funds of Alfred Wegener Institute, Helmholtz Centre for Polar and Marine Research.</t>
  </si>
  <si>
    <t>10.3389/fmars.2022.914095</t>
  </si>
  <si>
    <t>2O6BM</t>
  </si>
  <si>
    <t>WOS:000819142000001</t>
  </si>
  <si>
    <t>Yue, H; Li, YQ; Cai, WZ; Bai, XL; Dong, P; Wang, JF</t>
  </si>
  <si>
    <t>Yue, Hao; Li, Yanqi; Cai, Weizhen; Bai, Xiaolin; Dong, Ping; Wang, Jingfeng</t>
  </si>
  <si>
    <t>Antarctic krill peptide alleviates liver fibrosis via downregulating the secondary bile acid mediated NLRP3 signaling pathway</t>
  </si>
  <si>
    <t>FOOD &amp; FUNCTION</t>
  </si>
  <si>
    <t>GUT MICROBIOTA; INFLAMMATION; INHIBITION; RECEPTORS</t>
  </si>
  <si>
    <t>Liver fibrosis is a necessary process for liver disease. Recent studies have reported that the enterohepatic circulation of bile acid plays a vital role in developing liver fibrosis. The Antarctic krill peptide (AKP) has been proved to have a variety of activities such as antioxidant and anti-inflammatory, but any possible influence on liver fibrosis remains unclear. In the current study, the liver fibrosis mice were intraperitoneal injection of carbon tetrachloride (2.5%, 10 mL kg(-1)) and oral administration AKP (400 mg kg(-1)) for 30 days. The results showed that the AKP supplement decreased the serum ALT and AST levels, reduced the content of liver TNF-alpha and Collagen I, and improved liver inflammation and fibrosis, which was also confirmed by H&amp;E and Masson staining. Bile acid is an important metabolite for the gut microbiota. We found that the AKP supplement alleviated the gut microbiota dysbiosis remarkably, as indicated by increased species richness and diversity, and decreased overgrowth of genera Bifidobacterium, Lactobacillus, Bacteroides, Clostridiales and Fusicatenibacter. Furthermore, AKP mediated gut microbiota improvement decreased the intestinal bile salt hydrolase and 7 alpha-dehydroxylation activities, resulting in the decrease of secondary bile acid taurodeoxycholic acid (TDCA) and taurolithocholic acid (TLCA) concentrations. Mechanistically, AKP inhibited NLRP3 signal by downregulating the secondary bile acid, decreased cleaved Caspase-1 expression to suppress IL-1 beta-mediated hepatic stellate cell activation. This study reports for the first time that AKP improved liver fibrosis via improving the gut microbiota mediated bile acid-NLRP3 signaling, which might provide new ideas and evidence for Antarctic krill's high-value utilization.</t>
  </si>
  <si>
    <t>[Yue, Hao; Li, Yanqi; Cai, Weizhen; Bai, Xiaolin; Dong, Ping; Wang, Jingfeng] Ocean Univ China, Coll Food Sci &amp; Engn, Qingdao 266003, Shandong, Peoples R China</t>
  </si>
  <si>
    <t>Ocean University of China</t>
  </si>
  <si>
    <t>Dong, P; Wang, JF (corresponding author), Ocean Univ China, Coll Food Sci &amp; Engn, Qingdao 266003, Shandong, Peoples R China.</t>
  </si>
  <si>
    <t>dongping@ouc.edu.cn; jfwang@ouc.edu.cn</t>
  </si>
  <si>
    <t>wang, jing/GRS-7509-2022; Yue, Hao/GQA-8880-2022; WANG, JINGYI/GSJ-1241-2022; wang, jiajun/JRW-6032-2023; wang, juan/IUO-6218-2023; wang, xu/IAN-4886-2023; ZHOU, YUE/IZE-6277-2023; Wang, Jin/GYA-2019-2022; wang, jian/HRB-9588-2023; wang, jie/HTQ-4920-2023; wang, dan/JEF-0836-2023; Wang, Jing/IQW-3496-2023; wang, jing/HJA-5384-2022; li, yanqi/HZM-5831-2023; Yue, Hao/JBJ-2183-2023; wang, jing/GVT-8700-2022; wang, jiahui/IXD-1197-2023; Bai, Xiaolin/AGN-7433-2022</t>
  </si>
  <si>
    <t>Wang, Jing/0000-0002-8296-2961; Yue, Hao/0000-0002-8486-8100</t>
  </si>
  <si>
    <t>National Natural Science Foundation of China [32172137]; Technological Innovation Guidance Program of Shandong Province [2018YFC0311203]; Qingdao Science and Technology Development Program [20-11-6-52-gx]</t>
  </si>
  <si>
    <t>National Natural Science Foundation of China(National Natural Science Foundation of China (NSFC)); Technological Innovation Guidance Program of Shandong Province; Qingdao Science and Technology Development Program</t>
  </si>
  <si>
    <t>This study was supported by the National Natural Science Foundation of China (No. 32172137), the Technological Innovation Guidance Program of Shandong Province (No. 2018YFC0311203), and the Qingdao Science and Technology Development Program (No. 20-11-6-52-gx). The funders have no role in study design, data collection and analysis, decision to publish, or preparation of the manuscript.</t>
  </si>
  <si>
    <t>2042-6496</t>
  </si>
  <si>
    <t>2042-650X</t>
  </si>
  <si>
    <t>FOOD FUNCT</t>
  </si>
  <si>
    <t>Food Funct.</t>
  </si>
  <si>
    <t>10.1039/d1fo04241f</t>
  </si>
  <si>
    <t>Biochemistry &amp; Molecular Biology; Food Science &amp; Technology</t>
  </si>
  <si>
    <t>2Z5KA</t>
  </si>
  <si>
    <t>WOS:000817741700001</t>
  </si>
  <si>
    <t>Janion-Scheepers, C; Deharveng, L</t>
  </si>
  <si>
    <t>Janion-Scheepers, Charlene; Deharveng, Louis</t>
  </si>
  <si>
    <t>A shocking-red new species of Setanodosa Salmon, 1942 (Collembola: Brachystomellidae) from South Africa</t>
  </si>
  <si>
    <t>biodiversity; colouration; fynbos; taxonomy</t>
  </si>
  <si>
    <t>KNOWLEDGE; DIVERSITY</t>
  </si>
  <si>
    <t>A new species of Setanodosa, S. jacquesi sp. nov. is described from the Western Cape (South Africa). It differs from other species of the genus by its unique shocking red pigmentation, the number of vesicles in the post antenna] organ, and the number of clavate tenent hairs on the tibiotarsi. A comparative table of the world Setanodosa and a key of Brachystomellidae species known from South Africa are provided. DNA barcoding results are provided for several Brachystomellidae species from South Africa, Australia and the sub-Antarctic to support our findings. It shows that a species provisionally identified as Brachystomella cf. platensis is unambiguously present in both South Africa and Australia.</t>
  </si>
  <si>
    <t>[Janion-Scheepers, Charlene] Univ Cape Town, Dept Biol Sci, Private Bag X3, ZA-7701 Rondebosch, South Africa; [Janion-Scheepers, Charlene] Iziko South African Museum, POB 61, ZA-8000 Cape Town, South Africa; [Deharveng, Louis] Sorbonne Univ, EPHE, Museum Natl Hist Nat,UMR7205,CNRS, Inst Systemat Evolut Biodiversite ISYEB, 45 Rue Buffon, F-75005 Paris, France</t>
  </si>
  <si>
    <t>University of Cape Town; Centre National de la Recherche Scientifique (CNRS); CNRS - Institute of Ecology &amp; Environment (INEE); Sorbonne Universite; Universite PSL; Ecole Pratique des Hautes Etudes (EPHE); Museum National d'Histoire Naturelle (MNHN)</t>
  </si>
  <si>
    <t>Janion-Scheepers, C (corresponding author), Univ Cape Town, Dept Biol Sci, Private Bag X3, ZA-7701 Rondebosch, South Africa.;Janion-Scheepers, C (corresponding author), Iziko South African Museum, POB 61, ZA-8000 Cape Town, South Africa.</t>
  </si>
  <si>
    <t>charlene.janion-scheepers@uct.ac.za; dehar.louis@wanadoo.fr</t>
  </si>
  <si>
    <t>Janion-Scheepers, Charlene/0000-0001-5942-7912</t>
  </si>
  <si>
    <t>NRF-FBIP [UID115945]; NSCF (National Science Collections Facility); DSI-NRF; EPFL; Swiss Polar Institute; Ferring Pharmaceuticals through the Antarctic Circumnavigation Expedition (ACE)</t>
  </si>
  <si>
    <t>NRF-FBIP; NSCF (National Science Collections Facility); DSI-NRF; EPFL; Swiss Polar Institute; Ferring Pharmaceuticals through the Antarctic Circumnavigation Expedition (ACE)</t>
  </si>
  <si>
    <t>This work was supported by the NRF-FBIP grant UID115945 (Collembola diversity of South Africa) and NSCF (National Science Collections Facility) travel grant awarded to LD. CJS was supported by DSI-NRF. The collection permit was issued by CapeNature. We thank the ChownLab for providing COI sequences of specimens from Australia and specimens collected from Diego Ramirez and South Georgia funded by the EPFL, Swiss Polar Institute and Ferring Pharmaceuticals through the Antarctic Circumnavigation Expedition (ACE). We are grateful to reviewers for their comments which significantly improved the quality of the paper.</t>
  </si>
  <si>
    <t>10.11646/zootaxa.5154.4.6</t>
  </si>
  <si>
    <t>2M8BF</t>
  </si>
  <si>
    <t>WOS:000817917700006</t>
  </si>
  <si>
    <t>Redfern, CPF; Bevan, RM</t>
  </si>
  <si>
    <t>Redfern, Chris P. F.; Bevan, Richard M.</t>
  </si>
  <si>
    <t>The Arctic tern Sterna paradisaea: consistency and variability in spatial use at a global oceanographic scale</t>
  </si>
  <si>
    <t>Arctic tern; Indian Ocean; Thermal fronts; Sea surface height; Chlorophyll; Foraging; Migration speed; Geolocator</t>
  </si>
  <si>
    <t>SEA-SURFACE TEMPERATURE; LAST GLACIAL MAXIMUM; MIGRATION ROUTES; SOUTHERN-OCEAN; INDIAN-OCEAN; SEABIRD; FLEXIBILITY; EDDIES; IMPACT; ICE</t>
  </si>
  <si>
    <t>Elucidating the ecological factors underpinning migratory strategies of seabirds is necessary for understanding resilience to environmental change. Arctic terns Sterna paradisaea breed in the Northern Hemisphere and are unique for the global scale of their migration. Geolocator data from 37 Arctic terns breeding in a low-latitude colony, 10 of which were re-tagged in successive years, were analysed to characterise their migratory behaviour and to test the hypothesis that individuals have repeatable migration strategies. Seawater immersion data suggested a fly-forage strategy, with birds remaining on the wing at night and only foraging during daylight. Southward movement was focused initially along Atlantic eastern-boundary upwelling systems. Most terns then reoriented eastwards, crossing the southern Indian Ocean before moving south to the Antarctic. Foraging intensity differed between migration phases. Indian Ocean foraging locations were diverse, and less frequent over deep ocean basins. Foraging intensity was highest in the later stages of return migration, particularly in and around the Azores Confluence Zone. High movement speeds and foraging intensity on return migration may be adaptations to optimise reproductive success. Some aspects of migration phenology were repeatable between years, but trajectories were displaced by wind. Repeat birds did not use the same foraging areas in different years, and their trajectories across the Indian Ocean also differed. The results of this study suggest that the Indian Ocean crossing is a behaviour pattern, surviving since the last ice age, enabling Arctic terns breeding at low-latitude northwest European colonies to arrive at fragmenting Antarctic sea ice when foraging conditions are suitable.</t>
  </si>
  <si>
    <t>[Redfern, Chris P. F.; Bevan, Richard M.] Newcastle Univ, Sch Nat &amp; Environm Sci, Newcastle Upon Tyne NE2 4HH, Tyne &amp; Wear, England; [Redfern, Chris P. F.] Great North Museum Hancock, Nat Hist Soc Northumbria, Newcastle Upon Tyne NE2 4PT, Tyne &amp; Wear, England</t>
  </si>
  <si>
    <t>Newcastle University - UK</t>
  </si>
  <si>
    <t>Redfern, CPF (corresponding author), Newcastle Univ, Sch Nat &amp; Environm Sci, Newcastle Upon Tyne NE2 4HH, Tyne &amp; Wear, England.;Redfern, CPF (corresponding author), Great North Museum Hancock, Nat Hist Soc Northumbria, Newcastle Upon Tyne NE2 4PT, Tyne &amp; Wear, England.</t>
  </si>
  <si>
    <t>chris.redfern@newcastle.ac.uk</t>
  </si>
  <si>
    <t>Redfern, Christopher/0000-0002-1833-8048</t>
  </si>
  <si>
    <t>Seabird Group and members of the Natural History Society of Northumbria; Natural History Society of Northumbria</t>
  </si>
  <si>
    <t>We are grateful to BBC Springwatch and Migrate Technology for the provision of geolocators in 2015, and to the Seabird Group and members of the Natural History Society of Northumbria who generously funded the geolocators used in 2017. We thank David Steel for providing the initial introduction to the BBC Springwatch team which enabled this project to get started while he was Head Ranger on the Farne Islands. We also thank the National Trust, and the Farne Islands Ranger Team on Inner Farne, subsequently led by Harriet Reid, for their support and encouragement of the study, and the Natural History Society of Northumbria for additional support, encouragement and interest in the project. Lastly, we thank the reviewers and editorial team for their comments and input which greatly improved the final manuscript.</t>
  </si>
  <si>
    <t>10.3354/meps14054</t>
  </si>
  <si>
    <t>2H1VP</t>
  </si>
  <si>
    <t>WOS:000814086000011</t>
  </si>
  <si>
    <t>Hellessey, N; Ericson, JA; Nichols, PD; Kawaguchi, S; Nicol, S; Hoem, N; Virtue, P</t>
  </si>
  <si>
    <t>Hellessey, Nicole; Ericson, Jessica A.; Nichols, Peter D.; Kawaguchi, So; Nicol, Stephen; Hoem, Nils; Virtue, Patti</t>
  </si>
  <si>
    <t>Regional diet in Antarctic krill (Euphausia superba) as determined by lipid, fatty acid, and sterol composition</t>
  </si>
  <si>
    <t>Dietary analysis; Ocean basins; Carnivory; Triacylglycerol; Phospholipid; Southern ocean</t>
  </si>
  <si>
    <t>ZOOPLANKTON FECAL PELLETS; SCOTIA SEA; SOUTHERN-OCEAN; PRIMARY PRODUCTIVITY; COMMUNITY STRUCTURE; SCALE DISTRIBUTION; DIGESTIVE GLAND; MARINE SNOW; WEST; ICE</t>
  </si>
  <si>
    <t>Antarctic krill (Euphausia superba) are a circumpolar species with an omnivorous diet. Knowledge of krill diet within different regions will help predict how environmental change may impact local krill populations. Krill from the Atlantic, Indian, and Pacific sectors of the Southern Ocean were compared. The total lipid, lipid class, neutral lipid fraction fatty acid and sterol content and composition of whole krill, their digestive glands, and stomachs during the late-summer were examined. Indian sector krill had a distinctly different dietary lipid pattern to Atlantic and Pacific sector krill based on their fatty acid profiles (p &lt; 0.001). Indian sector whole krill had higher phospholipids (55.0 +/- 8.9%, % total lipids) compared to Pacific (45.9 +/- 3.6%) and Atlantic sector whole krill (43.7 +/- 8.2%) but showed lower phospholipid levels in their digestive glands (29.4 +/- 8.5%, 52.5 +/- 5.7%, 52.5 +/- 5.9%, respectively). Indian sector krill had a more copepod and diatomaceous diet (higher levels of 16:1n-7c, 14:0 and 20:1 and 22:1 isomers), with less flagellate input (lower 18:4n-3, 21:5n-3 and 18:3n-6) than other regions. Krill from one site in the Indian sector had particularly high 22:6n-3 levels. Indian sector krill had lower cholesterol levels in their stomachs (52.5 +/- 14.1%, as % total sterols) than Pacific and Atlantic sector krill stomachs (62.8 +/- 1.9% and 60.9 +/- 4.9%, respectively). This study details the regional differences in late-summer krill diet by assessing the lipid, neutral lipid fraction fatty acid and sterol content and composition of different tissue types.</t>
  </si>
  <si>
    <t>[Hellessey, Nicole; Ericson, Jessica A.; Nichols, Peter D.; Nicol, Stephen; Virtue, Patti] Univ Tasmania, Inst Marine &amp; Antarctic Studies, 20 Castray Esplanade, Battery Point, Tas 7004, Australia; [Hellessey, Nicole; Ericson, Jessica A.; Nichols, Peter D.; Virtue, Patti] CSIRO Oceans &amp; Atmosphere, Battery Point, Tas 7004, Australia; [Hellessey, Nicole] Georgia Inst Technol, Ford Environm Sci &amp; Technol, 311 Ferst Dr, Atlanta, GA 30332 USA; [Ericson, Jessica A.] Cawthron Inst, 98 Halifax St East, Nelson 7010, New Zealand; [Kawaguchi, So] Australian Antarctic Div, Kingston, Tas 203, Australia; [Hoem, Nils] Aker BioMarine Antarctic AS, Oksenoyveien 10,POB 496, NO-1327 Lysaker, Norway; [Hellessey, Nicole] Georgia Inst Technol, Sch Ocean Sci &amp; Engn, 311 Ferst Dr, Atlanta, GA 30332 USA</t>
  </si>
  <si>
    <t>University of Tasmania; Commonwealth Scientific &amp; Industrial Research Organisation (CSIRO); University System of Georgia; Georgia Institute of Technology; Australian Antarctic Division; University System of Georgia; Georgia Institute of Technology</t>
  </si>
  <si>
    <t>Hellessey, N (corresponding author), Univ Tasmania, Inst Marine &amp; Antarctic Studies, 20 Castray Esplanade, Battery Point, Tas 7004, Australia.;Hellessey, N (corresponding author), CSIRO Oceans &amp; Atmosphere, Battery Point, Tas 7004, Australia.;Hellessey, N (corresponding author), Georgia Inst Technol, Sch Ocean Sci &amp; Engn, 311 Ferst Dr, Atlanta, GA 30332 USA.</t>
  </si>
  <si>
    <t>nhellessey3@gatech.edu</t>
  </si>
  <si>
    <t>Nichols, Peter D/C-5128-2011; Hellessey, Nicole/B-1695-2016; Ericson, Jessica/AAP-1976-2020</t>
  </si>
  <si>
    <t>Hellessey, Nicole/0000-0002-3053-8720; Ericson, Jessica/0000-0001-5220-8493; Hoem, Nils/0000-0002-3124-8290</t>
  </si>
  <si>
    <t>ARC Linkage Project [LP140100412]; Aker BioMarine; Commonwealth Science and Industry Research Organisation (CSIRO); Australian Antarctic Division (AAD); Griffiths University; University of Tasmania (UTAS); Institute for Marine and Antarctic Studies (IMAS); Australian Research Council [LP140100412] Funding Source: Australian Research Council</t>
  </si>
  <si>
    <t>ARC Linkage Project(Australian Research Council); Aker BioMarine; Commonwealth Science and Industry Research Organisation (CSIRO)(Commonwealth Scientific &amp; Industrial Research Organisation (CSIRO)); Australian Antarctic Division (AAD); Griffiths University; University of Tasmania (UTAS); Institute for Marine and Antarctic Studies (IMAS); Australian Research Council(Australian Research Council)</t>
  </si>
  <si>
    <t>The Authors would like to thank the journal editors, Patrick Mayzard and three anonymous reviewers for their comments that helped to greatly improve this manuscript. This project was funded by the ARC Linkage Project LP140100412, in partnership with Aker BioMarine, Commonwealth Science and Industry Research Organisation (CSIRO), Australian Antarctic Division (AAD), Griffiths University, University of Tasmania (UTAS) and the Institute for Marine and Antarctic Studies (IMAS). We thank Andrew Revill, Mina Brock and Ben Gaskell from the CSIRO for assistance in the laboratory, Aker BioMarine and the crew of the FV Saga Seas for provision of the Atlantic Ocean krill samples, Rob King from the Australian Antarctic Division for providing the Indian Ocean krill samples, and Giuseppe Suaria from the Antarctic Circumpolar Expedition (Swiss Polar Institute and Frederik Paulsen) for providing the Pacific Ocean krill samples. Lipid and fatty acid data contained in this paper will be available through the Scientific Committee for Antarctic Research (SCAR) Southern Ocean Diet and Energetics Database (https://data.aad.gov.au/trophic/).</t>
  </si>
  <si>
    <t>10.1007/s00300-022-03054-z</t>
  </si>
  <si>
    <t>WOS:000811945200001</t>
  </si>
  <si>
    <t>Brouwer, J; Fraser, AD; Murphy, DJ; Wongpan, P; Alberello, A; Kohout, A; Horvat, C; Wotherspoon, S; Massom, RA; Cartwright, J; Williams, GD</t>
  </si>
  <si>
    <t>Brouwer, Jill; Fraser, Alexander D.; Murphy, Damian J.; Wongpan, Pat; Alberello, Alberto; Kohout, Alison; Horvat, Christopher; Wotherspoon, Simon; Massom, Robert A.; Cartwright, Jessica; Williams, Guy D.</t>
  </si>
  <si>
    <t>Altimetric observation of wave attenuation through the Antarctic marginal ice zone using ICESat-2</t>
  </si>
  <si>
    <t>FLOE SIZE DISTRIBUTION; IN-SITU MEASUREMENTS; SEA-ICE; PANCAKE ICE; SATELLITE; MODEL; PROPAGATION; VARIABILITY; RADIATION; THICKNESS</t>
  </si>
  <si>
    <t>The Antarctic marginal ice zone (MIZ) is a highly dynamic region where sea ice interacts with ocean surface waves generated in ice-free areas of the Southern Ocean. Improved large-scale (satellite-based) estimates of MIZ extent and variability are crucial for understanding atmosphere-ice-ocean interactions and biological processes and detection of change therein. Legacy methods for defining the MIZ are typically based on sea ice concentration thresholds and do not directly relate to the fundamental physical processes driving MIZ variability. To address this, new techniques have been developed to measure the spatial extent of significant wave height attenuation in sea ice from variations in Ice, Cloud and land Elevation Satellite-2 (ICESat-2) surface heights. The poleward wave penetration limit (boundary) is defined as the location where significant wave height attenuation equals the estimated error in significant wave height. Extensive automated and manual acceptance/rejection criteria are employed to ensure confidence in along-track wave penetration width estimates due to significant cloud contamination of ICESat-2 data or where wave attenuation is not observed. Analysis of 304 ICESat-2 tracks retrieved from four months of 2019 (February, May, September and December) reveals that sea-ice-concentration-derived MIZ width estimates are far narrower (by a factor of similar to 7 on average) than those from the new technique presented here. These results suggest that indirect methods of MIZ estimation based on sea ice concentration are insufficient for representing physical processes that define the MIZ. Improved large-scale measurements of wave attenuation in the MIZ will play an important role in increasing our understanding of this complex sea ice zone.</t>
  </si>
  <si>
    <t>[Brouwer, Jill; Wotherspoon, Simon; Williams, Guy D.] Univ Tasmania, Inst Marine &amp; Antarctic Studies, Hobart, Tas, Australia; [Brouwer, Jill; Fraser, Alexander D.; Murphy, Damian J.; Wongpan, Pat; Massom, Robert A.] Univ Tasmania, Inst Marine &amp; Antarctic Studies, Australian Antarctic Program Partnership, Hobart, Tas, Australia; [Murphy, Damian J.; Massom, Robert A.] Australian Antarctic Div, Kingston, Australia; [Alberello, Alberto] Univ East Anglia, Sch Math, Norwich, Norfolk, England; [Kohout, Alison] Natl Inst Water &amp; Atmospher Res, Otautahi Christchurch, New Zealand; [Horvat, Christopher] Brown Univ, Dept Earth Environm &amp; Planetary Sci, Providence, RI 02912 USA; [Massom, Robert A.] Univ Tasmania, Australian Ctr Excellence Antarctic Sci, Hobart, Tas, Australia; [Cartwright, Jessica] Spire Global Inc, Glasgow, Lanark, Scotland; [Horvat, Christopher] Univ Auckland, Dept Phys, Tamaki Makaurau Auckland, New Zealand</t>
  </si>
  <si>
    <t>University of Tasmania; University of Tasmania; Australian Antarctic Division; University of East Anglia; Brown University; University of Tasmania; University of Auckland</t>
  </si>
  <si>
    <t>Fraser, AD (corresponding author), Univ Tasmania, Inst Marine &amp; Antarctic Studies, Australian Antarctic Program Partnership, Hobart, Tas, Australia.</t>
  </si>
  <si>
    <t>alexander.fraser@utas.edu.au</t>
  </si>
  <si>
    <t>Fraser, Alexander/AFO-7186-2022; Wongpan, Pat/AAX-6946-2020</t>
  </si>
  <si>
    <t>Fraser, Alexander/0000-0003-1924-0015; Wongpan, Pat/0000-0002-7113-8221; Murphy, Damian/0000-0003-1738-5560; Cartwright, Jessica/0000-0002-7569-9974; Horvat, Christopher/0000-0001-6512-0335</t>
  </si>
  <si>
    <t>Australian Government as part of the Antarctic Science Collaboration Initiative; Project 6 of the Australian Antarctic Program Partnership [ASCI000002]; Nectar Research Cloud; Tasmanian Partnership for Advanced Computing; NCRIS; Australian Antarctic Division; Australian Government's Australian Antarctic Program Partnership; Australian Research Council Special Research Initiative Australian Centre for Excellence in Antarctic Science [SR200100008]; AAS Project [4528]; Japan Society for the Promotion of Science [PE19055, 18F18794]; Grants-in-Aid for Scientific Research [18F18794] Funding Source: KAKEN</t>
  </si>
  <si>
    <t>Australian Government as part of the Antarctic Science Collaboration Initiative(Australian Government); Project 6 of the Australian Antarctic Program Partnership; Nectar Research Cloud; Tasmanian Partnership for Advanced Computing; NCRIS(Australian GovernmentDepartment of Industry, Innovation and Science); Australian Antarctic Division; Australian Government's Australian Antarctic Program Partnership; Australian Research Council Special Research Initiative Australian Centre for Excellence in Antarctic Science(Australian Research Council); AAS Project;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</si>
  <si>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project received grant funding from the Australian Government as part of the Antarctic Science Collaboration Initiative and contributes to Project 6 of the Australian Antarctic Program Partnership (project ID ASCI000002). This research was supported by use of the Nectar Research Cloud and by the Tasmanian Partnership for Advanced Computing. The Nectar Research Cloud is a collaborative Australian research platform supported by the NCRIS-funded Australian Research Data Commons (ARDC). Robert A. Massom is supported by the Australian Antarctic Division, the Australian Government's Australian Antarctic Program Partnership and the Australian Research Council Special Research Initiative Australian Centre for Excellence in Antarctic Science (project number SR200100008), and this study contributes to AAS Project 4528. Alberto Alberello and Pat Wongpan were supported by the Japan Society for the Promotion of Science (PE19055 and 18F18794, respectively).</t>
  </si>
  <si>
    <t>10.5194/tc-16-2325-2022</t>
  </si>
  <si>
    <t>2D4RS</t>
  </si>
  <si>
    <t>WOS:000811536900001</t>
  </si>
  <si>
    <t>Castro, BF; Mazloff, M; Williams, RG; Garabato, ACN</t>
  </si>
  <si>
    <t>Castro, Bieito Fernandez; Mazloff, Matthew; Williams, Richard G.; Garabato, Alberto C. Naveira</t>
  </si>
  <si>
    <t>Subtropical Contribution to Sub-Antarctic Mode Waters</t>
  </si>
  <si>
    <t>Sub-Antartic Mode Water; Southern Ocean; biogeochemical Argo float; mixed layer; preformed nutrients; subtropical gyre</t>
  </si>
  <si>
    <t>SOUTHERN-OCEAN; EXPORT PRODUCTION; CIRCULATION; VARIABILITY; CARBON; PATHWAYS; NUTRIENTS; TRANSPORT; SINK</t>
  </si>
  <si>
    <t>Sub-Antarctic Mode Waters (SAMW) form to the north of the Antarctic Circumpolar Current (ACC) through deep winter mixing. SAMW connect the atmosphere with the oceanic pycnocline, transferring heat and carbon into the ocean interior and supplying nutrients to the northern ocean basins. The processes controlling SAMW ventilation and properties remain poorly understood. Here, we investigate the significance and origin of a ubiquitous feature of SAMW formation regions: The seasonal build-up of a subsurface salinity maximum. With biogeochemical Argo floats, we show that this feature influences SAMW mixed-layer dynamics, and that its formation is associated with a decline in preformed nutrients comparable to biological drawdown in surface waters (similar to 0.15 mol m(-2) y(-1)). Our analysis reveals that these features are driven by advection of warm, salty, nutrient-poor waters of subtropical origin along the ACC. This influx represents a leading-order term in the SAMW physical and biogeochemical budgets, and can impact large-scale nutrient distributions.</t>
  </si>
  <si>
    <t>[Castro, Bieito Fernandez; Garabato, Alberto C. Naveira] Univ Southampton, Ocean &amp; Earth Sci, Natl Oceanog Ctr, Southampton, Hants, England; [Mazloff, Matthew] Scripps Inst Oceanog, La Jolla, CA USA; [Williams, Richard G.] Univ Liverpool, Sch Environm Sci, Dept Earth Ocean &amp; Ecol Sci, Liverpool, Merseyside, England</t>
  </si>
  <si>
    <t>University of Southampton; NERC National Oceanography Centre; University of California System; University of California San Diego; Scripps Institution of Oceanography; University of Liverpool</t>
  </si>
  <si>
    <t>Castro, BF (corresponding author), Univ Southampton, Ocean &amp; Earth Sci, Natl Oceanog Ctr, Southampton, Hants, England.</t>
  </si>
  <si>
    <t>b.fernandez-castro@soton.ac.uk</t>
  </si>
  <si>
    <t>Williams, Richard G/K-4111-2016</t>
  </si>
  <si>
    <t>Williams, Richard G/0000-0002-3180-7558; Fernandez Castro, Bieito/0000-0001-7797-854X</t>
  </si>
  <si>
    <t>European Union [834330]; NERC [NE/T010657/1]; National Science Foundation, Division of Polar Programs [NSF PLR-1425989, NSF OPP-1936222]; International Argo Program; NOAA; Marie Curie Actions (MSCA) [834330] Funding Source: Marie Curie Actions (MSCA)</t>
  </si>
  <si>
    <t>European Union(European Union (EU)); NERC(UK Research &amp; Innovation (UKRI)Natural Environment Research Council (NERC)); National Science Foundation, Division of Polar Programs(National Science Foundation (NSF)); International Argo Program; NOAA(National Oceanic Atmospheric Admin (NOAA) - USA); Marie Curie Actions (MSCA)(Marie Curie Actions)</t>
  </si>
  <si>
    <t>This research was funded by European Union's Horizon 2,020 research and innovation program under the Marie Skodowska-Curie grant agreement No. 834330 (SO-CUP) to BFC. RGW was supported by NERC Grant No. NE/T010657/1. Float data were collected and made freely available by the Southern Ocean Carbon and Climate Observations and Modeling (SOCCOM) Project funded by the National Science Foundation, Division of Polar Programs (NSF PLR-1425989, with extension NSF OPP-1936222), supplemented by NASA, and by the International Argo Program and the NOAA programs that contribute to it.</t>
  </si>
  <si>
    <t>e2021GL097560</t>
  </si>
  <si>
    <t>10.1029/2021GL097560</t>
  </si>
  <si>
    <t>2B7BI</t>
  </si>
  <si>
    <t>WOS:000810339400001</t>
  </si>
  <si>
    <t>Fitzcharles, E</t>
  </si>
  <si>
    <t>Fitzcharles, Elaine</t>
  </si>
  <si>
    <t>ELAINE FITZCHARLES INVEST IN TRAINING OPPORTUNITIES</t>
  </si>
  <si>
    <t>[Fitzcharles, Elaine] British Antarctic Survey, Cambridge, England</t>
  </si>
  <si>
    <t>Fitzcharles, E (corresponding author), British Antarctic Survey, Cambridge, England.</t>
  </si>
  <si>
    <t>2C1UA</t>
  </si>
  <si>
    <t>WOS:000810660500019</t>
  </si>
  <si>
    <t>Weis, J; Schallenberg, C; Chase, Z; Bowie, AR; Wojtasiewicz, B; Perron, MMG; Mallet, MD; Strutton, PG</t>
  </si>
  <si>
    <t>Weis, Jakob; Schallenberg, Christina; Chase, Zanna; Bowie, Andrew R.; Wojtasiewicz, Bozena; Perron, Morgane M. G.; Mallet, Marc D.; Strutton, Peter G.</t>
  </si>
  <si>
    <t>Southern Ocean Phytoplankton Stimulated by Wildfire Emissions and Sustained by Iron Recycling</t>
  </si>
  <si>
    <t>phytoplankton; aerosols; wildfires; remote sensing; nutrient cycling; iron fertilization</t>
  </si>
  <si>
    <t>DISSOLVED IRON; BACKSCATTERING PROPERTIES; MARINE-PHYTOPLANKTON; ORGANIC COMPLEXATION; COMMUNITY STRUCTURE; KERGUELEN PLATEAU; LIGAND PRODUCTION; MINERAL DUST; DRY SEASON; LIMITATION</t>
  </si>
  <si>
    <t>Large ash plumes emitted by the 2019-2020 Australian wildfires were associated with a widespread phytoplankton bloom in the iron-limited Pacific sector of the Southern Ocean. In this study, we used satellite observations and aerosol reanalysis products to study the regional phytoplankton community response to wildfire emissions. The bloom was stimulated by pyrogenic iron fertilization and coincided with elevated cellular pigment concentrations, increased photochemical efficiency, and apparent community structural shifts. Physiological anomalies were consistent with previously observed phytoplankton responses to iron stress relief and persisted for up to 9 months. Supported by a regional iron budget, we conclude that the bloom was sustained by iron recycling and episodic inputs of pyrogenic and dust-borne mineral iron. The continuous regeneration of iron was likely facilitated by the bloom's large size, mitigating edge dilution effects, as well as enhanced bioavailability of pyrogenic and mineral iron due to atmospheric and chemical processing during long-range transport.</t>
  </si>
  <si>
    <t>[Weis, Jakob; Schallenberg, Christina; Chase, Zanna; Bowie, Andrew R.; Perron, Morgane M. G.; Mallet, Marc D.; Strutton, Peter G.] Univ Tasmania, Inst Marine &amp; Antarctic Studies, Hobart, Tas, Australia; [Weis, Jakob; Strutton, Peter G.] Univ Tasmania, Australian Res Council, Ctr Excellence Cimate Extremes, Hobart, Tas, Australia; [Schallenberg, Christina; Bowie, Andrew R.; Wojtasiewicz, Bozena; Mallet, Marc D.] Univ Tasmania, Australian Antarctic Program Partnership, Hobart, Tas, Australia; [Wojtasiewicz, Bozena] CSIRO Oceans &amp; Atmosphere, Hobart, Tas, Australia</t>
  </si>
  <si>
    <t>University of Tasmania; University of Tasmania; University of Tasmania; Commonwealth Scientific &amp; Industrial Research Organisation (CSIRO)</t>
  </si>
  <si>
    <t>Weis, J (corresponding author), Univ Tasmania, Inst Marine &amp; Antarctic Studies, Hobart, Tas, Australia.;Weis, J (corresponding author), Univ Tasmania, Australian Res Council, Ctr Excellence Cimate Extremes, Hobart, Tas, Australia.</t>
  </si>
  <si>
    <t>jakob.weis@utas.edu.au</t>
  </si>
  <si>
    <t>Perron, Morgane/HHS-1241-2022; Doussin, Jean-Francois/C-5246-2012; Schallenberg, Christina/N-4187-2017; Strutton, Peter/C-4466-2011; Bowie, Andrew/C-8677-2013; Chase, Zanna/E-9232-2013</t>
  </si>
  <si>
    <t>Schallenberg, Christina/0000-0002-3073-7500; Strutton, Peter/0000-0002-2395-9471; Weis, Jakob/0000-0002-9493-4888; Bowie, Andrew/0000-0002-5144-7799; Chase, Zanna/0000-0001-5060-779X; Perron, Morgane/0000-0001-5424-7138; Wojtasiewicz, Bozena/0000-0002-2878-2134</t>
  </si>
  <si>
    <t>Australian Government through the Australian Research Council [DP190103504]; Australian Antarctic Program Partnership as part of the Antarctic Science Collaboration Initiative [ASCI000002]; Australian Research Council Centre of Excellence for Climate Extremes [CLEX: CE170100023]; National Science Foundation, Division of Polar Programs [NSF PLR-1425989, OPP-1936222]</t>
  </si>
  <si>
    <t>Australian Government through the Australian Research Council(Australian Research Council); Australian Antarctic Program Partnership as part of the Antarctic Science Collaboration Initiative; Australian Research Council Centre of Excellence for Climate Extremes(Australian Research Council); National Science Foundation, Division of Polar Programs(National Science Foundation (NSF))</t>
  </si>
  <si>
    <t>This research was supported by the Australian Government through the Australian Research Council Discovery Grant (DP190103504) and through the Australian Antarctic Program Partnership as part of the Antarctic Science Collaboration Initiative (ASCI000002). J. Weis and P. G. Strutton are also supported by the Australian Research Council Centre of Excellence for Climate Extremes (CLEX: CE170100023). We would specifically like to acknowledge the Southern Ocean Carbon and Climate Observations and Modeling Project funded by the National Science Foundation, Division of Polar Programs (NSF PLR-1425989 and OPP-1936222), supplemented by NASA. We thank Abigail Smith and Matthew Corkill for their helpful insights on Fe-binding ligands. Open access publishing facilitated by University of Tasmania, as part of the Wiley - University of Tasmania agreement via the Council of Australian University Librarians.</t>
  </si>
  <si>
    <t>e2021GL097538</t>
  </si>
  <si>
    <t>10.1029/2021GL097538</t>
  </si>
  <si>
    <t>1W2PK</t>
  </si>
  <si>
    <t>WOS:000806619200001</t>
  </si>
  <si>
    <t>Yu, LJ; Zhong, SY; Vihma, T; Sui, CJ; Sun, B</t>
  </si>
  <si>
    <t>Yu, Lejiang; Zhong, Shiyuan; Vihma, Timo; Sui, Cuijuan; Sun, Bo</t>
  </si>
  <si>
    <t>The Impact of the Indian Ocean Basin Mode on Antarctic Sea Ice Concentration in Interannual Time Scales</t>
  </si>
  <si>
    <t>Antarctic sea ice; the Indian Ocean Basin mode; ENSO; teleconnection; sea surface temperature</t>
  </si>
  <si>
    <t>SOUTHERN ANNULAR MODE; SURFACE TEMPERATURE; PACIFIC CLIMATE; SUMMER; ENSO; ANOMALIES; SST; ATMOSPHERE; CAPACITOR; DIPOLE</t>
  </si>
  <si>
    <t>The Antarctic sea ice variability has been linked to tropical sea surface temperature. However, little is known as to whether and how the Indian Ocean Basin Mode (IOBM) influences Antarctic sea ice changes. We revealed the existence of a teleconnection between the IOMB and Antarctic sea ice anomalies, which is much stronger in austral spring and autumn than summer and winter. In particular, under the positive phase of the IOBM, significant positive sea ice anomalies occur in the Bellingshausen and northern Weddell Seas, in contrast to negative anomalies in the Amundsen Sea, the southern Atlantic Ocean, and the coastal seas off Dronning Maud Land. This teleconnection is established by planetary wavetrains excited over the tropical Indian Ocean and the tropical Pacific Ocean and is modulated by El Nino-Southern Oscillation. The IOBM-related Antarctic sea ice anomalies are largely consistent with those of the anomalous surface air temperature and wind fields associated with the IOBM.</t>
  </si>
  <si>
    <t>[Yu, Lejiang; Sun, Bo] Polar Res Inst China, MNR Key Lab Polar Sci, Shanghai, Peoples R China; [Zhong, Shiyuan] Michigan State Univ, Dept Geog Environm &amp; Spatial Sci, E Lansing, MI 48824 USA; [Vihma, Timo] Finnish Meteorol Inst, Helsinki, Finland; [Sui, Cuijuan] Natl Marine Environm Forecasting Ctr, Beijing, Peoples R China</t>
  </si>
  <si>
    <t>Polar Research Institute of China; Michigan State University; Finnish Meteorological Institute; National Marine Environmental Forecasting Center</t>
  </si>
  <si>
    <t>Yu, LJ (corresponding author), Polar Res Inst China, MNR Key Lab Polar Sci, Shanghai, Peoples R China.</t>
  </si>
  <si>
    <t>yulejiang@sina.com.cn</t>
  </si>
  <si>
    <t>sun, bo/JFA-9978-2023; Li, Xiaoli/JVZ-4089-2024</t>
  </si>
  <si>
    <t>Yu, Lejiang/0000-0003-0535-1937</t>
  </si>
  <si>
    <t>National Science Foundation of China [41941009]; National Key R&amp;D Program of China [2018YFA0605701]; European Commission [101003590]</t>
  </si>
  <si>
    <t>National Science Foundation of China(National Natural Science Foundation of China (NSFC)); National Key R&amp;D Program of China; European Commission(European Union (EU)European Commission Joint Research Centre)</t>
  </si>
  <si>
    <t>We thank the European Centre for Medium-Range Weather Forecasts (ECMWF) for the ERA5 data. This study is financially supported by the National Science Foundation of China (41941009), the National Key R&amp;D Program of China (2018YFA0605701), and the European Commission H2020 project Polar Regions in the Earth System (PolarRES; Grant 101003590).</t>
  </si>
  <si>
    <t>e2022GL097745</t>
  </si>
  <si>
    <t>10.1029/2022GL097745</t>
  </si>
  <si>
    <t>1W2QG</t>
  </si>
  <si>
    <t>WOS:000806621500001</t>
  </si>
  <si>
    <t>Bracegirdle, TJ</t>
  </si>
  <si>
    <t>Bracegirdle, Thomas J.</t>
  </si>
  <si>
    <t>Early-to-Late Winter 20th Century North Atlantic Multidecadal Atmospheric Variability in Observations, CMIP5 and CMIP6</t>
  </si>
  <si>
    <t>CMIP5; CMIP6; low-frequency variability; climate model; reanalysis</t>
  </si>
  <si>
    <t>CLIMATE VARIABILITY; SURFACE-TEMPERATURE; JET-STREAM; OCEAN; CIRCULATION</t>
  </si>
  <si>
    <t>The strong multidecadal variability in North Atlantic (NA) winter atmospheric circulation is poorly understood and appears too weak in climate models. Recent research has shown peak atmospheric multidecadal variability over the NA in late winter, particularly March, linked to Atlantic multidecadal variability (AMV) of the ocean. Here a range of NA atmospheric circulation indices are assessed to provide a comprehensive picture of early-to-late winter low-frequency variability and its representation in the latest generation of climate models (Coupled Model Intercomparison Project Phase 6 [CMIP6]). As found for CMIP5, CMIP6 models exhibit too-weak multidecadal NA atmospheric variability compared to reanalysis data over the period 1862-2005. Consistent with previous research, the eastern part of the NA westerly jet (U700NA) exhibits peak low-frequency variability in March. However, for NA-wide jet speed and the NAO, low-frequency variability and model-reanalysis discrepancies are strongest in January and February, associated with too-weak NA ocean-atmosphere linkages.</t>
  </si>
  <si>
    <t>[Bracegirdle, Thomas J.] British Antarctic Survey, Cambridge, England</t>
  </si>
  <si>
    <t>Bracegirdle, TJ (corresponding author), British Antarctic Survey, Cambridge, England.</t>
  </si>
  <si>
    <t>tjbra@bas.ac.uk</t>
  </si>
  <si>
    <t>Bracegirdle, Thomas/0000-0002-8868-4739</t>
  </si>
  <si>
    <t>UK Natural Environment Research Council (NERC) ACSIS project [NE/N018028/1, NE/N018001/1]; NERC British Antarctic Survey research programme Polar Science for Planet Earth; Earth System Grid Federation; U.S. Department of Energy, Office of Science Biological and Environmental Research (BER); National Oceanic and Atmospheric Administration Climate Program Office; NOAA Physical Sciences Laboratory</t>
  </si>
  <si>
    <t>UK Natural Environment Research Council (NERC) ACSIS project(UK Research &amp; Innovation (UKRI)Natural Environment Research Council (NERC)); NERC British Antarctic Survey research programme Polar Science for Planet Earth; Earth System Grid Federation; U.S. Department of Energy, Office of Science Biological and Environmental Research (BER)(United States Department of Energy (DOE)); National Oceanic and Atmospheric Administration Climate Program Office(National Oceanic Atmospheric Admin (NOAA) - USA); NOAA Physical Sciences Laboratory(National Oceanic Atmospheric Admin (NOAA) - USA)</t>
  </si>
  <si>
    <t>T. J. B. was supported as part of the UK Natural Environment Research Council (NERC) ACSIS project (NE/N018028/1 and NE/N018001/1) and additionally through the NERC British Antarctic Survey research programme Polar Science for Planet Earth. The author acknowledges the World Climate Research Programme, which, through its Working Group on Coupled Modelling, coordinated and promoted CMIP5 and CMIP6. The climate modeling groups are also thanked for producing and making available their model output, the Earth System Grid Federation (ESGF) for archiving the data and providing access, and the multiple funding agencies who support CMIP5, CMIP6, and ESGF. The Centre for Environmental Data Analysis (CEDA) and JASMIN provided the platform for much of the data analysis conducted. Support for the Twentieth Century Reanalysis Project version 3 data set is provided by the U.S. Department of Energy, Office of Science Biological and Environmental Research (BER), by the National Oceanic and Atmospheric Administration Climate Program Office, and by the NOAA Physical Sciences Laboratory.</t>
  </si>
  <si>
    <t>e2022GL098212</t>
  </si>
  <si>
    <t>10.1029/2022GL098212</t>
  </si>
  <si>
    <t>1V6PF</t>
  </si>
  <si>
    <t>WOS:000806208600001</t>
  </si>
  <si>
    <t>Francis, D; Fonseca, R; Mattingly, KS; Marsh, OJ; Lhermitte, S; Cherif, C</t>
  </si>
  <si>
    <t>Francis, Diana; Fonseca, Ricardo; Mattingly, Kyle S.; Marsh, Oliver J.; Lhermitte, Stef; Cherif, Charfeddine</t>
  </si>
  <si>
    <t>Atmospheric Triggers of the Brunt Ice Shelf Calving in February 2021</t>
  </si>
  <si>
    <t>ice shelf calving; polar cyclones; atmospheric rivers; circumglobal wave train; ocean slope; zonal wavenumber 3 (ZW3)</t>
  </si>
  <si>
    <t>ANTARCTIC SEA-ICE; VARIABILITY; STATIONARY; IMPACTS; FLOW</t>
  </si>
  <si>
    <t>The calving of Antarctic ice shelves remains unpredictable to date due to a lack of understanding of the role of the different climatic components in such events. In this study, the role of atmospheric forcing in the calving of the Brunt Ice Shelf (BIS) in February 2021 is investigated using a combination of observational and reanalysis data. The occurrence of a series of extreme cyclones around the time of the calving induced an oceanward sea-surface slope of &gt;0.08 degrees leading to the calving along a pre-existing rift. The severe storms were sustained by the development of a pressure dipole on both sides of the BIS associated with a La Nina event and the positive phase of the Southern Annular Mode. Poleward advection of warm and moist low-latitude air over the BIS area just before the calving was also observed in association with atmospheric rivers accompanying the cyclones. Immediately after the calving, strong offshore winds continued and promoted the drift of the iceberg A-74 in the Weddell Sea at a speed up to 700 m day(-1). This study highlights the contribution of local atmospheric conditions to ice-shelf dynamics. The link to the larger scale circulation patterns indicates that both need to be accounted for in the projections of Antarctic ice shelf evolution.</t>
  </si>
  <si>
    <t>[Francis, Diana; Fonseca, Ricardo; Cherif, Charfeddine] Khalifa Univ, Environm &amp; Geophys Sci ENGEOS Lab, Abu Dhabi, U Arab Emirates; [Mattingly, Kyle S.] Univ Wisconsin, Space Sci &amp; Engn Ctr, Madison, WI USA; [Marsh, Oliver J.] British Antarctic Survey, Cambridge, England; [Lhermitte, Stef] Delft Univ Technol, Dept Geosci &amp; Remote Sensing, Delft, Netherlands</t>
  </si>
  <si>
    <t>Khalifa University of Science &amp; Technology; University of Wisconsin System; University of Wisconsin Madison; UK Research &amp; Innovation (UKRI); Natural Environment Research Council (NERC); NERC British Antarctic Survey; Delft University of Technology</t>
  </si>
  <si>
    <t>Francis, D (corresponding author), Khalifa Univ, Environm &amp; Geophys Sci ENGEOS Lab, Abu Dhabi, U Arab Emirates.</t>
  </si>
  <si>
    <t>diana.francis@ku.ac.ae</t>
  </si>
  <si>
    <t>Marsh, Oliver J/K-7436-2014; Mattingly, Kyle/HMP-7305-2023; Lhermitte, Stef (Stefaan)/A-3385-2013; FRANCIS, Diana/N-3729-2018</t>
  </si>
  <si>
    <t>Lhermitte, Stef (Stefaan)/0000-0002-1622-0177; Fonseca, Ricardo/0000-0002-8562-7368; FRANCIS, Diana/0000-0002-7587-0006</t>
  </si>
  <si>
    <t>Masdar Abu Dhabi Future Energy Company</t>
  </si>
  <si>
    <t>The authors would like to acknowledge the contribution of Khalifa University's high-performance computing and research computing facilities to the results of this research. We would also like to thank two anonymous reviewers for their several insightful comments and suggestions which helped to significantly improve the manuscript. This work was funded by Masdar Abu Dhabi Future Energy Company.</t>
  </si>
  <si>
    <t>e2021JD036424</t>
  </si>
  <si>
    <t>10.1029/2021JD036424</t>
  </si>
  <si>
    <t>1U2QA</t>
  </si>
  <si>
    <t>WOS:000805261200001</t>
  </si>
  <si>
    <t>Ding, MR; Liu, HL; Lin, PF; Hu, AX; Meng, Y; Li, YW; Liu, KX</t>
  </si>
  <si>
    <t>Ding, Mengrong; Liu, Hailong; Lin, Pengfei; Hu, Aixue; Meng, Yao; Li, Yiwen; Liu, Kexiu</t>
  </si>
  <si>
    <t>Overestimated Eddy Kinetic Energy in the Eddy-Rich Regions Simulated by Eddy-Resolving Global Ocean-Sea Ice Models</t>
  </si>
  <si>
    <t>eddy-resolving ocean general circulation model; OMIP-2; mesoscale eddies; eddy-rich regions; eddy kinetic energy; mesoscale eddy properties</t>
  </si>
  <si>
    <t>GENERAL-CIRCULATION MODEL; WESTERN BOUNDARY CURRENTS; MESOSCALE EDDIES; HORIZONTAL RESOLUTION; VARIABILITY; VERSION; IMPACT; SEASONALITY; SCALE</t>
  </si>
  <si>
    <t>The performance of eddy-resolving global ocean-sea ice models in simulating mesoscale eddies is evaluated using six eddy-resolving experiments forced by different atmospheric reanalysis products. Interestingly, eddy-resolving ocean general circulation models (OGCMs) tend to simulate more (less) energetic eddy-rich (eddy-poor) regions with a smaller (larger) spatial extent than satellite observation, which finally shows that larger (smaller) mesoscale energy intensity (EI) is simulated in the eddy-rich (eddy-poor) regions. Quantitatively, there is an approximately 27%-60% overestimation of EI in the eddy-rich regions, which are mainly located in the Kuroshio-Oyashio Extension, the Gulf Stream, and the Antarctic Circumpolar Currents regions, although the global mean EI is underestimated by 25%-45%. Apparently, the eddy kinetic energy in the eddy-poor region is underestimated. Further analyses based on coherent mesoscale eddy properties show that the overestimation in the eddy-rich regions is mainly attributed to mesoscale eddies' intensity and is more prominent when mesoscale eddies are in their growth stage.</t>
  </si>
  <si>
    <t>[Ding, Mengrong; Liu, Hailong; Lin, Pengfei; Meng, Yao; Li, Yiwen] Chinese Acad Sci, Inst Atmospher Phys, State Key Lab Numer Modeling Atmospher Sci &amp; Geop, Beijing, Peoples R China; [Liu, Hailong; Lin, Pengfei] Univ Chinese Acad Sci, Coll Earth &amp; Planetary Sci, Beijing, Peoples R China; [Liu, Hailong] Chinese Acad Sci, Ctr Ocean Mega Sci, Qingdao, Peoples R China; [Hu, Aixue] Natl Ctr Atmospher Res, Climate &amp; Global Dynam Lab, POB 3000, Boulder, CO 80307 USA; [Liu, Kexiu] Natl Marine Data &amp; Informat Serv, Key Lab Marine Environm Informat Technol, Minist Nat Resources, Tianjin, Peoples R China</t>
  </si>
  <si>
    <t>Chinese Academy of Sciences; Institute of Atmospheric Physics, CAS; Chinese Academy of Sciences; University of Chinese Academy of Sciences, CAS; Chinese Academy of Sciences; National Center Atmospheric Research (NCAR) - USA; Ministry of Natural Resources of the People's Republic of China; National Marine Data &amp; Information Service</t>
  </si>
  <si>
    <t>Liu, HL; Lin, PF (corresponding author), Chinese Acad Sci, Inst Atmospher Phys, State Key Lab Numer Modeling Atmospher Sci &amp; Geop, Beijing, Peoples R China.;Liu, HL; Lin, PF (corresponding author), Univ Chinese Acad Sci, Coll Earth &amp; Planetary Sci, Beijing, Peoples R China.;Liu, HL (corresponding author), Chinese Acad Sci, Ctr Ocean Mega Sci, Qingdao, Peoples R China.</t>
  </si>
  <si>
    <t>lhl@lasg.iap.ac.cn; linpf@mail.iap.ac.cn</t>
  </si>
  <si>
    <t>ding, mengrong/HDO-5124-2022; li, yiwen/ISB-4836-2023; Lin, Pengfei/AAJ-5379-2020; Liu, Hailong/C-9566-2013; Hu, Aixue/E-1063-2013</t>
  </si>
  <si>
    <t>ding, mengrong/0000-0002-1640-2691; Lin, Pengfei/0000-0003-2361-0066; Liu, Hailong/0000-0002-8780-0398; Hu, Aixue/0000-0002-1337-287X; Li, Yiwen/0000-0003-2873-4287</t>
  </si>
  <si>
    <t>National Natural Science Foundation of China [41931183, 41976026, 41931182]; National Key R&amp;D Program for Developing Basic Sciences [2020YFA0608902, 2018YFA0605703]; Strategic Priority Research Program of the Chinese Academy of Sciences [XDB42010404]; Open Fund Project of Key Laboratory of Marine Environmental Information Technology, Ministry of Natural Resources of the People's Republic of China; U.S. Department of Energy, Office of Science, Office of Biological &amp; Environmental Research (BER), Regional and Global Model Analysis (RGMA) component of the Earth and Environmental System Modeling Program [DE-SC0022070]; National Science Foundation (NSF) [IA 1947282]; National Center for Atmospheric Research (NCAR) - NSF [1852977]</t>
  </si>
  <si>
    <t>National Natural Science Foundation of China(National Natural Science Foundation of China (NSFC)); National Key R&amp;D Program for Developing Basic Sciences; Strategic Priority Research Program of the Chinese Academy of Sciences(Chinese Academy of Sciences); Open Fund Project of Key Laboratory of Marine Environmental Information Technology, Ministry of Natural Resources of the People's Republic of China; U.S. Department of Energy, Office of Science, Office of Biological &amp; Environmental Research (BER), Regional and Global Model Analysis (RGMA) component of the Earth and Environmental System Modeling Program(United States Department of Energy (DOE)); National Science Foundation (NSF)(National Science Foundation (NSF)); National Center for Atmospheric Research (NCAR) - NSF</t>
  </si>
  <si>
    <t>This study was supported by the National Natural Science Foundation of China (grants 41931183, 41976026, and 41931182), the National Key R&amp;D Program for Developing Basic Sciences (2020YFA0608902 and 2018YFA0605703), the Strategic Priority Research Program of the Chinese Academy of Sciences (grant no. XDB42010404), and the Open Fund Project of Key Laboratory of Marine Environmental Information Technology, Ministry of Natural Resources of the People's Republic of China. The authors, HLL and PFL, also acknowledge the technical support from the National Key Scientific and Technological Infrastructure project Earth System Science Numerical Simulator Facility (EarthLab). A portion of this work was supported by the U.S. Department of Energy, Office of Science, Office of Biological &amp; Environmental Research (BER), Regional and Global Model Analysis (RGMA) component of the Earth and Environmental System Modeling Program under award number DE-SC0022070 and National Science Foundation (NSF) IA 1947282. This work was also supported by the National Center for Atmospheric Research (NCAR), which is a major facility sponsored by the NSF under Cooperative agreement no. 1852977. We would like to thank the creators and archivers of the eddy-resolving OMIP-2 data used in this study. We also thank Prof. Eric Chassignet from Florida State University and two anonymous reviewers for their constructive comments that improved the manuscript.</t>
  </si>
  <si>
    <t>e2022GL098370</t>
  </si>
  <si>
    <t>10.1029/2022GL098370</t>
  </si>
  <si>
    <t>1S6MK</t>
  </si>
  <si>
    <t>WOS:000804163000001</t>
  </si>
  <si>
    <t>Isaksen, K; Nordli, O; Ivanov, B; Koltzow, MAO; Aaboe, S; Gjelten, HM; Mezghani, A; Eastwood, S; Forland, E; Benestad, RE; Hanssen-Bauer, I; Brækkan, R; Sviashchennikov, P; Demin, V; Revina, A; Karandasheva, T</t>
  </si>
  <si>
    <t>Isaksen, Ketil; Nordli, Oyvind; Ivanov, Boris; Koltzow, Morten A. O.; Aaboe, Signe; Gjelten, Herdis M.; Mezghani, Abdelkader; Eastwood, Steinar; Forland, Eirik; Benestad, Rasmus E.; Hanssen-Bauer, Inger; Braekkan, Ragnar; Sviashchennikov, Pavel; Demin, Valery; Revina, Anastasiia; Karandasheva, Tatiana</t>
  </si>
  <si>
    <t>Exceptional warming over the Barents area</t>
  </si>
  <si>
    <t>SURFACE AIR-TEMPERATURE; ARCTIC SEA-ICE; ERA-INTERIM; CLIMATE; WINTER; AMPLIFICATION; REANALYSIS; HEAT</t>
  </si>
  <si>
    <t>In recent decades, surface air temperature (SAT) data from Global reanalyses points to maximum warming over the northern Barents area. However, a scarcity of observations hampers the confidence of reanalyses in this Arctic hotspot region. Here, we study the warming over the past 20-40 years based on new available SAT observations and a quality controlled comprehensive SAT dataset from the northern archipelagos in the Barents Sea. We identify a statistically significant record-high annual warming of up to 2.7 degrees C per decade, with a maximum in autumn of up to 4.0 degrees C per decade. Our results are compared with the most recent global and Arctic regional reanalysis data sets, as well as remote sensing data records of sea ice concentration (SIC), sea surface temperature (SST) and high-resolution ice charts. The warming pattern is primarily consistent with reductions in sea ice cover and confirms the general spatial and temporal patterns represented by reanalyses. However, our findings suggest even a stronger rate of warming and SIC-SAT relation than was known in this region until now.</t>
  </si>
  <si>
    <t>[Isaksen, Ketil; Nordli, Oyvind; Koltzow, Morten A. O.; Aaboe, Signe; Gjelten, Herdis M.; Mezghani, Abdelkader; Eastwood, Steinar; Forland, Eirik; Benestad, Rasmus E.; Hanssen-Bauer, Inger; Braekkan, Ragnar] Norwegian Meteorol Inst, N-0313 Oslo, Norway; [Ivanov, Boris; Sviashchennikov, Pavel; Demin, Valery; Revina, Anastasiia; Karandasheva, Tatiana] Arctic &amp; Antarctic Res Inst, St Petersburg 199397, Russia; [Ivanov, Boris; Sviashchennikov, Pavel] St Petersburg State Univ, St Petersburg 199034, Russia; [Demin, Valery] Polar Geophys Inst, Apatity 184209, Russia</t>
  </si>
  <si>
    <t>Norwegian Meteorological Institute; Arctic &amp; Antarctic Research Institute; Saint Petersburg State University; Russian Academy of Sciences; Polar Geophysical Institute</t>
  </si>
  <si>
    <t>Isaksen, K (corresponding author), Norwegian Meteorol Inst, N-0313 Oslo, Norway.</t>
  </si>
  <si>
    <t>ketil.isaksen@met.no</t>
  </si>
  <si>
    <t>Revina, Anastasiia/J-6432-2015; Isaksen, Ketil/C-6493-2011</t>
  </si>
  <si>
    <t>Isaksen, Ketil/0000-0003-2356-5330; Benestad, Rasmus E./0000-0002-5969-4508; Aaboe, Signe/0000-0002-5618-4537; Hanssen-Bauer, Inger/0000-0002-5122-0607</t>
  </si>
  <si>
    <t>Ministry of Climate and Environment in Norway, Norwegian Meteorological Institute (MET Norway); Arctic and Antarctic Research institute (AARI); Saint-Petersburg State University (SPbSU); ESA-project Cryosphere Virtual Laboratory- CVL (ESRIN) [40000128808/19/I-NS]</t>
  </si>
  <si>
    <t>Ministry of Climate and Environment in Norway, Norwegian Meteorological Institute (MET Norway); Arctic and Antarctic Research institute (AARI); Saint-Petersburg State University (SPbSU); ESA-project Cryosphere Virtual Laboratory- CVL (ESRIN)</t>
  </si>
  <si>
    <t>The study is based on Russian-Norwegian collaboration (AARI/SPbSU-MET Norway) between 2019 and 2021. This study was funded by the Ministry of Climate and Environment in Norway, Norwegian Meteorological Institute (MET Norway), Arctic and Antarctic Research institute (AARI) and Saint-Petersburg State University (SPbSU) and the ESA-project Cryosphere Virtual Laboratory- CVL (ESRIN/Contract 40000128808/19/I-NS). Andreas Dobler downloaded and converted the CARRA data to NetCDF. Julia Lutz smoothed the English. The contribution of all persons and institutions mentioned is gratefully acknowledged.</t>
  </si>
  <si>
    <t>JUN 15</t>
  </si>
  <si>
    <t>10.1038/s41598-022-13568-5</t>
  </si>
  <si>
    <t>C9UL4</t>
  </si>
  <si>
    <t>WOS:000965283900017</t>
  </si>
  <si>
    <t>Hoffman, PF</t>
  </si>
  <si>
    <t>Hoffman, Paul F.</t>
  </si>
  <si>
    <t>Glacial erosion on a snowball Earth: testing for bias in flux balance, geographic setting, and tectonic regime</t>
  </si>
  <si>
    <t>CANADIAN JOURNAL OF EARTH SCIENCES</t>
  </si>
  <si>
    <t>snowball Earth; glacial erosion; glacial sedimentation; Marinoan; Cryogenian; Namibia</t>
  </si>
  <si>
    <t>ANTARCTIC ICE-SHEET; CONGO CRATON; MARINOAN GLACIATION; CONTINENT-WIDE; NE SVALBARD; 635 MA; CONSTRAINTS; EVOLUTION; ORIGIN; NAMIBIA</t>
  </si>
  <si>
    <t>On the southwest cape of the Congo craton, a subtropical carbonate bank the size of Greenland was heavily glaciated during two Cryogenian panglacial episodes spaced 10-20 Myr apart. In NW Namibia, the bank underwent crustal stretching with resultant Aegean Sea-type topography during the older and longer Sturtian glaciation (717-661 Ma). This is indicated by angular discordance between glacial and preglacial strata and diamictites sourced from all older units, including crystalline basement. In contrast, the bank was flat-topped and underwent broad thermal subsidence during Marinoan glaciation (646 +/- 5-635 Ma), attested by stratal parallellism and diamictites sourced from &lt;= 100 m stratigraphic depth. However, &gt;= 2.0 km of relief existed on the Marinoan continental slope, where most glacial erosion and accumulation occurred. The average rates of Marinoan erosion (2.55-6.80 m/Myr, n = 190) and accumulation (2.65-7.07 m/Myr, n = 211) are indistinguishable, implying that the location in a continental promontory did not bias erosion over accumulation. The average accumulation rates for the Sturtian and Marinoan, scaled for different averaging times, including Marinoan uncertainty, are 3.95-4.93 m/Myr (n = 183) and 2.65-7.07 m/Myr (n = 190), respectively, suggesting that a Marinoan glacioeustatic coastal escarpment substituted for rift-related Sturtian basin-and-range topography. These slow rates, comparable to long-term pre-Quaternary accumulation rates on existing abyssal plains, reconcile glacial sedimentology with the feeble hydrologic cycle of snowball Earth.</t>
  </si>
  <si>
    <t>[Hoffman, Paul F.] Univ Victoria, Sch Earth &amp; Ocean Sci, Victoria, BC, Canada; [Hoffman, Paul F.] Harvard Univ, Dept Earth &amp; Planetary Sci, Cambridge, MA 02138 USA</t>
  </si>
  <si>
    <t>University of Victoria; Harvard University</t>
  </si>
  <si>
    <t>Hoffman, PF (corresponding author), Univ Victoria, Sch Earth &amp; Ocean Sci, Victoria, BC, Canada.;Hoffman, PF (corresponding author), Harvard Univ, Dept Earth &amp; Planetary Sci, Cambridge, MA 02138 USA.</t>
  </si>
  <si>
    <t>paulfhoffman@gmail.com</t>
  </si>
  <si>
    <t>Ministry of Mines and Energy (Geological Survey of Namibia); Harvard University; U.S. National Science Foundation; Canadian Institute for Advanced Research; McGill and Princeton universities</t>
  </si>
  <si>
    <t>Ministry of Mines and Energy (Geological Survey of Namibia); Harvard University; U.S. National Science Foundation(National Science Foundation (NSF)); Canadian Institute for Advanced Research(Canadian Institute for Advanced Research (CIFAR)); McGill and Princeton universities</t>
  </si>
  <si>
    <t>Field work was authorized by the Ministry of Mines and Energy (Geological Survey of Namibia) and supported by Harvard University, the U.S. National Science Foundation (Tectonics, Earth System History, Paleoclimate, and Sedimentary &amp; Paleoenvironmental Geology programs) , the Canadian Institute for Advanced Research (Earth System Evolution Pro-gram) , and McGill and Princeton universities. Enthusiastic as-sistance in the field (see Hoffman et al. 2021, table 3) is grate-fully acknowledged. Residents in NW Namibia are thanked for hospitality and land access. Reviewers Francis Macdonald and Tom Vandyk are thanked for helpful suggestions. Glacial sedimentological studies in the survey area were spearheaded by the late Eugene W. Domack (1956-2017) .</t>
  </si>
  <si>
    <t>CANADIAN SCIENCE PUBLISHING</t>
  </si>
  <si>
    <t>OTTAWA</t>
  </si>
  <si>
    <t>65 AURIGA DR, SUITE 203, OTTAWA, ON K2E 7W6, CANADA</t>
  </si>
  <si>
    <t>0008-4077</t>
  </si>
  <si>
    <t>1480-3313</t>
  </si>
  <si>
    <t>CAN J EARTH SCI</t>
  </si>
  <si>
    <t>Can. J. Earth Sci.</t>
  </si>
  <si>
    <t>10.1139/cjes-2022-0004</t>
  </si>
  <si>
    <t>CC9H5</t>
  </si>
  <si>
    <t>WOS:000916665400001</t>
  </si>
  <si>
    <t>Brix, S; Kaiser, S; Lörz, AN; Le Saout, M; Schumacher, M; Bonk, F; Egilsdottir, H; Olafsdottir, SH; Tandberg, AHS; Taylor, J; Tewes, S; Xavier, JR; Linse, K</t>
  </si>
  <si>
    <t>Brix, Saskia; Kaiser, Stefanie; Loerz, Anne-Nina; Le Saout, Morgane; Schumacher, Mia; Bonk, Frederic; Egilsdottir, Hronn; Olafsdottir, Steinunn Hilma; Tandberg, Anne Helene S.; Taylor, James; Tewes, Simon; Xavier, Joana R.; Linse, Katrin</t>
  </si>
  <si>
    <t>Habitat variability and faunal zonation at the AEgir Ridge, a canyon-like structure in the deep Norwegian Sea</t>
  </si>
  <si>
    <t>Iceland; Deep sea; Marine invertebrates; Arctic circle; EBSA; VME; ROV transects; Banana hole; Sponge gardens; Soft corals</t>
  </si>
  <si>
    <t>NORTH-ATLANTIC; DISTRIBUTIONAL PATTERNS; EPIBENTHIC SLEDGE; SPECIES COMPOSITION; SUBMARINE CANYONS; ISOPODS CRUSTACEA; NE ATLANTIC; DIVERSITY; ICELAND; ISLANDS</t>
  </si>
  <si>
    <t>The AEgir Ridge System (ARS) is an ancient extinct spreading axis in the Nordic seas extending from the upper slope east of Iceland (similar to 550 m depth), as part of its Exclusive Economic Zone (EEZ), to a depth of similar to 3,800 m in the Norwegian basin. Geomorphologically a rift valley, the ARS has a canyon-like structure that may promote increased diversity and faunal density. The main objective of this study was to characterize benthic habitats and related macro- and megabenthic communities along the ARS, and the influence of water mass variables and depth on them. During the IceAGE3 expedition (Icelandic marine Animals: Genetics and Ecology) on RV Sonne in June 2020, benthic communities of the ARS were surveyed by means of a remotely-operated vehicle (ROV) and epibenthic sledge (EBS). For this purpose, two working areas were selected, including abyssal stations in the northeast and bathyal stations in the southwest of the ARS. Video and still images of the seabed were usedtoqualitatively describebenthic habitats based on the presence of habitat-forming taxa and the physical environment. Patterns of diversity and community composition of the soft-sediment macrofauna, retrieved from the EBS, were analyzed in a semiquantitative manner. These biological data were complemented by producing high-resolution bathymetric maps using the vessel's multi-beam echosounder system. As suspected, we were able to identify differences in species composition and number of macro- and megafaunal communities associated with a depth gradient. A biological canyon effect became evident in dense aggregates of megafaunal filter feeders and elevated macrofaunal densities. Analysis of videos and still images from the ROV transects also led to the discovery of a number of Vulnerable Marine Ecosystems (VMEs) dominated by sponges and soft corals characteristic of the Arctic region. Directions for future research encompass a more detailed, quantitative study of the megafauna and more coherent sampling over the entire depth range in order to fully capture the diversity of the habitats and biota of the region. The presence of sensitive biogenic habitats, alongside seemingly high biodiversity and naturalness are supportive of ongoing considerations of designating part of the ARS as an Ecologically and Biologically Significant Area (EBSA).</t>
  </si>
  <si>
    <t>[Brix, Saskia; Bonk, Frederic; Taylor, James] Senckenberg Nat Res Soc, German Ctr Marine Biodivers Res DZMB, Senckenberg Meer, Hamburg, Germany; [Kaiser, Stefanie] Fac Biol &amp; Environm Protect, Dept Invertebrate Zool &amp; Hydrobiol, Lodz, Poland; [Kaiser, Stefanie] INES Integrated Environm Solut UG, Wilhelmshaven, Germany; [Loerz, Anne-Nina] Univ Hamburg, Ctr Earth Syst Res &amp; Sustainabil CEN, Inst Marine Ecosyst &amp; Fisheries Sci, Hamburg, Germany; [Le Saout, Morgane; Schumacher, Mia] GEOMAR Helmholtz Ctr Ocean Res, Kiel, Germany; [Egilsdottir, Hronn; Olafsdottir, Steinunn Hilma] Marine &amp; Freshwater Res Inst, Hafnarfjordur, Iceland; [Tandberg, Anne Helene S.] Univ Bergen, Univ Museum, Bergen, Norway; [Tewes, Simon] Bundesamt Seeschiffahrt &amp; Hydrographie, Hamburg, Germany; [Xavier, Joana R.] Univ Portro, CIIMAR, Interdisciplinary Ctr Marine &amp; Environm Res, Matosinhos, Portugal; [Xavier, Joana R.] Univ Bergen, Dept Biol Sci, Bergen, Norway; [Linse, Katrin] British Antarctic Survey, Cambridge, England</t>
  </si>
  <si>
    <t>Senckenberg Gesellschaft fur Naturforschung (SGN); University of Hamburg; Helmholtz Association; GEOMAR Helmholtz Center for Ocean Research Kiel; Marine &amp; Freshwater Research Institute (MFRI); University of Bergen; Universidade do Porto; University of Bergen; UK Research &amp; Innovation (UKRI); Natural Environment Research Council (NERC); NERC British Antarctic Survey</t>
  </si>
  <si>
    <t>Brix, S (corresponding author), Senckenberg Nat Res Soc, German Ctr Marine Biodivers Res DZMB, Senckenberg Meer, Hamburg, Germany.</t>
  </si>
  <si>
    <t>Saskia.Brix-Elsig@senckenberg.de</t>
  </si>
  <si>
    <t>Tandberg, Anne/AFP-4976-2022; Le Saout, Morgane/AAQ-4845-2020; Xavier, Joana/J-8387-2012</t>
  </si>
  <si>
    <t>Tandberg, Anne/0000-0003-3470-587X; Le Saout, Morgane/0000-0003-0398-073X; Xavier, Joana/0000-0003-1386-4492</t>
  </si>
  <si>
    <t>German Science Foundation [MerMet17-6]; Bundesministerium fur Bildung und Forschung [SO276]; Narodowa Agencja Wymiany Akademickiej (NAWA, Poland) under the ULAM program; DFG project ''IceAGE Amphipoda'' [LO2543/1-1]; Norwegian Biodiversity Information Centre project [16_18_NORAMPH2]; FCT, the Portuguese Foundation for Science and Technology [UIDB/04423/2020, UIDP/04423/2020, CEECIND/00577/2018]</t>
  </si>
  <si>
    <t>German Science Foundation(German Research Foundation (DFG)); Bundesministerium fur Bildung und Forschung(Federal Ministry of Education &amp; Research (BMBF)); Narodowa Agencja Wymiany Akademickiej (NAWA, Poland) under the ULAM program(Polish National Agency for Academic Exchange (NAWA)); DFG project ''IceAGE Amphipoda''; Norwegian Biodiversity Information Centre project; FCT, the Portuguese Foundation for Science and Technology(Fundacao para a Ciencia e a Tecnologia (FCT))</t>
  </si>
  <si>
    <t>The IceAGE3 expedition was supported by the German Science Foundation (MerMet17-6) and the Bundesministerium fur Bildung und Forschung (SO276). Stefanie Kaiser received a grant from the Narodowa Agencja Wymiany Akademickiej (NAWA, Poland) under the ULAM program. Anne-Nina Lorz was funded by the DFG project ''IceAGE Amphipoda'' (LO2543/1-1). Anne Helene S Tandberg was funded through the Norwegian Biodiversity Information Centre project 16_18_NORAMPH2. Joana R Xavier's research is supported by national funds through FCT, the Portuguese Foundation for Science and Technology within the scope of UIDB/04423/2020, UIDP/04423/2020, and CEECIND/00577/2018. This study is a contribution to EU Horizon 2020 iAtlantic project. The funders had no role in study design, data collection and analysis, decision to publish, or preparation of the manuscript.</t>
  </si>
  <si>
    <t>e13394</t>
  </si>
  <si>
    <t>10.7717/peerj.13394</t>
  </si>
  <si>
    <t>3L4GE</t>
  </si>
  <si>
    <t>WOS:000834720100006</t>
  </si>
  <si>
    <t>Smith, WO</t>
  </si>
  <si>
    <t>Smith, Walker O., Jr.</t>
  </si>
  <si>
    <t>Primary productivity measurements in the Ross Sea, Antarctica: a regional synthesis</t>
  </si>
  <si>
    <t>PHYTOPLANKTON BIOMASS; PHOTOSYNTHESIS; NUTRIENTS; CROP</t>
  </si>
  <si>
    <t>Polar systems are undersampled due to the difficulty of sampling remote and challenging environments; however, these systems are critical components of global biogeochemical cycles. Measurements on primary productivity in specific areas can quantify the input of organic matter to food webs and so are of critical ecological importance as well. However, long-term measurements using the same methodology are available only for a few polar systems. Primary productivity measurements using C-14-uptake incubations from the Ross Sea, Antarctica, are synthesized, along with chlorophyll concentrations at the same depths and locations. A total of 19 independent cruises were completed and 449 stations occupied where measurements of primary productivity (each with seven depths) were completed. The incubations used the same basic simulated in situ methodology for all. Integrated water column productivity for all stations averaged 1.10 +/- 1.20 gCm(-2) d(-1), and the maximum was 13.1 g Cm-2 d(-1). Annual productivity calculated from the means throughout the growing season equalled 146 g Cm-2 yr(-1). The mean chlorophyll concentration in the euphotic zone (the 1% irradiance level) was 2.85 +/- 2.68 mg m(-3) (maximum observed concentration was 19.1 mg m(-3)). Maximum photosynthetic rates above the 30% isolume (normalized to chlorophyll) averaged 0.98 +/- 0.71 mgC (mg chl)(-1) h(-1), similar to the maximum rate found in photosynthesis-irradiance measurements. Productivity measurements are consistent with the temporal patterns of biomass found previously, with biomass and productivity peaking in late December; mixed layers were at a minimum at this time as well. Estimates of plankton composition also suggest that pre-January productivity was largely driven by the haptophyte Phaeocystis antarctica and summer productivity by diatoms. The data set (https://doi.org/10.26008/1912/bco-dmo.863815.2, Smith, 2021) will be useful for a comparison to other Antarctic regions and provide a basis for refined bio-optical models of regional primary productivity and biogeochemical models for the Southern Ocean.</t>
  </si>
  <si>
    <t>[Smith, Walker O., Jr.] Shanghai Jiao Tong Univ, Sch Oceanog, Shanghai 200300, Peoples R China; [Smith, Walker O., Jr.] William &amp; Mary, Virginia Inst Marine Sci, Gloucester Pt, VA 23062 USA</t>
  </si>
  <si>
    <t>Shanghai Jiao Tong University; William &amp; Mary; Virginia Institute of Marine Science</t>
  </si>
  <si>
    <t>Smith, WO (corresponding author), Shanghai Jiao Tong Univ, Sch Oceanog, Shanghai 200300, Peoples R China.;Smith, WO (corresponding author), William &amp; Mary, Virginia Inst Marine Sci, Gloucester Pt, VA 23062 USA.</t>
  </si>
  <si>
    <t>wos@vims.edu</t>
  </si>
  <si>
    <t>US National Science Foundation, Office of Polar Programs [OPP-0338157]</t>
  </si>
  <si>
    <t>US National Science Foundation, Office of Polar Programs(National Science Foundation (NSF))</t>
  </si>
  <si>
    <t>This research has been supported by the US National Science Foundation, Office of Polar Programs (grant no. OPP-0338157).</t>
  </si>
  <si>
    <t>10.5194/essd-14-2737-2022</t>
  </si>
  <si>
    <t>2C5LW</t>
  </si>
  <si>
    <t>WOS:000810910900001</t>
  </si>
  <si>
    <t>Yang, QY; Reid, K; Zhu, GP</t>
  </si>
  <si>
    <t>Yang, Qingyuan; Reid, Keith; Zhu, Guoping</t>
  </si>
  <si>
    <t>Biological-physical processes regulate autumn prey availability of spiny icefish Chaenodraco wilsoni in the Bransfield Strait, Antarctic</t>
  </si>
  <si>
    <t>biological-physical interaction; Bransfield Strait; Chaenodraco wilsoni; fatty acids; trophic dynamics</t>
  </si>
  <si>
    <t>FATTY-ACID-COMPOSITION; TROPHIC MARKERS; NOTOTHENIOID FISHES; EUPHAUSIA-SUPERBA; FOOD-WEB; LIPID COMPOSITIONS; FEEDING ECOLOGY; DEMERSAL FISH; ROSS SEA; PHYTOPLANKTON</t>
  </si>
  <si>
    <t>This study examines the adaptability of a Southern Ocean predator, which is dependent on Antarctic krill (Euphausia superba), to potential changes in food availability. Muscle fatty acids (FAs) of the spiny icefish Chaenodraco wilsoni collected from three areas in the Bransfield Strait (BS), northern Antarctic Peninsula during February-April 2016 give a good representation of their feeding variability. The compositions of 22:6n3 (DHA) and 20:5n3 (EPA) were both higher in the Transitional Zonal Water with Bellingshausen influence (TBW)-controlled C. wilsoni than in the Transitional Zonal Water with Weddell Sea influence (TWW)-controlled fish. This was positively correlated with photoadaptation and carbon sequestration in TBW-controlled phytoplankton. Results for the FAs 16:1n7, 16:0, DHA and EPA indicate the presence of dinoflagellates in all three areas, suggesting that during late summer and early fall, there is a seasonal phytoplankton succession, where small phytoplankton become dominant, in the BS. In addition, the compositions of some long-chain FAs (&gt;20, such as 20:0, 20:1, 22:0 and 22:1n9) and n-ary sumation 18 indicated that the food chain based on flagellates and copepods was more apparent in TWW-controlled C. wilsoni, especially the effect of El Nino-Southern Oscillation (ENSO) on the variation of prey communities in TWW-controlled areas. FA markers such as SFA/(PUFA+MUFA), n-ary sumation 15 + n-ary sumation 17 and ARA were more pronounced in TWW-controlled C. wilsoni, indicating a more strongly carnivorous and benthic food source. In the TBW-TWW confluence, the complex hydrological structure, including the presence of a large number of mesoscale eddies, allows rich nutrients and krill larvae to remain in it, providing a rich food source for the C. wilsoni. Overall, the FA data of this study show that the diet of C. wilsoni varies in different marine environments, aiding their survivability at the face of climate change.</t>
  </si>
  <si>
    <t>[Yang, Qingyuan; Zhu, Guoping] Shanghai Ocean Univ, Coll Marine Sci, Shanghai 201306, Peoples R China; [Yang, Qingyuan; Zhu, Guoping] Shanghai Ocean Univ, Ctr Polar Res, Shanghai, Peoples R China; [Reid, Keith] Univ Tasmania, Inst Marine &amp; Antarctic Studies, Hobart, Tas, Australia; [Reid, Keith] Ross Analyt, Hobart, Tas, Australia; [Zhu, Guoping] Natl Engn Res Ctr Ocean Fisheries, Shanghai, Peoples R China; [Zhu, Guoping] Shanghai Ocean Univ, Polar Marine Ecosyst Grp, Minist Educ, Key Lab Sustainable Exploitat Ocean Fisheries Res, Shanghai, Peoples R China</t>
  </si>
  <si>
    <t>Shanghai Ocean University; Shanghai Ocean University; University of Tasmania; National Engineering Research Center for Oceanic Fisheries; Shanghai Ocean University</t>
  </si>
  <si>
    <t>gpzhu@shou.edu.cn</t>
  </si>
  <si>
    <t>Zhu, Guoping/0000-0001-6081-7811; Yang, Qingyuan/0000-0002-8496-2295</t>
  </si>
  <si>
    <t>Major International Joint Research Project of the Chinese Academy of Science [183611KYSB20200059]; National Key R&amp;D Program of China [2018YFC1406801]; National Science Foundation of China [41776185]; Promote scientific research cooperation and high-level talent training projects with Canada, Australia, New Zealand; Latin America of Chinese Scholarship [2021-109]</t>
  </si>
  <si>
    <t>Major International Joint Research Project of the Chinese Academy of Science; National Key R&amp;D Program of China; National Science Foundation of China(National Natural Science Foundation of China (NSFC)); Promote scientific research cooperation and high-level talent training projects with Canada, Australia, New Zealand; Latin America of Chinese Scholarship</t>
  </si>
  <si>
    <t>Major International Joint Research Project of the Chinese Academy of Science, Grant/Award Number: 183611KYSB20200059; the National Key R&amp;D Program of China, Grant/Award Number: 2018YFC1406801; the National Science Foundation of China, Grant/Award Number: 41776185; the Promote scientific research cooperation and high-level talent training projects with Canada, Australia, New Zealand and Latin America of Chinese Scholarship Council, Grant/Award Number: 2021-109</t>
  </si>
  <si>
    <t>10.1111/jfb.15120</t>
  </si>
  <si>
    <t>3A2WP</t>
  </si>
  <si>
    <t>WOS:000811079600001</t>
  </si>
  <si>
    <t>Li, HB; Xu, ZQ; Mou, WX; Gao, LB; Zu, YC; Wang, CF; Zhao, Y; Zhang, WC; Xiao, T</t>
  </si>
  <si>
    <t>Li, Haibo; Xu, Zhiqiang; Mou, Wenxiu; Gao, Libao; Zu, Yongcan; Wang, Chaofeng; Zhao, Yuan; Zhang, Wuchang; Xiao, Tian</t>
  </si>
  <si>
    <t>Planktonic ciliates in different water masses of Cosmonaut and Cooperation Seas (Indian sector of the Southern Ocean) during austral summer</t>
  </si>
  <si>
    <t>Planktonic ciliates; Community structure; Water mass; Cosmonaut Sea; Cooperation Sea; Southern Ocean</t>
  </si>
  <si>
    <t>ICE-EDGE ZONE; COMMUNITY STRUCTURE; AMUNDSEN SEA; MICROZOOPLANKTON COMPOSITION; VERTICAL-DISTRIBUTION; EAST ANTARCTICA; GRAZING IMPACT; ASSEMBLAGES; WEST; PROTOZOOPLANKTON</t>
  </si>
  <si>
    <t>Planktonic ciliates are important components of microzooplankton in marine pelagic ecosystems. However, the study of planktonic ciliate distribution in different water masses of the Southern Ocean was scarce. We investigated planktonic ciliate distribution in different water masses of the Cosmonaut and Cooperation Seas during December 6, 2019 to January 6, 2020. Tintinnids contributed 5.97% and 3.65% to total planktonic ciliate abundance and biomass, respectively. Both total planktonic ciliate and aloricate ciliate abundances were highest in the Winter Water (WW), while tintinnid abundance was highest in the Summer Surface Water (SSW). The biomasses of total planktonic ciliates and aloricate ciliates were highest in SSW, while that of tintinnids was highest in WW. The lowest values were all observed in the Circumpolar Deep Water (CDW). Fourteen tintinnid species were grouped into three types based on their distribution characteristics: Type I (Amphorellopsis quinquealata, Codonellopsis gaussi, Cymatocylis antarctica, Cymatocylis cf. calyciformis, Cymatocylis cf. convallaria, Salpingella faurei, and Salpingella sp.) species distributed in all the water masses; Type II species (Cymatocylis cf. cristallina, Cymatocylis cf. drygalskii, and Laackmanniella naviculaefera) were found in SSW and WW; and Type III species (Amphorides laackmanni, S. costata, S. laackmanni, and one undefined species) were restricted to WW and CDW. Our results characterize the distribution patterns and influencing factors of planktonic ciliates in different water masses in the Cosmonaut and Cooperation Seas, which will be helpful to understand the pelagic assemblage variation and constitute a baseline for studying the marine food web variation in the Antarctic Zone of the Southern Ocean.</t>
  </si>
  <si>
    <t>[Li, Haibo; Mou, Wenxiu; Wang, Chaofeng; Zhao, Yuan; Zhang, Wuchang; Xiao, Tian] Chinese Acad Sci, Inst Oceanol, CAS Key Lab Marine Ecol &amp; Environm Sci, 7 Nanhai Rd, Qingdao 266071, Peoples R China; [Li, Haibo; Xu, Zhiqiang; Wang, Chaofeng; Zhao, Yuan; Zhang, Wuchang; Xiao, Tian] Qingdao Natl Lab Marine Sci &amp; Technol, Lab Marine Ecol &amp; Environm Sci, Qingdao 266237, Peoples R China; [Li, Haibo; Xu, Zhiqiang; Mou, Wenxiu; Wang, Chaofeng; Zhao, Yuan; Zhang, Wuchang; Xiao, Tian] Chinese Acad Sci, Ctr Ocean Megasci, Qingdao 266071, Peoples R China; [Xu, Zhiqiang] Chinese Acad Sci, Inst Oceanol, Jiaozhou Bay Marine Ecosyst Res Stn, Qingdao 266071, Peoples R China; [Gao, Libao; Zu, Yongcan] Minist Nat Resources, Inst Oceanog 1, Ctr Ocean &amp; Climate Res, Qingdao 266061, Peoples R China; [Mou, Wenxiu] Univ Chinese Acad Sci, Beijing 100049, Peoples R China</t>
  </si>
  <si>
    <t>Chinese Academy of Sciences; Institute of Oceanology, CAS; Laoshan Laboratory; Chinese Academy of Sciences; Chinese Academy of Sciences; Institute of Oceanology, CAS; First Institute of Oceanography, Ministry of Natural Resources; Ministry of Natural Resources of the People's Republic of China; Chinese Academy of Sciences; University of Chinese Academy of Sciences, CAS</t>
  </si>
  <si>
    <t>Zhao, Y; Zhang, WC (corresponding author), Chinese Acad Sci, Inst Oceanol, CAS Key Lab Marine Ecol &amp; Environm Sci, 7 Nanhai Rd, Qingdao 266071, Peoples R China.;Zhao, Y; Zhang, WC (corresponding author), Qingdao Natl Lab Marine Sci &amp; Technol, Lab Marine Ecol &amp; Environm Sci, Qingdao 266237, Peoples R China.;Zhao, Y; Zhang, WC (corresponding author), Chinese Acad Sci, Ctr Ocean Megasci, Qingdao 266071, Peoples R China.</t>
  </si>
  <si>
    <t>yuanzhao@qdio.ac.cn; wuchangzhang@qdio.ac.cn</t>
  </si>
  <si>
    <t>Zu, Yongcan/KHU-0219-2024</t>
  </si>
  <si>
    <t>Zhang, Wuchang/0000-0001-7534-8368; Zu, Yongcan/0000-0002-0097-4644; Gao, Libao/0000-0002-0402-9340</t>
  </si>
  <si>
    <t>National Natural Science Foundation of China [41706192]; Ministry of Natural Resources of the People's Republic of China; [01-02-02B]; [02-04-02]; [01-01-01A]; [02-01-01]; [02-01-04]</t>
  </si>
  <si>
    <t>National Natural Science Foundation of China(National Natural Science Foundation of China (NSFC)); Ministry of Natural Resources of the People's Republic of China; ; ; ; ;</t>
  </si>
  <si>
    <t>This work was supported by Impact and Response of Antarctic Seas to Climate Change (IRASCC2020-2022-Nos. 01-02-02B, 02-04-02, 01-01-01A, 02-01-01, 02-01-04), the National Natural Science Foundation of China (Grant No. 41706192). This work was also supported by the Ministry of Natural Resources of the People's Republic of China. We thank the Chinese Arctic and Antarctic Administration (CAA) and the 36th CHINARE Antarctic expedition for providing logistical support and environmental data. We are grateful to the crew on the R/V XUELONG 2 for their support and assistance during sampling. We also thank the anonymous reviewer and Michel Denis for their useful suggestions and comments on the manuscript.</t>
  </si>
  <si>
    <t>10.1007/s00300-022-03057-w</t>
  </si>
  <si>
    <t>WOS:000811421100001</t>
  </si>
  <si>
    <t>Wang, S; Ding, MH; Liu, G; Chen, W</t>
  </si>
  <si>
    <t>Wang, Sai; Ding, Minghu; Liu, Ge; Chen, Wen</t>
  </si>
  <si>
    <t>Processes and Mechanisms of Persistent Extreme Rainfall Events in the Antarctic Peninsula during Austral Summer</t>
  </si>
  <si>
    <t>Rainfall; Antarctica; Atmospheric circulation; Subseasonal variability</t>
  </si>
  <si>
    <t>SURFACE MASS-BALANCE; DRONNING MAUD LAND; PRECIPITATION; SNOWFALL; ACCUMULATION; VARIABILITY; RESOLUTION; ANOMALIES; FREQUENCY; GROWTH</t>
  </si>
  <si>
    <t>Using ERA-Interim and output of the regional climate model MAR (Modele Atmospherique Regional) forced by ERA-Interim, this study investigates the mechanisms governing the persistent extreme rainfall events (PEREs) in the Antarctic Peninsula (AP) during austral summer (December-February) for the period 1980-2017. Due to the topography's blocking effect on the warm and humid airflow, the increase in the rainfall is concentrated over the western AP during the periods of the PEREs. Contributed mainly by the low-frequency variations, the positive rainfall anomalies on the western AP can persist for multiple days, leading to the persistence of the extreme rainfall events. The additional rainfall anomalies can be attributed to the increase in the total precipitation. Through regulating the total precipitation, the low-frequency atmospheric circulation anomalies are vital to the formation of the PEREs. Specifically, a persistent circulation pattern with an anomalous cyclone (anticyclone) to the east (west) of the AP is conductive to the enhancement of poleward moisture fluxes. As a result, the total precipitation around the AP is strengthened, as well as the rainfall. Further investigation reveals that the barotropic feedback of the high-frequency eddies plays an important role in maintaining the low-frequency circulation anomalies.</t>
  </si>
  <si>
    <t>[Wang, Sai; Ding, Minghu; Liu, Ge] Chinese Acad Meteorol Sci, Inst Tibetan Plateau &amp; Polar Meteorol, State Key Lab Severe Weather, Beijing, Peoples R China; [Chen, Wen] Chinese Acad Sci, Inst Atmospher Phys, Ctr Monsoon Syst Res, Beijing, Peoples R China; [Chen, Wen] Univ Chinese Acad Sci, Coll Earth &amp; Planetary Sci, Beijing, Peoples R China</t>
  </si>
  <si>
    <t>China Meteorological Administration; Chinese Academy of Meteorological Sciences (CAMS); Chinese Academy of Sciences; Institute of Atmospheric Physics, CAS; Chinese Academy of Sciences; University of Chinese Academy of Sciences, CAS</t>
  </si>
  <si>
    <t>Ding, MH (corresponding author), Chinese Acad Meteorol Sci, Inst Tibetan Plateau &amp; Polar Meteorol, State Key Lab Severe Weather, Beijing, Peoples R China.</t>
  </si>
  <si>
    <t>dingminghu@foxmail.com</t>
  </si>
  <si>
    <t>Chen, Wen/G-6058-2011; Ding, Minghu/AFU-3600-2022</t>
  </si>
  <si>
    <t>Chen, Wen/0000-0001-9327-9079; Ding, Minghu/0000-0002-1142-6598</t>
  </si>
  <si>
    <t>National Funding of Science Committee [42122047]; Basic Research Fund of the Chinese Academy of Meteorological Sciences [2021Y021, 2021Z006]</t>
  </si>
  <si>
    <t>National Funding of Science Committee; Basic Research Fund of the Chinese Academy of Meteorological Sciences</t>
  </si>
  <si>
    <t>This study is supported jointly by the National Funding of Science Committee (42122047) and the Basic Research Fund of the Chinese Academy of Meteorological Sciences (Grants 2021Y021 and 2021Z006). This study is also a contribution to the Year of Polar Prediction (YOPP), a flagship activity of the Polar Prediction Project (PPP), initiated by the World Weather Research Programme (WWRP) of the World Meteorological Organization (WMO).</t>
  </si>
  <si>
    <t>45 BEACON ST, BOSTON, MA 02108-3693 USA</t>
  </si>
  <si>
    <t>10.1175/JCLI-D-21-0834.1</t>
  </si>
  <si>
    <t>1Y2ZE</t>
  </si>
  <si>
    <t>WOS:000808012000003</t>
  </si>
  <si>
    <t>Marin, JC; Bozkurt, D; Barrett, BS</t>
  </si>
  <si>
    <t>Marin, Julio C.; Bozkurt, Deniz; Barrett, Bradford S.</t>
  </si>
  <si>
    <t>Atmospheric Blocking Trends and Seasonality around the Antarctic Peninsula</t>
  </si>
  <si>
    <t>Antarctica; Blocking; Reanalysis data; Seasonal variability; Trends</t>
  </si>
  <si>
    <t>ROSSBY-WAVE-BREAKING; SOUTHERN-HEMISPHERE CIRCULATION; AMUNDSEN SEA EMBAYMENT; NORTH-ATLANTIC; PERSISTENT ANOMALIES; CLUSTER-ANALYSIS; WEATHER REGIMES; EXTREME COLD; CLIMATE; TEMPERATURE</t>
  </si>
  <si>
    <t>We analyze the seasonal evolution and trends of atmospheric blocking from 1979 to 2018 using a geopotential-height-based method over two domains, one located to the west (150 degrees-90 degrees W, 50 degrees-70 degrees S) and the other over and to the east (90 degrees-30 degrees W, 50 degrees-70 degrees S) of the Antarctic Peninsula. Spatial patterns of geopotential heights on days with blocking feature well-defined ridge axes over and west of much of South America, and days with the most extreme blocking (above the 99th percentile) showed upper-tropospheric ridge and cutoff low features that have been associated with extreme weather patterns. Blocking days were found to be more frequent in the first half of the period (1979-98) than the second (1999-2018) in all seasons in the west domain, whereas they seem to be more common over the eastern (peninsula) domain in 1999-2018 for austral winter, spring, and autumn, although these differences were not statistically significant. West of the Antarctic Peninsula, blocking days occur most frequently when the Antarctic Oscillation (AAO) is negative, whereas they are more frequent over the peninsula when the AAO is positive. We propose that our blocking index can be used to indicate atmospheric blocking affecting the Antarctic Peninsula, similar to how the Greenland blocking index has been used to diagnose blocking, its trends, and impacts over the Arctic.</t>
  </si>
  <si>
    <t>[Marin, Julio C.; Bozkurt, Deniz] Univ Valparaiso, Dept Meteorol, Valparaiso, Chile; [Marin, Julio C.; Bozkurt, Deniz] Univ Valparaiso, Ctr Estudios Atmosfer &amp; Astroestadist, Valparaiso, Chile; [Bozkurt, Deniz] Ctr Climate &amp; Resilience Res, Santiago, Chile; [Bozkurt, Deniz] Univ Concepcion, Ctr Invest Oceanograf COPAS COASTAL, Concepcion, Chile; [Barrett, Bradford S.] US Naval Acad, Oceanog Dept, Annapolis, MD 21402 USA; [Barrett, Bradford S.] AF Off Sci Res, Santiago, Chile</t>
  </si>
  <si>
    <t>Universidad de Valparaiso; Universidad de Valparaiso; Universidad de Concepcion; United States Department of Defense; United States Navy; United States Naval Academy</t>
  </si>
  <si>
    <t>Marin, JC (corresponding author), Univ Valparaiso, Dept Meteorol, Valparaiso, Chile.;Marin, JC (corresponding author), Univ Valparaiso, Ctr Estudios Atmosfer &amp; Astroestadist, Valparaiso, Chile.</t>
  </si>
  <si>
    <t>julio.marin@meteo.uv.cl</t>
  </si>
  <si>
    <t>Bozkurt, Deniz/C-9797-2013; Marin, Julio/HZJ-5354-2023</t>
  </si>
  <si>
    <t>Bozkurt, Deniz/0000-0003-1021-8241</t>
  </si>
  <si>
    <t>Centro de Estudios Atmosfericos y Astroestadistica (CEAAS); Universidad de Valparaiso; ANID/CONICYT [MEC80180038]; ANID/PIA/Anillo INACH [ACT192057, FB210021]; COPAS COASTAL ANID [ANID/FONDECYT/11200101]; Comision Nacional de Investigacion Cientifica y Tecnologica (CONICYT) [77190080]</t>
  </si>
  <si>
    <t>Centro de Estudios Atmosfericos y Astroestadistica (CEAAS); Universidad de Valparaiso; ANID/CONICYT; ANID/PIA/Anillo INACH; COPAS COASTAL ANID; Comision Nacional de Investigacion Cientifica y Tecnologica (CONICYT)(Comision Nacional de Investigacion Cientifica y Tecnologica (CONICYT))</t>
  </si>
  <si>
    <t>Authors Marin and Bozkurt acknowledge support from Centro de Estudios Atmosfericos y Astroestadistica (CEAAS), Universidad de Valparaiso. Bozkurt acknowledges support from ANID/CONICYT (Grant 77190080), ANID/PIA/Anillo INACH ACT192057 and ANID/FONDECYT/11200101, and COPAS COASTAL ANID FB210021. Author Barrett acknowledges the support of the Comision Nacional de Investigacion Cientifica y Tecnologica (CONICYT) in award MEC80180038.</t>
  </si>
  <si>
    <t>10.1175/JCLI-D-21-0323.1</t>
  </si>
  <si>
    <t>WOS:000808012000011</t>
  </si>
  <si>
    <t>Zhao, X; Liu, Y; Pang, XP; Ji, Q; Stein, A; Cheng, X; Chen, Y</t>
  </si>
  <si>
    <t>Zhao, Xi; Liu, Yue; Pang, Xiaoping; Ji, Qing; Stein, Alfred; Cheng, Xiao; Chen, Ying</t>
  </si>
  <si>
    <t>Concept-driven extraction of the Antarctic marginal sea ice zone from remote sensing image time series</t>
  </si>
  <si>
    <t>SPATIAL STATISTICS</t>
  </si>
  <si>
    <t>Netherlands; Marginal ice zone; Fuzzy inference system; Membership; Antarctic; Remote sensing</t>
  </si>
  <si>
    <t>FUZZY-SETS; RETRIEVAL</t>
  </si>
  <si>
    <t>Sea ice plays a significant role in global climate change. Marginal ice zone (MIZ) is defined as the transition zone between open ocean and pack ice where intensive air-ice-ocean-wave interactions between the ocean and the atmosphere occur. This definition of MIZ is rather vague, which affects its mapping. Previous data-driven methods extracted MIZ from single source data and conveniently used a single classification threshold. In this study, we propose to apply a concept-driven top down extraction method. We use a fuzzy inference system (FIS) to integrate multiple ice properties based upon the MIZ definition, and use membership functions to quantify the uncertainty of the threshold for several ice characteristics. This concept-driven method is applied to mapping the Antarctic MIZ between 2010 and 2021. Results show that a FIS successfully combines the ice concentration and ice thickness, while it allowed us to map the MIZ as objects with vague boundaries, thus well-presenting its indeterminate nature in space. (c) 2021 Elsevier B.V. All rights reserved.</t>
  </si>
  <si>
    <t>[Zhao, Xi; Cheng, Xiao] Sun Yat Sen Univ, Sch Geospatial Engn &amp; Sci, Zhuhai 519000, Peoples R China; [Zhao, Xi; Cheng, Xiao] Southern Marine Sci &amp; Engn Guangdong Lab Zhuhai, Zhuhai 519000, Peoples R China; [Liu, Yue; Pang, Xiaoping; Ji, Qing; Chen, Ying] Wuhan Univ, Chinese Antarctic Ctr Surveying &amp; Mapping, Wuhan 430079, Peoples R China; [Stein, Alfred] Univ Twente, Fac Geoinformat Sci &amp; Earth Observat ITC, Enschede, Netherlands</t>
  </si>
  <si>
    <t>Sun Yat Sen University; Southern Marine Science &amp; Engineering Guangdong Laboratory; Southern Marine Science &amp; Engineering Guangdong Laboratory (Zhuhai); Wuhan University; University of Twente</t>
  </si>
  <si>
    <t>Liu, Y (corresponding author), Wuhan Univ, Chinese Antarctic Ctr Surveying &amp; Mapping, Wuhan 430079, Peoples R China.</t>
  </si>
  <si>
    <t>zhaoxi6@mail.sysu.edu.cn; yue.liu@whu.edu.cn; pxp@whu.edu.cn; jiqing@whu.edu.cn; a.stein@utwente.nl; chengxiao9@mail.sysu.edu.cn; chen_ying@whu.edu.cn</t>
  </si>
  <si>
    <t>Innovation Group Project of Southern Marine Science and Engi-neering Guangdong Laboratory (Zhuhai) [311021008]</t>
  </si>
  <si>
    <t>Innovation Group Project of Southern Marine Science and Engi-neering Guangdong Laboratory (Zhuhai)</t>
  </si>
  <si>
    <t>This research is supported by Innovation Group Project of Southern Marine Science and Engi-neering Guangdong Laboratory (Zhuhai) (No. 311021008) . We thank the reviewers and editor for their constructive comments, which contributed to the final paper.</t>
  </si>
  <si>
    <t>2211-6753</t>
  </si>
  <si>
    <t>SPAT STAT-NETH</t>
  </si>
  <si>
    <t>Spat. Stat.</t>
  </si>
  <si>
    <t>10.1016/j.spasta.2021.100578</t>
  </si>
  <si>
    <t>Geosciences, Multidisciplinary; Mathematics, Interdisciplinary Applications; Remote Sensing; Statistics &amp; Probability</t>
  </si>
  <si>
    <t>Geology; Mathematics; Remote Sensing</t>
  </si>
  <si>
    <t>2T7XR</t>
  </si>
  <si>
    <t>WOS:000822683400019</t>
  </si>
  <si>
    <t>Maxwell, J; Gan, YM; Arango, C; Doemel, JS; Allcock, AL; van de Putte, AP; Griffiths, H</t>
  </si>
  <si>
    <t>Maxwell, Jamie; Gan, Yi Ming; Arango, Claudia; Doemel, Jana S.; Allcock, A. Louise; van de Putte, Anton P.; Griffiths, Huw</t>
  </si>
  <si>
    <t>Sea spiders (Arthropoda, Pycnogonida) from ten recent research expeditions to the Antarctic Peninsula, Scotia Arc and Weddell Sea-data</t>
  </si>
  <si>
    <t>BIODIVERSITY DATA JOURNAL</t>
  </si>
  <si>
    <t>occurrence; abundance; Southern Ocean; biodiversity; epifauna</t>
  </si>
  <si>
    <t>COLOSSENDEIS-MEGALONYX HOEK; BOTTOM</t>
  </si>
  <si>
    <t>This dataset contains information on specimens of Southern Ocean Pycnogonida (Arthropoda), that were collected from ten different research cruises, spanning 13 years. The individual aims and objectives of each cruise can be found in their cruise reports. The specimens have been collated into a single dataset, forming the basis of J. Maxwell's PhD. The dataset will be used to investigate the community structure of Antarctic pycnogonids and the factors which influence its composition. This dataset is published by SCARAntOBIS under the licence CC-BY 4.0. Please follow the guidelines from the SCAR and aires-argentina/4563-scar-xxxi-ip04b-scar-data-policy/file/) when using the data. If you have any questions regarding this dataset, please do not hesitate to contact us via the contact information provided in the metadata or via data-biodiversity-aq@na turalsciences.be.</t>
  </si>
  <si>
    <t>[Maxwell, Jamie; Allcock, A. Louise] Natl Univ Ireland, Galway, Ireland; [Gan, Yi Ming; van de Putte, Anton P.] Royal Belgian Inst Nat Sci, Brussels, Belgium; [Arango, Claudia] Queensland Museum, Brisbane, Qld, Australia; [Doemel, Jana S.] Univ Duisburg Essen, Essen, Germany; [Griffiths, Huw] British Antarctic Survey, Cambridge, England</t>
  </si>
  <si>
    <t>Ollscoil na Gaillimhe-University of Galway; Royal Belgian Institute of Natural Sciences; Queensland Museum; University of Duisburg Essen; UK Research &amp; Innovation (UKRI); Natural Environment Research Council (NERC); NERC British Antarctic Survey</t>
  </si>
  <si>
    <t>Maxwell, J (corresponding author), Natl Univ Ireland, Galway, Ireland.</t>
  </si>
  <si>
    <t>j.maxwell4@nuigalway.ie</t>
  </si>
  <si>
    <t>Griffiths, Huw J/D-4234-2009; Allcock, Louise/A-7359-2012; /A-5531-2008</t>
  </si>
  <si>
    <t>Griffiths, Huw J/0000-0003-1764-223X; Allcock, Louise/0000-0002-4806-0040; Gan, Yi-Ming/0000-0001-7087-2646; Van de Putte, Anton/0000-0003-1336-5554; Maxwell, Jamie/0000-0001-5705-2811; /0000-0003-1098-830X</t>
  </si>
  <si>
    <t>PENSOFT PUBLISHERS</t>
  </si>
  <si>
    <t>SOFIA</t>
  </si>
  <si>
    <t>12 PROF GEORGI ZLATARSKI ST, SOFIA, 1700, BULGARIA</t>
  </si>
  <si>
    <t>1314-2836</t>
  </si>
  <si>
    <t>1314-2828</t>
  </si>
  <si>
    <t>BIODIVERS DATA J</t>
  </si>
  <si>
    <t>Biodiver. Data J.</t>
  </si>
  <si>
    <t>JUN 14</t>
  </si>
  <si>
    <t>e79353</t>
  </si>
  <si>
    <t>10.3897/BDJ.10.e79353</t>
  </si>
  <si>
    <t>2I0RQ</t>
  </si>
  <si>
    <t>WOS:000814692700001</t>
  </si>
  <si>
    <t>Meredith, MP</t>
  </si>
  <si>
    <t>Meredith, Michael P.</t>
  </si>
  <si>
    <t>Carbon storage shifts around Antarctica</t>
  </si>
  <si>
    <t>Dense water production in the seas around Antarctica is a key process for century-scale carbon storage, slowing global warming. Results from an advanced new model reveal the prospect of system changes that may greatly reduce the efficiency of this carbon storage by the end of this century.</t>
  </si>
  <si>
    <t>[Meredith, Michael P.] British Antarctic Survey, Cambridge, England</t>
  </si>
  <si>
    <t>Meredith, MP (corresponding author), British Antarctic Survey, Cambridge, England.</t>
  </si>
  <si>
    <t>mmm@bas.ac.uk</t>
  </si>
  <si>
    <t>NERC [NE/W004933/1, NE/K012843/1] Funding Source: UKRI</t>
  </si>
  <si>
    <t>10.1038/s41467-022-31152-3</t>
  </si>
  <si>
    <t>2D4RF</t>
  </si>
  <si>
    <t>WOS:000811535600008</t>
  </si>
  <si>
    <t>Nissen, C; Timmermann, R; Hoppema, M; Gürses, Ö; Hauck, J</t>
  </si>
  <si>
    <t>Nissen, Cara; Timmermann, Ralph; Hoppema, Mario; Guerses, Oezgur; Hauck, Judith</t>
  </si>
  <si>
    <t>Abruptly attenuated carbon sequestration with Weddell Sea dense waters by 2100</t>
  </si>
  <si>
    <t>ANTARCTIC BOTTOM WATER; ICE-SHELF CAVITY; SOUTHERN-OCEAN; ATMOSPHERIC CO2; MASS TRANSFORMATION; DEEP-WATER; CIRCULATION; MODEL; GYRE; VENTILATION</t>
  </si>
  <si>
    <t>Weddell Sea dense water formation facilitates carbon sequestration on centennial time scales. The authors show that for a high-emission scenario, carbon sequestration is reduced by 2100 due to water-mass property changes on the continental shelf. Antarctic Bottom Water formation, such as in the Weddell Sea, is an efficient vector for carbon sequestration on time scales of centuries. Possible changes in carbon sequestration under changing environmental conditions are unquantified to date, mainly due to difficulties in simulating the relevant processes on high-latitude continental shelves. Here, we use a model setup including both ice-shelf cavities and oceanic carbon cycling and demonstrate that by 2100, deep-ocean carbon accumulation in the southern Weddell Sea is abruptly attenuated to only 40% of the 1990s rate in a high-emission scenario, while the rate in the 2050s and 2080s is still 2.5-fold and 4-fold higher, respectively, than in the 1990s. Assessing deep-ocean carbon budgets and water mass transformations, we attribute this decline to an increased presence of modified Warm Deep Water on the southern Weddell Sea continental shelf, a 16% reduction in sea-ice formation, and a 79% increase in ice-shelf basal melt. Altogether, these changes lower the density and volume of newly formed bottom waters and reduce the associated carbon transport to the abyss.</t>
  </si>
  <si>
    <t>[Nissen, Cara; Timmermann, Ralph; Hoppema, Mario; Guerses, Oezgur; Hauck, Judith] Helmholtz Zentrum Polar &amp; Meeresforsch, Alfred Wegener Inst, Bremerhaven, Germany</t>
  </si>
  <si>
    <t>Helmholtz Association; Alfred Wegener Institute, Helmholtz Centre for Polar &amp; Marine Research</t>
  </si>
  <si>
    <t>Nissen, C (corresponding author), Helmholtz Zentrum Polar &amp; Meeresforsch, Alfred Wegener Inst, Bremerhaven, Germany.</t>
  </si>
  <si>
    <t>cara.nissen@awi.de</t>
  </si>
  <si>
    <t>Nissen, Cara/HTQ-9512-2023; Hauck, Judith/AAC-3967-2019; Hoppema, Mario/I-6286-2013</t>
  </si>
  <si>
    <t>Nissen, Cara/0000-0001-5804-3191; Hauck, Judith/0000-0003-4723-9652; Hoppema, Mario/0000-0002-2326-619X</t>
  </si>
  <si>
    <t>European Union's Horizon 2020 research and innovation programme [820989]; Initiative and Networking Fund of the Helmholtz Association (Helmholtz Young Investigator Group Marine Carbon and Ecosystem Feedbacks in the Earth System [MarESys]) [VH-NG-1301]; Helmholtz Climate Initiative REKLIM (Regional Climate Change), a joint research project of the Helmholtz Association of German research centres (HGF); H2020 Societal Challenges Programme [820989] Funding Source: H2020 Societal Challenges Programme</t>
  </si>
  <si>
    <t>European Union's Horizon 2020 research and innovation programme; Initiative and Networking Fund of the Helmholtz Association (Helmholtz Young Investigator Group Marine Carbon and Ecosystem Feedbacks in the Earth System [MarESys]); Helmholtz Climate Initiative REKLIM (Regional Climate Change), a joint research project of the Helmholtz Association of German research centres (HGF); H2020 Societal Challenges Programme(Horizon 2020European Union (EU)H2020 Societal Challenges Programme)</t>
  </si>
  <si>
    <t>C.N. and M.H. were supported by the European Union's Horizon 2020 research and innovation programme under grant agreement No 820989 (project COMFORT), J.H. and O.G. were supported by the Initiative and Networking Fund of the Helmholtz Association (Helmholtz Young Investigator Group Marine Carbon and Ecosystem Feedbacks in the Earth System [MarESys], grant number VH-NG-1301), and R.T. was supported by the Helmholtz Climate Initiative REKLIM (Regional Climate Change), a joint research project of the Helmholtz Association of German research centres (HGF). The work reflects only the authors' view; the European Commission and their executive agency are not responsible for any use that may be made of the information the work contains. Computing resources were provided by the North-German Supercomputing Alliance (HLRN).</t>
  </si>
  <si>
    <t>10.1038/s41467-022-30671-3</t>
  </si>
  <si>
    <t>WOS:000811535600019</t>
  </si>
  <si>
    <t>Liang, H; Jiang, B; Liang, SL; Peng, JH; Li, SP; Han, JK; Yin, XW; Cheng, J; Jia, K; Liu, Q; Yao, YJ; Zhao, X; Zhang, XT</t>
  </si>
  <si>
    <t>Liang, Hui; Jiang, Bo; Liang, Shunlin; Peng, Jianghai; Li, Shaopeng; Han, Jiakun; Yin, Xiuwan; Cheng, Jie; Jia, Kun; Liu, Qiang; Yao, Yunjun; Zhao, Xiang; Zhang, Xiaotong</t>
  </si>
  <si>
    <t>A global long-term ocean surface daily/0.05° net radiation product from 1983-2020</t>
  </si>
  <si>
    <t>TERRESTRIAL EVAPOTRANSPIRATION; DATA SETS; FLUXES; REANALYSIS; FUSION; PARAMETERIZATION; TEMPERATURE; VARIABILITY; VALIDATION; NCEP</t>
  </si>
  <si>
    <t>The all-wave net radiation (R-n) on the ocean surface characterizes the available radiative energy balance and is important to understand the Earth's climate system. Considering the shortcomings of available ocean surface R-n datasets (e.g., coarse spatial resolutions, discrepancy in accuracy, inconsistency, and short duration), a new long-term global daily R-n product at a spatial resolution of 0.05 degrees from 1983 to 2020, as part of the Global High Resolution Ocean Surface Energy (GHOSE) products suite, was generated in this study by fusing several existing datasets including satellite and reanalysis products based on the comprehensive in situ measurements from 68 globally distributed moored buoy sites. Evaluation against in-situ measurements shows the root mean square difference, mean bias error and correlation coefficient squared of 23.56 Wm(-2), 0.88 Wm(-2) and 0.878. The global average ocean surface R-n over 1983-2020 is estimated to be 119.71 +/- 2.78 Wm(-2) with a significant increasing rate of 0.16 Wm(-2) per year. GHOSE R-n product can be valuable for oceanic and climatic studies.</t>
  </si>
  <si>
    <t>[Liang, Hui; Jiang, Bo; Peng, Jianghai; Li, Shaopeng; Han, Jiakun; Yin, Xiuwan; Cheng, Jie; Jia, Kun; Yao, Yunjun; Zhao, Xiang; Zhang, Xiaotong] Beijing Normal Univ, State Key Lab Remote Sensing Sci, Beijing 100875, Peoples R China; [Liang, Hui; Jiang, Bo; Peng, Jianghai; Li, Shaopeng; Han, Jiakun; Yin, Xiuwan; Cheng, Jie; Jia, Kun; Yao, Yunjun; Zhao, Xiang; Zhang, Xiaotong] Chinese Acad Sci, Inst Remote Sensing &amp; Digital Earth, State Key Lab Remote Sensing Sci, Beijing 100875, Peoples R China; [Liang, Hui; Jiang, Bo; Peng, Jianghai; Li, Shaopeng; Han, Jiakun; Yin, Xiuwan; Cheng, Jie; Jia, Kun; Yao, Yunjun; Zhao, Xiang; Zhang, Xiaotong] Beijing Normal Univ, China &amp; Beijing Engn Res Ctr Global Land Remote S, Inst Remote Sensing Sci &amp; Engn, Fac Geog Sci, Beijing 100875, Peoples R China; [Liang, Shunlin] Univ Maryland, Dept Geog Sci, College Pk, MD 20742 USA; [Liu, Qiang] Beijing Normal Univ, Coll Global Change &amp; Earth Syst Sci, Beijing 100875, Peoples R China</t>
  </si>
  <si>
    <t>Beijing Normal University; Chinese Academy of Sciences; The Institute of Remote Sensing &amp; Digital Earth, CAS; Beijing Normal University; University System of Maryland; University of Maryland College Park; Beijing Normal University</t>
  </si>
  <si>
    <t>Jiang, B (corresponding author), Beijing Normal Univ, State Key Lab Remote Sensing Sci, Beijing 100875, Peoples R China.;Jiang, B (corresponding author), Chinese Acad Sci, Inst Remote Sensing &amp; Digital Earth, State Key Lab Remote Sensing Sci, Beijing 100875, Peoples R China.;Jiang, B (corresponding author), Beijing Normal Univ, China &amp; Beijing Engn Res Ctr Global Land Remote S, Inst Remote Sensing Sci &amp; Engn, Fac Geog Sci, Beijing 100875, Peoples R China.</t>
  </si>
  <si>
    <t>bojiang@bnu.edu.cn</t>
  </si>
  <si>
    <t>han, jiakun/KFR-0060-2024; Zhang, Xiaotong/HIR-6204-2022; Liu, Qiang/HHZ-3181-2022; Cheng, Jie/G-2039-2011; Keyes, Dennis/AAZ-9285-2021; Li, Shaopeng/AAM-9713-2020; Jia, Kun/Q-6539-2016</t>
  </si>
  <si>
    <t>han, jiakun/0009-0009-9305-5273; Cheng, Jie/0000-0002-7620-4507; liang, hui/0000-0001-9468-421X</t>
  </si>
  <si>
    <t>Natural Science Foundation of China [41971291]; Chinese Grand Research Program on Climate Change and Responses [2016YFA0600101]</t>
  </si>
  <si>
    <t>Natural Science Foundation of China(National Natural Science Foundation of China (NSFC)); Chinese Grand Research Program on Climate Change and Responses</t>
  </si>
  <si>
    <t>This work was funded by the Natural Science Foundation of China (Grant No. 41971291) and the Chinese Grand Research Program on Climate Change and Responses (Grant No. 2016YFA0600101). All data used in this paper are available freely online, as mentioned above. We thank NASA, Nagoya University, GMAO, ECMWF, JMA, JAXA, WCRP, and NCAR of NCEP2 for providing the remotely sensed and reanalysis data. The in situ measurements were provided by the Upper Ocean Processes Group (UOP), the GTMBA Project Office of NOAA/PMEL, the International OceanSITES project, and the Chinese National Arctic and Antarctic Center (CNNADC). We thank the FAO for providing the divisional basis for the classification of oceans.</t>
  </si>
  <si>
    <t>10.1038/s41597-022-01419-x</t>
  </si>
  <si>
    <t>2D0AX</t>
  </si>
  <si>
    <t>WOS:000811220500005</t>
  </si>
  <si>
    <t>O'Brien, D; Laikre, L; Hoban, S; Bruford, MW; Ekblom, R; Fischer, MC; Hall, J; Hvilsom, C; Hollingsworth, PM; Kershaw, F; Mittan, CS; Mukassabi, TA; Ogden, R; Segelbacher, G; Shaw, RE; Vernesi, C; MacDonald, AJ</t>
  </si>
  <si>
    <t>O'Brien, David; Laikre, Linda; Hoban, Sean; Bruford, Michael W.; Ekblom, Robert; Fischer, Martin C.; Hall, Jeanette; Hvilsom, Christina; Hollingsworth, Peter M.; Kershaw, Francine; Mittan, Cinnamon S.; Mukassabi, Tarek A.; Ogden, Rob; Segelbacher, Gernot; Shaw, Robyn E.; Vernesi, Cristiano; MacDonald, Anna J.</t>
  </si>
  <si>
    <t>Bringing together approaches to reporting on within species genetic diversity</t>
  </si>
  <si>
    <t>JOURNAL OF APPLIED ECOLOGY</t>
  </si>
  <si>
    <t>biodiversity; conservation; convention on biological diversity; indicators; monitoring; policy; scorecard; wild species</t>
  </si>
  <si>
    <t>CONSERVATION; BIODIVERSITY; POLICY; SCIENCE</t>
  </si>
  <si>
    <t>Genetic diversity is one of the three main levels of biodiversity recognised in the Convention on Biological Diversity (CBD). Fundamental for species adaptation to environmental change, genetic diversity is nonetheless under-reported within global and national indicators. When it is reported, the focus is often narrow and confined to domesticated or other commercial species. Several approaches have recently been developed to address this shortfall in reporting on genetic diversity of wild species. While multiplicity of approaches is helpful in any development process, it can also lead to confusion among policy makers and heighten a perception that conservation genetics is too abstract to be of use to organisations and governments. As the developers of five of the different approaches, we have come together to explain how various approaches relate to each other and propose a scorecard, as a unifying reporting mechanism for genetic diversity. Policy implications. We believe the proposed combined approach captures the strengths of its components and is practical for all nations and subnational governments. It is scalable and can be used to evaluate species conservation projects as well as genetic conservation projects.</t>
  </si>
  <si>
    <t>[O'Brien, David; Hall, Jeanette] Scottish Nat Heritage NatureScot, Inverness, Scotland; [Laikre, Linda] Stockholm Univ, Dept Zool, Div Populat Genet, Stockholm, Sweden; [Hoban, Sean] Ctr Tree Sci, Lisle, IL USA; [Bruford, Michael W.] Cardiff Univ, Sch Biosci, Cardiff, Wales; [Ekblom, Robert] Swedish Environm Protect Agcy, Wildlife Anal Unit, Stockholm, Sweden; [Fischer, Martin C.] ETH, Inst Integrat Biol IBZ, Zurich, Switzerland; [Hvilsom, Christina] Copenhagen Zoo, Frederiksberg, Denmark; [Hollingsworth, Peter M.] Royal Bot Garden Edinburgh, Edinburgh, Midlothian, Scotland; [Kershaw, Francine] Nat Resources Def Council, New York, NY USA; [Mittan, Cinnamon S.] Michigan State Univ, Ecol &amp; Evolutionary Biol Program, E Lansing, MI 48824 USA; [Mukassabi, Tarek A.] Univ Benghazi, Fac Sci, Dept Bot, Benghazi, Libya; [Ogden, Rob] Univ Edinburgh, Royal Dick Sch Vet Studies, Edinburgh, Midlothian, Scotland; [Ogden, Rob] Univ Edinburgh, Roslin Inst, Edinburgh, Midlothian, Scotland; [Segelbacher, Gernot] Univ Freiburg, Wildlife Ecol &amp; Management, Freiburg, Germany; [Shaw, Robyn E.] Murdoch Univ, Environm &amp; Conservat Sci, Perth, WA, Australia; [Vernesi, Cristiano] Fdn Edmund Mach, Res &amp; Innovat Ctr, Forest Ecol Unit, San Michele All Adige, Italy; [MacDonald, Anna J.] Dept Agr Water &amp; Environm, Australian Antarctic Div, Kingston, Tas, Australia</t>
  </si>
  <si>
    <t>Stockholm University; Cardiff University; Swiss Federal Institutes of Technology Domain; ETH Zurich; Michigan State University; University of Benghazi; University of Edinburgh; UK Research &amp; Innovation (UKRI); Biotechnology and Biological Sciences Research Council (BBSRC); Roslin Institute; University of Edinburgh; University of Freiburg; Murdoch University; Fondazione Edmund Mach; Australian Antarctic Division</t>
  </si>
  <si>
    <t>O'Brien, D (corresponding author), Scottish Nat Heritage NatureScot, Inverness, Scotland.</t>
  </si>
  <si>
    <t>highland.newt@gmail.com</t>
  </si>
  <si>
    <t>Hoban, Sean M/E-1530-2011; Segelbacher, Gernot/F-3633-2011; MacDonald, Anna J/B-4462-2011; Fischer, Martin C./D-4326-2012; Mukassabi, Tarek A./G-7263-2016</t>
  </si>
  <si>
    <t>Segelbacher, Gernot/0000-0002-8024-7008; MacDonald, Anna J/0000-0003-2972-200X; Fischer, Martin C./0000-0002-1888-1809; Shaw, Robyn/0000-0002-7899-1743; Ekblom, Robert/0000-0003-2222-1966; Mukassabi, Tarek A./0000-0002-4108-7910; Laikre, Linda/0000-0001-9286-3361; Mittan-Moreau, Cinnamon S./0000-0002-5874-5588; Hvilsom, Christina/0000-0001-7870-6888; Hollingsworth, Peter/0000-0003-0602-0654; O'Brien, David/0000-0001-7901-295X; Ogden, Rob/0000-0002-2831-0428; Hoban, Sean/0000-0002-0348-8449; Hall, Jeanette/0000-0002-2694-8209; Kershaw, Francine/0000-0003-2146-8094</t>
  </si>
  <si>
    <t>European Cooperation in Science and Technology [CA 18134]; Svenska Forskningsradet Formas [2020/0008]; Vetenskapsradet [2019-05503]; Swedish Research Council [2019-05503] Funding Source: Swedish Research Council</t>
  </si>
  <si>
    <t>European Cooperation in Science and Technology(European Cooperation in Science and Technology (COST)); Svenska Forskningsradet Formas(Swedish Research Council Formas); Vetenskapsradet(Swedish Research Council); Swedish Research Council(Swedish Research Council)</t>
  </si>
  <si>
    <t>European Cooperation in Science and Technology, Grant/Award Number: COST Action G-BiKE CA 18134; Svenska Forskningsradet Formas, Grant/Award Number: 2020/0008; Vetenskapsradet, Grant/Award Number: 2019-05503</t>
  </si>
  <si>
    <t>0021-8901</t>
  </si>
  <si>
    <t>1365-2664</t>
  </si>
  <si>
    <t>J APPL ECOL</t>
  </si>
  <si>
    <t>J. Appl. Ecol.</t>
  </si>
  <si>
    <t>10.1111/1365-2664.14225</t>
  </si>
  <si>
    <t>4G6VQ</t>
  </si>
  <si>
    <t>WOS:000810568500001</t>
  </si>
  <si>
    <t>Zhou, MH; Luo, XC; Zhao, HM; Lu, JR; Dai, Y; Yu, Y; Zhang, L; Lin, HW; Yang, F</t>
  </si>
  <si>
    <t>Zhou, Mei-Hong; Luo, Xiang-Chao; Zhao, Hui-Min; Lu, Jing-Rong; Dai, Ying; Yu, Yong; Zhang, Liang; Lin, Hou-Wen; Yang, Fan</t>
  </si>
  <si>
    <t>New Spiro-Sesquiterpenoids from the Marine Sponge Myrmekioderma sp.</t>
  </si>
  <si>
    <t>marine sponge; Myrmekioderma; sesquiterpenoid; spiro skeleton</t>
  </si>
  <si>
    <t>Three new spiro-sesquiterpenoids, myrmekiones A-C (1-3), were isolated from the marine sponge Myrmekioderma sp. collected from the South China Sea. The structures of 1-3 were experimentally illuminated though comprehensive NMR spectra, X-ray diffraction analysis and calculated ECD. These three compounds possessed a special spiro skeleton. Compound 1 was characterized by a chamigrane-type structure, it is the first time to obtain the single-crystal of this type of oil compounds. 2 and 3 were a pair of diastereoisomers that possessed an acorane skeleton. This study expands the chemical diversity of marine origin spiro-metabolites.</t>
  </si>
  <si>
    <t>[Zhou, Mei-Hong; Dai, Ying] Shanghai Ocean Univ, Coll Food Sci &amp; Technol, 999 Huchenghuan Rd, Shanghai 201306, Peoples R China; [Luo, Xiang-Chao; Zhao, Hui-Min; Lu, Jing-Rong; Lin, Hou-Wen; Yang, Fan] Shanghai Jiao Tong Univ, Ren Ji Hosp, Res Ctr Marine Drugs, Sch Med,Dept Pharm, Shanghai 200127, Peoples R China; [Yu, Yong] Minist Nat Resources, Key Lab Polar Sci, Antarctic Great Wall Ecol Natl Observat &amp; Res Stn, Polar Res Inst China, Shanghai 200136, Peoples R China; [Yu, Yong] Shanghai Jiao Tong Univ, Sch Oceanog S00, Shanghai 200030, Peoples R China; [Zhang, Liang] Shanghai Jiao Tong Univ, Dept Pharmacol &amp; Chem Biol, Sch Med, State Key Lab Oncogenes &amp; Related Genes, Shanghai 200025, Peoples R China</t>
  </si>
  <si>
    <t>Shanghai Ocean University; Shanghai Jiao Tong University; Ministry of Natural Resources of the People's Republic of China; Polar Research Institute of China; Shanghai Jiao Tong University; Shanghai Jiao Tong University</t>
  </si>
  <si>
    <t>Lin, HW; Yang, F (corresponding author), Shanghai Jiao Tong Univ, Ren Ji Hosp, Res Ctr Marine Drugs, Sch Med,Dept Pharm, Shanghai 200127, Peoples R China.</t>
  </si>
  <si>
    <t>linhouwen@renji.com; bill1985@126.com</t>
  </si>
  <si>
    <t>Li, Shiyu/KHE-1376-2024; ZHU, Licheng/KHT-6106-2024; zheng, xin/JNS-5523-2023; Zhang, Wenbin/JXX-8070-2024</t>
  </si>
  <si>
    <t>National Natural Science Foundation of China [82073758, 22137006, U2106227]; Shanghai Rising-Star Program [19QA1405300]; Oceanic Interdisciplinary Program of Shanghai Jiao Tong University [SL2020MS029]; Open Project of National Major Science and Technology Infrastructure of Translational Medicine [TMSK-2021-206]</t>
  </si>
  <si>
    <t>National Natural Science Foundation of China(National Natural Science Foundation of China (NSFC)); Shanghai Rising-Star Program; Oceanic Interdisciplinary Program of Shanghai Jiao Tong University; Open Project of National Major Science and Technology Infrastructure of Translational Medicine</t>
  </si>
  <si>
    <t>The National Natural Science Foundation of China (82073758, 22137006, U2106227), the Shanghai Rising-Star Program (19QA1405300), the Oceanic Interdisciplinary Program of Shanghai Jiao Tong University (SL2020MS029), Open Project of National Major Science and Technology Infrastructure of Translational Medicine (TMSK-2021-206) supported this research. This work is in memory of Mr. Yi-Zhen Yan.</t>
  </si>
  <si>
    <t>e202200455</t>
  </si>
  <si>
    <t>10.1002/cbdv.202200455</t>
  </si>
  <si>
    <t>3D8DB</t>
  </si>
  <si>
    <t>WOS:000810705200001</t>
  </si>
  <si>
    <t>Danis, B; Wallis, B; Guillaumot, C; Moreau, C; Pasotti, F; Heindler, FM; Robert, H; Christiansen, H; Jossart, Q; Saucède, T</t>
  </si>
  <si>
    <t>Danis, Bruno; Wallis, Ben; Guillaumot, Charlene; Moreau, Camille; Pasotti, Francesca; Heindler, Franz M.; Robert, Henri; Christiansen, Henrik; Jossart, Quentin; Saucede, Thomas</t>
  </si>
  <si>
    <t>Nimble vessel cruises as a complementary platform for Southern Ocean biodiversity research: concept and preliminary results from the Belgica 121 expedition</t>
  </si>
  <si>
    <t>biodiversity census; biogeography; environmental efficiency; western Antarctic Peninsula</t>
  </si>
  <si>
    <t>CLIMATE-CHANGE; ANTARCTIC PENINSULA; SEA-ICE; ECOSYSTEMS; ADAPTATION</t>
  </si>
  <si>
    <t>The western Antarctic Peninsula is facing rapid environmental changes and many recent publications stress the need to gain new knowledge regarding ecosystems responses to these changes. In the framework of the Belgica 121 expedition, we tested the use of a nimble vessel with a moderate environmental footprint as an approach to tackle the urgent needs of the Southern Ocean research community in terms of knowledge regarding the levels of marine biodiversity in shallow areas and the potential impacts of retreating glaciers on this biodiversity in combination with increasing tourism pressure. We discuss the strengths and drawbacks of using a 75' (23 m) sailboat in this research framework, as well as its sampling and environmental efficiency. We propose that the scientific community considers this approach to 1) fill specific knowledge gaps and 2) improve the general coherence of the research objectives of the Antarctic scientific community in terms of biodiversity conservation and the image that such conservation conveys to the general public.</t>
  </si>
  <si>
    <t>[Danis, Bruno; Guillaumot, Charlene; Moreau, Camille; Jossart, Quentin] Univ Libre Bruxelles ULB, Lab Biol Marine, B-1050 Brussels, Belgium; [Wallis, Ben] Ocean Expedit, Sydney, NSW 2000, Australia; [Guillaumot, Charlene; Moreau, Camille; Saucede, Thomas] Univ Bourgogne Franche Comte, Biogeosci, UMR 6282 CNRS, F-21078 Dijon, France; [Pasotti, Francesca] Univ Ghent, Marine Biol Res Grp, B-9000 Ghent, Belgium; [Heindler, Franz M.; Christiansen, Henrik] Univ Leuven, Lab Biodivers &amp; Evolutionary Genom, B-3000 Leuven, Belgium; [Robert, Henri; Jossart, Quentin] Vrije Univ Brussel VUB, Marine Biol, Pl Laan 2, B-1050 Brussels, Belgium</t>
  </si>
  <si>
    <t>Universite Libre de Bruxelles; Universite de Bourgogne; Ghent University; KU Leuven; Vrije Universiteit Brussel</t>
  </si>
  <si>
    <t>Danis, B (corresponding author), Univ Libre Bruxelles ULB, Lab Biol Marine, B-1050 Brussels, Belgium.</t>
  </si>
  <si>
    <t>bdanis@ulb.ac.be</t>
  </si>
  <si>
    <t>Christiansen, Henrik/GXG-6057-2022; Heindler, Franz Maximilian/C-2365-2018</t>
  </si>
  <si>
    <t>Christiansen, Henrik/0000-0001-7114-5854; Danis, Bruno/0000-0002-9037-7623; Moreau, Camille/0000-0002-0981-7442; Pasotti, Francesca/0000-0002-8971-8195; Heindler, Franz Maximilian/0000-0003-4305-7296; Jossart, Quentin/0000-0002-2280-243X</t>
  </si>
  <si>
    <t>Belgian Science Policy Office (BELSPO, under the BRAIN (Belgian Research Action through Interdisciplinary Networks) funding scheme); Federal Public Service Health; Food Chain Safety and Environment; Federation Wallonia-Brussels; Fund for Scientific Research (FNRS); Research Foundation -Flanders (FWO); Leopold 3 Fund for the exploration and conservation of Nature; Royal Belgian Society for Zoology; Refugia and Ecosystem Tolerance in the Southern Ocean project (RECTO) - Belgian Science Policy Office (BELSPO) [BR/154/A1/RECTO]; Ecosystem Responses to global change: a multiscale approach in the Southern Ocean project (vERSO) - Belgian Science Policy Office (BELSPO) [BR/132/A1/vERSO]; RECTO project [21]; vERSO project [43]; Flanders Innovation AMP; Entrepreneurship (VLAIO) [141328]</t>
  </si>
  <si>
    <t>Belgian Science Policy Office (BELSPO, under the BRAIN (Belgian Research Action through Interdisciplinary Networks) funding scheme); Federal Public Service Health; Food Chain Safety and Environment; Federation Wallonia-Brussels; Fund for Scientific Research (FNRS)(Fonds de la Recherche Scientifique - FNRS); Research Foundation -Flanders (FWO)(FWO); Leopold 3 Fund for the exploration and conservation of Nature; Royal Belgian Society for Zoology; Refugia and Ecosystem Tolerance in the Southern Ocean project (RECTO) - Belgian Science Policy Office (BELSPO); Ecosystem Responses to global change: a multiscale approach in the Southern Ocean project (vERSO) - Belgian Science Policy Office (BELSPO); RECTO project; vERSO project; Flanders Innovation AMP; Entrepreneurship (VLAIO)</t>
  </si>
  <si>
    <t>We are grateful to our funding agencies for trusting our team: the Belgian Science Policy Office (BELSPO, under the BRAIN (Belgian Research Action through Interdisciplinary Networks) funding scheme), the Federal Public Service Health, Food Chain Safety and Environment, Federation Wallonia-Brussels, the Fund for Scientific Research (FNRS), the Research Foundation -Flanders (FWO), the Leopold 3 Fund for the exploration and conservation of Nature and the Royal Belgian Society for Zoology. This research was funded by the Refugia and Ecosystem Tolerance in the Southern Ocean project (RECTO; BR/154/A1/RECTO) and the Ecosystem Responses to global change: a multiscale approach in the Southern Ocean project (vERSO; BR/132/A1/vERSO; http://rectoversoprojects.be), both funded by the Belgian Science Policy Office (BELSPO). This is contribution #21 to the RECTO project and contribution #43 to the vERSO project. HC was supported by a grant from the former Flemish agency for Innovation by Science and Technology (IWT), now managed through Flanders Innovation &amp; Entrepreneurship (VLAIO, grant no. 141328).</t>
  </si>
  <si>
    <t>10.1017/S0954102022000165</t>
  </si>
  <si>
    <t>WOS:000810781500001</t>
  </si>
  <si>
    <t>Marambio, MA; MacDonell, SA; Moraga, NO</t>
  </si>
  <si>
    <t>Marambio, Marcelo A.; MacDonell, Shelley A.; Moraga, Nelson O.</t>
  </si>
  <si>
    <t>Surface melting of snow-firn-ice structures and estimation of extended transient energy and mass balances using a liquid solid phase-change model</t>
  </si>
  <si>
    <t>INTERNATIONAL COMMUNICATIONS IN HEAT AND MASS TRANSFER</t>
  </si>
  <si>
    <t>Snow; Ice; Energy balance; Finite volume method; Melting</t>
  </si>
  <si>
    <t>SEMIARID ANDES; TRANSFER COEFFICIENT; HEAT-TRANSFER; GLACIER; SUBLIMATION; SENSITIVITY; FORMULATION; ANTARCTICA; CONVECTION; RADIATION</t>
  </si>
  <si>
    <t>Parameterized energy and mass balance models are often applied to estimate energy fluxes at the surface that are available for melting and sublimation of snow and ice surfaces. In this study we evaluate the suitability of quantifying transient energy and mass fluxes on frozen surface using the finite volume method in comparison with the traditional glaciological energy balance approach. To assess the model application, we apply the methods to two datasets: a glacier in the semiarid Andes, and an Antarctic ice shelf, estimating the effect of time varying surface irradiation, wind velocity, air temperature and humidity on the history of temperature, liquid water and heat fluxes during 30 months. Results of energy and mass balances are validated with previously published results of global balances and meteorological datasets.</t>
  </si>
  <si>
    <t>[Marambio, Marcelo A.; Moraga, Nelson O.] Univ La Serena, Benavente 980, La Serena, Chile; [Marambio, Marcelo A.; MacDonell, Shelley A.] Ctr Estudios Avanzados Zonas Aridas CEAZA, Raul Bitran 1305, La Serena, Chile; [MacDonell, Shelley A.] Univ Canterbury, Waterways Ctr Freshwater Management, Christchurch 4800, New Zealand; [MacDonell, Shelley A.] Lincoln Univ, Christchurch 4800, New Zealand</t>
  </si>
  <si>
    <t>Universidad de La Serena; University of Canterbury</t>
  </si>
  <si>
    <t>Marambio, MA (corresponding author), Univ La Serena, Benavente 980, La Serena, Chile.</t>
  </si>
  <si>
    <t>mmarambio@alumnosuls.cl</t>
  </si>
  <si>
    <t>MacDonell, Shelley/J-2480-2016</t>
  </si>
  <si>
    <t>MacDonell, Shelley/0000-0001-9641-4547</t>
  </si>
  <si>
    <t>Universidad de La Serena; ANID [1181540]; ANID-FONDECYT [2021-21210781]</t>
  </si>
  <si>
    <t>Universidad de La Serena; ANID; ANID-FONDECYT</t>
  </si>
  <si>
    <t>M. Marambio was financially supported by ANID-Subdireccion de Capital Humano/Doctorado Nacional/2021-21210781 and the Universidad de La Serena. S. MacDonell and M. Marambio were supported by ANID-FONDECYT 1181540, and received logistical support from INACH.</t>
  </si>
  <si>
    <t>0735-1933</t>
  </si>
  <si>
    <t>1879-0178</t>
  </si>
  <si>
    <t>INT COMMUN HEAT MASS</t>
  </si>
  <si>
    <t>Int. Commun. Heat Mass Transf.</t>
  </si>
  <si>
    <t>10.1016/j.icheatmasstransfer.2022.106175</t>
  </si>
  <si>
    <t>Thermodynamics; Mechanics</t>
  </si>
  <si>
    <t>2U1HP</t>
  </si>
  <si>
    <t>WOS:000822914300003</t>
  </si>
  <si>
    <t>Ward, JPJ; Hendry, KR; Arndt, S; Faust, JC; Freitas, FS; Henley, SF; Krause, JW; Marz, C; Ng, HC; Pickering, RA; Tessin, AC</t>
  </si>
  <si>
    <t>Ward, James P. J.; Hendry, Katharine R.; Arndt, Sandra; Faust, Johan C.; Freitas, Felipe S.; Henley, Sian F.; Krause, Jeffrey W.; Marz, Christian; Ng, Hong Chin; Pickering, Rebecca A.; Tessin, Allyson C.</t>
  </si>
  <si>
    <t>Stable silicon isotopes uncover a mineralogical control on the benthic silicon cycle in the Arctic Barents Sea</t>
  </si>
  <si>
    <t>Silicon isotopes; Benthic flux; Pore water; Reactive pools; Sediment nutrient cycling</t>
  </si>
  <si>
    <t>MARGINAL ICE-ZONE; BIOGENIC SILICA; DEEP-SEA; SOUTHERN-OCEAN; MARINE-SEDIMENTS; EARLY DIAGENESIS; COASTAL WATERS; ORGANIC-CARBON; SI CYCLE; DISSOLUTION KINETICS</t>
  </si>
  <si>
    <t>Biogeochemical cycling of silicon (Si) in the Barents Sea is under considerable pressure from physical and chemical changes, including dramatic warming and sea ice retreat, together with a decline in dissolved silicic acid (DSi) concentrations of Atlantic inflow waters since 1990. Associated changes in the community composition of phytoplankton blooms will alter the material comprising the depositional flux, which will subsequently influence recycling processes at and within the seafloor. In this study we assess the predominant controls on the early diagenetic cycling of Si, a key nutrient in marine ecosystems, by combining stable isotopic analysis (delta Si-30) of pore water DSi and of operationally defined reactive pools of the solid phase. We show that low biogenic silica (BSi) contents (0.26-0.52 wt% or 92-185 mu mol g dry wt(-1)) drive correspondingly low asymptotic concentrations of pore water DSi of -100 mu M, relative to biosiliceous sediments (&gt; 20 wt% BSi) wherein DSi can reach-900 mu M. While Barents Sea surface sediments appear almost devoid of BSi, we present evidence for the rapid recycling of bloom derived BSi that generates striking transient peaks in sediment pore water [DSi] of up to 300 mu M, which is a feature that is subject to future shifts in phytoplankton community compositions. Using a simple isotopic mass balance calculation we show that at two of three stations the pore water DSi pool at 0.5 cm below the seafloor (+0.96 to +1.36 %0) is sourced from the mixing of core top waters (+1.46 to +1.69 %0) with the dissolution of BSi (+0.82 to +1.50 %0), supplemented with a lithogenic Si source (LSi) (-0.89 +/- 0.16%0). Further, our sediment pore water delta Si-30 profiles uncover a coupling of the Si cycle with the redox cycling of metal oxides associated with isotopically light Si (-2.88 +/- 0.17%0). We suggest that a high LSi:BSi ratio and apparent metal oxide influence could lead to a degree of stability in the annual background benthic flux of DSi, despite current pressures on pelagic phytoplankton communities. Coupled with supporting isotopic evidence for the precipitation of authi-genic clays in Barents Sea sediment cores, our observations have implications for the regional Si budget. (C) 2022 The Author(s). Published by Elsevier Ltd.</t>
  </si>
  <si>
    <t>[Ward, James P. J.; Hendry, Katharine R.; Freitas, Felipe S.; Ng, Hong Chin] Univ Bristol, Sch Earth Sci, Bristol BS8 1QE, England; [Arndt, Sandra] Univ Bruxelles, Dept Geosci, BGeosys, CP160-03, B-1050 Brussels, Belgium; [Faust, Johan C.] Univ Bremen, Ctr Marine Environm Sci, MARUM, D-28359 Bremen, Germany; [Henley, Sian F.] Univ Edinburgh, Sch Geosci, Edinburgh EH9 3FE, Scotland; [Krause, Jeffrey W.] Dauphin Isl Sea Lab, Dauphin Isl, AL USA; [Krause, Jeffrey W.] Univ S Alabama, Sch Marine &amp; Environm Sci, Mobile, AL USA; [Faust, Johan C.; Marz, Christian; Tessin, Allyson C.] Univ Leeds, Sch Earth &amp; Environm, Leeds LS2 9JT, England; [Pickering, Rebecca A.] Lund Univ, Dept Geol, Solvegatan 12, S-22362 Lund, Sweden; [Hendry, Katharine R.] British Antarctic Survey, Cambridge CB3 0ET, England; [Marz, Christian] Univ Bonn, Inst Geosci, Bonn 853115, Germany</t>
  </si>
  <si>
    <t>University of Bristol; Universite Libre de Bruxelles; University of Bremen; University of Edinburgh; Dauphin Island Sea Lab; University of South Alabama; University of Leeds; Lund University; UK Research &amp; Innovation (UKRI); Natural Environment Research Council (NERC); NERC British Antarctic Survey; University of Bonn</t>
  </si>
  <si>
    <t>Ward, JPJ (corresponding author), Univ Bristol, Sch Earth Sci, Bristol BS8 1QE, England.</t>
  </si>
  <si>
    <t>JamesPJ.Ward@bristol.ac.uk</t>
  </si>
  <si>
    <t>Pickering, Rebecca A/ABB-4873-2021; Arndt, Sandra/E-7639-2017; Hendry, Katharine/E-4793-2011</t>
  </si>
  <si>
    <t>Pickering, Rebecca A/0000-0001-5295-2976; Sales de Freitas, Felipe/0000-0001-8279-5772; Ng, Hong Chin/0000-0002-2707-8372; Hendry, Katharine/0000-0002-0790-5895; Krause, Jeffrey/0000-0003-2479-6229</t>
  </si>
  <si>
    <t>Natural Environment Research Council (NERC) [NE/P005942/1, NE/P006108/1, NE/P006493/1 2017-2022]; NERC [NE/P005942/1, NE/P006108/1] Funding Source: UKRI</t>
  </si>
  <si>
    <t>Natural Environment Research Council (NERC)(UK Research &amp; Innovation (UKRI)Natural Environment Research Council (NERC)); NERC(UK Research &amp; Innovation (UKRI)Natural Environment Research Council (NERC))</t>
  </si>
  <si>
    <t>This research is part of the Changing Arctic Ocean Seafloor project (ChAOS) of the Changing Arctic Ocean Programme, funded by the Natural Environment Research Council (NERC) (Grant Nos. NE/P005942/1, NE/P006108/1 and NE/P006493/1 2017-2022). Authors are grateful to all those involved in cruises JR16006, JR17007, JR18006 aboard the RRS James Clark Ross, as well as National Marine Facilities and the British Antarctic Survey for their logistical support. We also thank colleagues at the University of Bristol for technical support (Dr. C. Coath, Dr. L. Cassarino, Dr. J. Hatton, Dr. S. Bates, Ms. R. Ward and Dr. A. McAleer) , as well as the reviewers and associate editor for their constructive comments to improve this manuscript.</t>
  </si>
  <si>
    <t>10.1016/j.gca.2022.05.005</t>
  </si>
  <si>
    <t>2N6ZD</t>
  </si>
  <si>
    <t>Green Published, Green Submitted, Green Accepted, hybrid</t>
  </si>
  <si>
    <t>WOS:000818523300013</t>
  </si>
  <si>
    <t>Braumann, SM; Schaefer, JM; Neuhuber, S; Fiebig, M</t>
  </si>
  <si>
    <t>Braumann, Sandra M.; Schaefer, Joerg M.; Neuhuber, Stephanie; Fiebig, Markus</t>
  </si>
  <si>
    <t>Moraines in the Austrian Alps record repeated phases of glacier stabilization through the Late Glacial and the Early Holocene</t>
  </si>
  <si>
    <t>ANTARCTIC COLD REVERSAL; SWISS-ALPS; YOUNGER DRYAS; NEW-ZEALAND; IN-SITU; CLIMATIC FLUCTUATIONS; DEGLACIATION HISTORY; COSMOGENIC BE-10; EGESEN MORAINE; EUROPEAN ALPS</t>
  </si>
  <si>
    <t>Climate is currently warming due to anthropogenic impact on the Earth's atmosphere. To better understand the processes and feedbacks within the climate system that underlie this accelerating warming trend, it is useful to examine past periods of abrupt climate change that were driven by natural forcings. Glaciers provide an excellent natural laboratory for reconstructing the climate of the past as they respond sensitively to climate oscillations. Therefore, we study glacier systems and their behavior during the transition from colder to warmer climate phases, focusing on the period between 15 and 10 ka. Using a combination of geomorphological mapping and beryllium-10 surface exposure dating, we reconstruct ice extents in two glaciated valleys of the Silvretta Massif in the Austrian Alps. The mountain glacier record shows that general deglaciation after the Last Glacial Maximum (LGM) was repeatedly interrupted by glacier stabilization or readvance, perhaps during the Oldest Dryas to Bolling transition (landform age: 14.4 +/- 1.0 ka) and certainly during the Younger Dryas (YD; 12.9-11.7 ka) and the Early Holocene (EH; 12-10 ka). The oldest landform age indicates a lateral ice margin that postdates the 'Gschnitz' stadial (ca. 17-16 ka) and predates the YD. It shows that local inner-alpine glaciers were more extensive until the onset of the Bolling warm phase (ca. 14.6 ka), or possibly even into the Bolling than during the subsequent YD. The second age group, ca. 80 m below the (pre-)Bolling ice margin, indicates glacier extents during the YD cold phase and captures the spatial and temporal fine structure of glacier retreat during this period. The ice surface lowered approximately 50-60 m through the YD, which is indicative of milder climate conditions at the end of the YD compared to its beginning. Finally, the third age group falls into a period of more substantial warming, the YD-EH transition, and shows discontinuous glacier retreat during the glacial to interglacial transition. The new geochronologies synthesized with pre-existing moraine records from the Silvretta Massif evidence multiple cold phases that punctuated the general post-LGM warming trend and illustrate the sensitive response of Silvretta glaciers to abrupt climate oscillations in the past.</t>
  </si>
  <si>
    <t>[Braumann, Sandra M.; Neuhuber, Stephanie; Fiebig, Markus] Univ Nat Resources &amp; Life Sci BOKU, Inst Appl Geol, Peter Jordan Str 82, A-1190 Vienna, Austria; [Braumann, Sandra M.; Schaefer, Joerg M.] Columbia Univ, Div Geochem, Lamont Doherty Earth Observ, Palisades, NY 10964 USA</t>
  </si>
  <si>
    <t>BOKU University; Columbia University</t>
  </si>
  <si>
    <t>Braumann, SM (corresponding author), Univ Nat Resources &amp; Life Sci BOKU, Inst Appl Geol, Peter Jordan Str 82, A-1190 Vienna, Austria.;Braumann, SM (corresponding author), Columbia Univ, Div Geochem, Lamont Doherty Earth Observ, Palisades, NY 10964 USA.</t>
  </si>
  <si>
    <t>sandra.braumann@boku.ac.at</t>
  </si>
  <si>
    <t>Sandra M., Braumann/0000-0001-9217-6748</t>
  </si>
  <si>
    <t>inatura Museum GmbH; National Science Foundation [NSF-1853881]; DOC Fellowship of the Austrian Academy of Sciences (OeAW) at the Institute of Applied Geology, University of Natural Resources and Life Sciences (BOKU) Vienna; OeAD GmbH; Marshall Plan scholarship by the Austrian Marshall Plan Foundation; BOKU's 'Transitions to Sustainability' (T2S) doctoral school</t>
  </si>
  <si>
    <t>inatura Museum GmbH; National Science Foundation(National Science Foundation (NSF)); DOC Fellowship of the Austrian Academy of Sciences (OeAW) at the Institute of Applied Geology, University of Natural Resources and Life Sciences (BOKU) Vienna; OeAD GmbH; Marshall Plan scholarship by the Austrian Marshall Plan Foundation; BOKU's 'Transitions to Sustainability' (T2S) doctoral school</t>
  </si>
  <si>
    <t>This research was sponsored by inatura Museum GmbH and is based upon work supported by the National Science Foundation under grant no. NSF-1853881. SMB is a recipient of a DOC Fellowship of the Austrian Academy of Sciences (OeAW) at the Institute of Applied Geology, University of Natural Resources and Life Sciences (BOKU) Vienna. For research visits at the Lamont-Doherty Earth Observatory (LDEO) of Columbia University, SMB received a Marietta Blau scholarship sponsored by OeAD GmbH, a Marshall Plan scholarship provided by the Austrian Marshall Plan Foundation and financial support from BOKU's 'Transitions to Sustainability' (T2S) doctoral school. SMB thanks the LDEO cosmogenic nuclide laboratory staff Roseanne Schwartz and Jean Hanley for advice during sample processing and Alan J. Hidy at CAMS-LLNL for 10Be sample analysis. SMB is grateful to Dominik Blasenbauer for assistance in the field, and to Allie Balter-Kennedy for helpful discussions on this manuscript. The authors thank two anonymous reviewers for their thoughtful comments that helped to improve the manuscript, and John Hiemstra for handling the manuscript as an editor.</t>
  </si>
  <si>
    <t>JUN 13</t>
  </si>
  <si>
    <t>10.1038/s41598-022-12477-x</t>
  </si>
  <si>
    <t>2C4LE</t>
  </si>
  <si>
    <t>WOS:000810841100090</t>
  </si>
  <si>
    <t>Messaoud, JH; Thibault, N; Aljahdali, MH; Yaich, C</t>
  </si>
  <si>
    <t>Messaoud, Jihede Haj; Thibault, Nicolas; Aljahdali, Mohammed H.; Yaich, Chokri</t>
  </si>
  <si>
    <t>Middle Eocene to early Oligocene biostratigraphy in the SW Neo-Tethys (Tunisia): Large-scale correlations using calcareous nannofossil events and paleoceanographic implications</t>
  </si>
  <si>
    <t>JOURNAL OF AFRICAN EARTH SCIENCES</t>
  </si>
  <si>
    <t>Coccoliths; Zonal schemes; Diachronous species; Micropaleontology; Eocene biohorizons</t>
  </si>
  <si>
    <t>ALANO SECTION; ANTARCTIC GLACIATION; KERGUELEN PLATEAU; SEA-LEVEL; OCEAN; CLIMATE; STRATIGRAPHY; BIOCHRONOLOGY; TRANSITION; OPTIMUM</t>
  </si>
  <si>
    <t>We integrate previous Bayesian and astronomically tuned age calibrations of the calcareous nannofossils events with our large-scale correlations to discuss using the standard calcareous nannofossil zonal schemes in the SW Neo-Tethys platform during a period of significant paleoceanographic, tectonic, and paleoclimatic perturbations (middle Eocene to early Oligocene). Two marine on-land sections extend from NP15 (Nanno-Plankton zone) to lower NP23, equivalent to upper CNE9 (Calcareous Nannofossil of the Eocene) to lower CNO3 (Calcareous Nannofossil of the Oligocene), are studied.Calcareous nannofossils have been investigated at less than 96 kyr resolution between 45.55 Ma and 31.9 Ma. The Souar section covers the Top (T) of the Nannotetrina alata group zone (CNE9, Lutetian) to the Isthmolithus recurvus zone (CNE18, Priabonian) in the Pelagic facies of the Tunisian dorsal. The El Rahma section extends from the Helicosphaera compacta zone (CNE21) to the Reticulofenestra umbilicus (CNO2) zone in the Cap Bon peninsula. The distribution patterns were studied through semi-quantitative counts to test the reliability of the biohorizons used in the standard biozonations schemes (Martini, 1971; Agnini et al., 2014). We discuss 14 biohorizons that span 13.65 Myr to highlight the limitations (absence/scarcity) of the Chiasmolithus group, particularly Ch. grandis, Ch. oamaruensis, and Ch. solitus, as biohorizons in the SW Neo-Tethys. Our study shows that Sphenolithus furcatolithoides, Dictyococcites bisectus, Sphenolithus obtusus, and Reticulofenestra erbae are reliable horizons for large-scale correlations with the northern margins of the Neo-Tethys. Calcareous nannofossils from the SW Neo-Tethys margin were highly affected by the paleo-circulation changes due to the episodic restriction of the westward subtropical Eocene Neo-Tethys (STENT) current (Jovane et al., 2009), followed by the closure of the eastern Neo-Tethys.</t>
  </si>
  <si>
    <t>[Messaoud, Jihede Haj] King Abdullah Univ Sci &amp; Technol, Ali I Al Naimi Petr Engn Res Ctr, Thuwal, Saudi Arabia; [Thibault, Nicolas] Univ Copenhagen, Dept Geosci &amp; Nat Resource Management, Oster Voldgade 10, DK-1350 Copenhagen C, Denmark; [Aljahdali, Mohammed H.] King Abdulaziz Univ, Fac Marine Sci, Marine Geol Dept, Jeddah 21589, Saudi Arabia; [Yaich, Chokri] Univ Sfax, Sfax Natl Sch Engineers, Lab Sediment Dynam &amp; Environm, PB 1173, Sfax 3038, Tunisia; [Yaich, Chokri] Sfax Natl Engn Sch, PB 1178,Soukra Rd Km 4, Sfax 3038, Tunisia; [Yaich, Chokri] Univ Sfax, Rd Airport Km 0-5, Sfax, Tunisia</t>
  </si>
  <si>
    <t>King Abdullah University of Science &amp; Technology; University of Copenhagen; King Abdulaziz University; Universite de Sfax; Ecole Nationale dIngenieurs de Sfax (ENIS); Universite de Sfax; Ecole Nationale dIngenieurs de Sfax (ENIS); Universite de Sfax</t>
  </si>
  <si>
    <t>Messaoud, JH (corresponding author), King Abdullah Univ Sci &amp; Technol, Ali I Al Naimi Petr Engn Res Ctr, Thuwal, Saudi Arabia.</t>
  </si>
  <si>
    <t>jihede.hajmessaoud@kaust.edu.sa; nt@ign.ku.dk; maljahdli@kau.edu.sa; chokriyaich@gmail.com</t>
  </si>
  <si>
    <t>Thibault, Nicolas/B-1106-2013</t>
  </si>
  <si>
    <t>Thibault, Nicolas/0000-0003-4147-5531; Haj messaoud, Jihede/0000-0002-6825-7051</t>
  </si>
  <si>
    <t>1464-343X</t>
  </si>
  <si>
    <t>1879-1956</t>
  </si>
  <si>
    <t>J AFR EARTH SCI</t>
  </si>
  <si>
    <t>J. Afr. Earth Sci.</t>
  </si>
  <si>
    <t>10.1016/j.jafrearsci.2022.104805</t>
  </si>
  <si>
    <t>L7VC5</t>
  </si>
  <si>
    <t>WOS:001025291300001</t>
  </si>
  <si>
    <t>Devlin, JJ; Unfried, L; Lecheta, MC; McCabe, EA; Gantz, JD; Kawarasaki, Y; Elnitsky, MA; Hotaling, S; Michel, AP; Convey, P; Hayward, SAL; Teets, NM</t>
  </si>
  <si>
    <t>Devlin, Jack J.; Unfried, Laura; Lecheta, Melise C.; McCabe, Eleanor A.; Gantz, Josiah D.; Kawarasaki, Yuta; Elnitsky, Michael A.; Hotaling, Scott; Michel, Andrew P.; Convey, Peter; Hayward, Scott A. L.; Teets, Nicholas M.</t>
  </si>
  <si>
    <t>Simulated winter warming negatively impacts survival of Antarctica's only endemic insect</t>
  </si>
  <si>
    <t>Antarctica; climate change; entomology; microclimate; physiological ecology</t>
  </si>
  <si>
    <t>GOLDENROD GALL FLY; EUROSTA-SOLIDAGINIS DIPTERA; CLIMATE-CHANGE; CRYOPROTECTIVE DEHYDRATION; ALASKOZETES-ANTARCTICUS; CRYPTOPYGUS-ANTARCTICUS; POTENTIAL FECUNDITY; BELGICA-ANTARCTICA; SUPERCOOLED LARVAE; MIDGE</t>
  </si>
  <si>
    <t>Antarctic winters are challenging for terrestrial invertebrates, and species that live there have specialised adaptations to conserve energy and protect against cold injury in the winter. However, rapidly occurring climate change in these regions will increase the unpredictability of winter conditions, and there is currently a dearth of knowledge on how the highly adapted invertebrates of Antarctica will respond to changes in winter temperatures. We evaluated the response of larvae of the Antarctic midge, Belgica antarctica, to simulated winters at three ecologically relevant mean temperature scenarios: warm (-1 degrees C), normal (-3 degrees C) and cold (-5 degrees C). Within each scenario, larvae were placed into three distinct habitat types in which they are commonly observed (decaying organic matter, living moss, and Prasiola crispa algae). Following the simulated overwintering period, a range of physiological outcomes were measured, namely survival, locomotor activity, tissue damage, energy store levels and molecular stress responses. Survival, energy stores and locomotor activity were significantly lower following the Warm overwintering environment than at lower temperatures, but tissue damage and heat shock protein expression (a proxy for protein damage) did not significantly differ between the three temperatures. Survival was also significantly lower in larvae overwintered in Prasiola crispa algae, although the underlying mechanism is unclear. Heat shock proteins were expressed least in larvae overwintering in living moss, suggesting it is less stressful to overwinter in this substrate, perhaps due to a more defined structure affording less direct contact with ice. Our results demonstrate that a realistic 2 degrees C increase in winter microhabitat temperature reduces survival and causes energy deficits that have implications for subsequent development and reproduction. While our Warm winter scenario was close to the range of observed overwintering temperatures for this species, warmer winters are expected to become more common in response to climate change. Conversely, if climate change reduces the length of winter, some of the negative consequences of winter warming may be attenuated, so it will be important to consider this factor in future studies. Nonetheless, our results indicate that winter warming could negatively impact cold-adapted insects such as the Antarctic midge. Read the free Plain Language Summary for this article on the Journal blog.</t>
  </si>
  <si>
    <t>[Devlin, Jack J.; Unfried, Laura; Lecheta, Melise C.; McCabe, Eleanor A.; Teets, Nicholas M.] Univ Kentucky, Dept Entomol, Lexington, KY 40506 USA; [Gantz, Josiah D.] Hendrix Coll, Dept Biol &amp; Hlth Sci, Conway, AR USA; [Kawarasaki, Yuta] Gustavus Adolphus Coll, Dept Biol, St Peter, MN 56082 USA; [Elnitsky, Michael A.] Mercyhurst Univ, Dept Biol, Erie, PA USA; [Hotaling, Scott] Washington State Univ, Sch Biol Sci, Pullman, WA 99164 USA; [Michel, Andrew P.] Ohio State Univ, Dept Entomol, Wooster, OH USA; [Convey, Peter] NERC, British Antarctic Survey, Cambridge, England; [Convey, Peter] Univ Johannesburg, Dept Zool, Auckland Pk, South Africa; [Hayward, Scott A. L.] Univ Birmingham, Sch Biosci, Birmingham, W Midlands, England</t>
  </si>
  <si>
    <t>University of Kentucky; Gustavus Adolphus College; Washington State University; University System of Ohio; Ohio State University; UK Research &amp; Innovation (UKRI); Natural Environment Research Council (NERC); NERC British Antarctic Survey; University of Johannesburg; University of Birmingham</t>
  </si>
  <si>
    <t>Devlin, JJ (corresponding author), Univ Kentucky, Dept Entomol, Lexington, KY 40506 USA.</t>
  </si>
  <si>
    <t>jjde237@uky.edu</t>
  </si>
  <si>
    <t>Teets, Nicholas/IQT-5328-2023; Convey, Peter/AAV-5728-2020; Teets, Nicholas/H-7386-2013</t>
  </si>
  <si>
    <t>Convey, Peter/0000-0001-8497-9903; Hotaling, Scott/0000-0002-5965-0986; Teets, Nicholas/0000-0003-0963-7457; Devlin, Jack/0000-0002-0444-6267</t>
  </si>
  <si>
    <t>British Antarctic Survey [NE/T009446/1]; National Science Foundation [OPP-1850988]; U.S. Department of Agriculture [1010996]; NERC [NE/T009446/1] Funding Source: UKRI</t>
  </si>
  <si>
    <t>British Antarctic Survey; National Science Foundation(National Science Foundation (NSF)); U.S. Department of Agriculture(United States Department of Agriculture (USDA)); NERC(UK Research &amp; Innovation (UKRI)Natural Environment Research Council (NERC))</t>
  </si>
  <si>
    <t>British Antarctic Survey, Grant/Award Number: NE/T009446/1; National Science Foundation, Grant/Award Number: OPP-1850988; U.S. Department of Agriculture, Grant/Award Number: 1010996</t>
  </si>
  <si>
    <t>10.1111/1365-2435.14089</t>
  </si>
  <si>
    <t>3M2YA</t>
  </si>
  <si>
    <t>WOS:000809673500001</t>
  </si>
  <si>
    <t>Piontek, J; Meeske, C; Hassenrück, C; Engel, A; Jürgens, K</t>
  </si>
  <si>
    <t>Piontek, Judith; Meeske, Christian; Hassenruck, Christiane; Engel, Anja; Juergens, Klaus</t>
  </si>
  <si>
    <t>Organic matter availability drives the spatial variation in the community composition and activity of Antarctic marine bacterioplankton</t>
  </si>
  <si>
    <t>RIBOSOMAL-RNA GENE; AMINO-ACIDS; SOUTHERN-OCEAN; ROSS SEA; BACTERIAL COMMUNITY; PLANKTONIC ARCHAEA; HIGH-PERFORMANCE; SPRING BLOOM; PHYTOPLANKTON; CARBON</t>
  </si>
  <si>
    <t>Carbon cycling by Antarctic microbial plankton is poorly understood but it plays a major role in CO2 sequestration in the Southern Ocean. We investigated the summer bacterioplankton community in the largely understudied Weddell Sea, applying Illumina amplicon sequencing, measurements of bacterial production and chemical analyses of organic matter. The results revealed that the patchy distribution of productive coastal polynyas and less productive, mostly ice-covered sites was the major driver of the spatial changes in the taxonomic composition and activity of bacterioplankton. Gradients in organic matter availability induced by phytoplankton blooms were reflected in the concentrations and composition of dissolved carbohydrates and proteins. Bacterial production at bloom stations was, on average, 2.7 times higher than at less productive sites. Abundant bloom-responsive lineages were predominately affiliated with ubiquitous marine taxa, including Polaribacter, Yoonia-Loktanella, Sulfitobacter, the SAR92 clade, and Ulvibacter, suggesting a widespread genetic potential for adaptation to sub-zero seawater temperatures. A co-occurrence network analysis showed that dominant taxa at stations with low phytoplankton productivity were highly connected, indicating beneficial interactions. Overall, our study demonstrates that heterotrophic bacterial communities along Weddell Sea ice shelves were primarily constrained by the availability of labile organic matter rather than low seawater temperature.</t>
  </si>
  <si>
    <t>[Piontek, Judith; Meeske, Christian; Hassenruck, Christiane; Juergens, Klaus] Leibniz Inst Baltic Sea Res, Warnemunde, Germany; [Engel, Anja] GEOMAR Helmholtz Ctr Ocean Res Kiel, Kiel, Germany</t>
  </si>
  <si>
    <t>Leibniz Institut fur Ostseeforschung Warnemunde; Helmholtz Association; GEOMAR Helmholtz Center for Ocean Research Kiel</t>
  </si>
  <si>
    <t>Piontek, J (corresponding author), Leibniz Inst Baltic Sea Res, Warnemunde, Germany.</t>
  </si>
  <si>
    <t>judith.piontek@io-warnemuende.de</t>
  </si>
  <si>
    <t>Engel, Andreas/E-3100-2014</t>
  </si>
  <si>
    <t>Piontek, Judith/0000-0003-3857-8206; Hassenruck, Christiane/0000-0003-1909-1726</t>
  </si>
  <si>
    <t>German Research Foundation (DFG) [SPP 1158, PI 784/3-1]; Projekt DEAL</t>
  </si>
  <si>
    <t>German Research Foundation (DFG)(German Research Foundation (DFG)); Projekt DEAL</t>
  </si>
  <si>
    <t>We would like to thank the captain and the crew of RV Polarstern and the shipboard science party of the expedition PS111 for their great support during the cruise. Sandra Golde, Jon Roa and Christian Burmeister are greatly acknowledged for chemical measurements. Thanks to Katja Kading and Claudia Runkel for microbial cell counts. The authors also thank Johannes Werner for support in sequence analysis and Silke Lischka and Jan Michels for logistic support. This work was funded by the German Research Foundation (DFG) in the priority programme SPP 1158 'Antarctic Research with comparative investigations in Arctic ice areas' by grant PI 784/3-1 to Judith Piontek. Open Access funding enabled and organized by Projekt DEAL.</t>
  </si>
  <si>
    <t>10.1111/1462-2920.16087</t>
  </si>
  <si>
    <t>WOS:000809624100001</t>
  </si>
  <si>
    <t>Gorzkiewicz, K; Kierepko, R; Paatero, J; Virkkula, A; Mietelski, JW</t>
  </si>
  <si>
    <t>Gorzkiewicz, Krzysztof; Kierepko, Renata; Paatero, Jussi; Virkkula, Aki; Mietelski, Jerzy W.</t>
  </si>
  <si>
    <t>Air radioactivity in Marambio Base: The peculiar character of Antarctic Peninsula</t>
  </si>
  <si>
    <t>JOURNAL OF ENVIRONMENTAL RADIOACTIVITY</t>
  </si>
  <si>
    <t>SOUTH-POLE; AEROSOL; RADIONUCLIDES; SHETLAND; SAMPLES</t>
  </si>
  <si>
    <t>The Antarctic region is considered to be the least contaminated in the world due to its specific location and separation of this area as well as low activity of humans (Hashimoto et al., 1988) Additionally, in accordance with the provision of the Antarctic Treaty System (Antarctic Treaty Secretariat, 2020) it is prohibited to conduct any actions with nuclear materials in this area. Nevertheless, Antarctica is not free from radioactive pollutants (human activity, nuclear tests or accidents) created in other parts of the world and transported by air masses or sea currents to the region of the South Pole where they can be detected. This paper presents results of measurements of activity concentrations of both natural and artificial gamma-ray emitting isotopes present on air-filters exposed in the ground level of the air in Marambio Base (Antarctic Peninsula). Furthermore, comparison with results obtained from other part of Antarctica were performed (i.e. Aboa Station, including radioisotope sources estimation). Investigation suggests that the northern part of the Antarctic Peninsula is effectively isolated from the Antarctic mainland and, in case of air radioactivity, should be considered separately.</t>
  </si>
  <si>
    <t>[Gorzkiewicz, Krzysztof; Kierepko, Renata; Mietelski, Jerzy W.] Polish Acad Sci, Inst Nucl Phys, Radzikowskiego 152, PL-31342 Krakow, Poland; [Paatero, Jussi; Virkkula, Aki] Finnish Meteorol Inst, Pobox 503, FI-00101 Helsinki, Finland</t>
  </si>
  <si>
    <t>Polish Academy of Sciences; Institute of Nuclear Physics - Polish Academy of Sciences; Finnish Meteorological Institute</t>
  </si>
  <si>
    <t>Gorzkiewicz, K (corresponding author), Polish Acad Sci, Inst Nucl Phys, Radzikowskiego 152, PL-31342 Krakow, Poland.</t>
  </si>
  <si>
    <t>krzysztof.gorzkiewicz@ifj.edu.pl</t>
  </si>
  <si>
    <t>Mietelski, Jerzy Wojciech/AAO-5241-2021; Virkkula, Aki/B-8575-2014; Kierepko, Renata/V-7019-2018</t>
  </si>
  <si>
    <t>Mietelski, Jerzy Wojciech/0000-0002-9430-1386; Virkkula, Aki/0000-0003-4874-7552; Kierepko, Renata/0000-0003-2213-1960; Gorzkiewicz, Krzysztof/0000-0002-8471-7599</t>
  </si>
  <si>
    <t>Academy of Finland/Finnish Antarctic Research Program</t>
  </si>
  <si>
    <t>The sampling and measurement programme at Marambio forms a part of the Finnish-Argentine meteorological cooperation at Marambio Antarctic Station under the bilateral agreement between Servicio Meteorologico National and the Finnish Meteorological Institute. The work at Aboa and Marambio has been funded by the Academy of Finland/Finnish Antarctic Research Program. The excellent logistical support of FINNARP and Fuerza Aerea Argentina is also gratefully acknowledged.</t>
  </si>
  <si>
    <t>0265-931X</t>
  </si>
  <si>
    <t>1879-1700</t>
  </si>
  <si>
    <t>J ENVIRON RADIOACTIV</t>
  </si>
  <si>
    <t>J. Environ. Radioact.</t>
  </si>
  <si>
    <t>10.1016/j.jenvrad.2022.106930</t>
  </si>
  <si>
    <t>6F8MR</t>
  </si>
  <si>
    <t>WOS:000884313300002</t>
  </si>
  <si>
    <t>Ehrlich, H; Wysokowski, M; Jesionowski, T</t>
  </si>
  <si>
    <t>Ehrlich, Hermann; Wysokowski, Marcin; Jesionowski, Teofil</t>
  </si>
  <si>
    <t>The philosophy of extreme biomimetics</t>
  </si>
  <si>
    <t>SUSTAINABLE MATERIALS AND TECHNOLOGIES</t>
  </si>
  <si>
    <t>Extreme biomimetics; Biomineralization; Carbonization; Hydrothermal synthesis</t>
  </si>
  <si>
    <t>KRILL EUPHAUSIA-SUPERBA; ANTARCTIC SEA-ICE; CHITIN-SILICA COMPOSITES; ALPHA-CARBONIC ANHYDRASE; TERRESTRIAL HOT-SPRINGS; IN-SITU SILICIFICATION; ONE-STEP SYNTHESIS; HYDROTHERMAL SYNTHESIS; THERMOPHILIC BACTERIUM; LOW-TEMPERATURE</t>
  </si>
  <si>
    <t>Extreme biomimetics is the search for natural sources of engineering inspiration that lead to solutions that are well outside the human comfort zone (temperature, pH, salinity, pressure, etc.). Recent progress in extreme biomimetics has offered a brand-new springboard for the materials and engineering communities to reshuffle traditional approaches for designing of biopolymers-based composites at ambient conditions. Partially, this modern scientific direction refers to the utilization of thermostable, pressure and chemically resistant biopolymers, found in biologically extreme environments, for the in-vitro preparation of novel inorganic-organic composite materials. This field informs fundamental questions about the mechanisms and principles of biomineralization processes also in extreme environments. The first part of this review focuses on extreme biomineralization among psychrophilic, hydrothermal, alkaliphilic and halophilic organisms. In the second part, we discuss analysis of selected biopolymers of plant (cellulose) and animal (chitin, chitosan, silk, spongin) origin, which are thermostable and resistant to chemically harsh laboratory conditions. Special attention has been focused on carbonization of selected biomaterials. Finally, we take the liberty to discuss the perspectives underlying intriguing experimental scenarious within extreme biomimetics.</t>
  </si>
  <si>
    <t>[Ehrlich, Hermann] TU Bergakad Freiberg, Inst Elect &amp; Sensor Mat, Freiberg, Germany; [Ehrlich, Hermann] Adam Mickiewicz Univ, Ctr Adv Technol, Poznan, Poland; [Wysokowski, Marcin; Jesionowski, Teofil] Poznan Univ Tech, Fac Chem Technol, Inst Chem Technol &amp; Engn, Poznan, Poland</t>
  </si>
  <si>
    <t>Technical University Freiberg; Adam Mickiewicz University; Poznan University of Technology</t>
  </si>
  <si>
    <t>Ehrlich, H (corresponding author), TU Bergakad Freiberg, Inst Elect &amp; Sensor Mat, Freiberg, Germany.;Wysokowski, M; Jesionowski, T (corresponding author), Poznan Univ Tech, Fac Chem Technol, Inst Chem Technol &amp; Engn, Poznan, Poland.</t>
  </si>
  <si>
    <t>hermann.ehrlich@esm.tu-freiberg.de; marcin.wysokowski@put.poznan.pl; teofil.jesionowski@put.poznan.pl</t>
  </si>
  <si>
    <t>Ehrlich, Hermann/I-5481-2015; Jesionowski, Teofil/N-1623-2014</t>
  </si>
  <si>
    <t>Ehrlich, Hermann/0000-0003-4951-3555; Jesionowski, Teofil/0000-0002-7808-8060; Wysokowski, Marcin/0000-0003-0624-2716</t>
  </si>
  <si>
    <t>Ministry of Science and Education of Poland; Polish Honourable Alexander von Humboldt Fellowship (FNP, Poland); National Science Centre, Poland [2020/37/B/ST5/01909, 2020/38/A/ST5/00151]</t>
  </si>
  <si>
    <t>Ministry of Science and Education of Poland; Polish Honourable Alexander von Humboldt Fellowship (FNP, Poland); National Science Centre, Poland(National Science Centre, Poland)</t>
  </si>
  <si>
    <t>This work was financially supported by Ministry of Science and Education of Poland by subsidy to PUT and by a Polish Honourable Alexander von Humboldt Fellowship (FNP, Poland), as well as by grants of National Science Centre, Poland: OPUS 19 (2020/37/B/ST5/01909) and MAESTRO 12 (2020/38/A/ST5/00151) Projects.</t>
  </si>
  <si>
    <t>2214-9937</t>
  </si>
  <si>
    <t>SUSTAIN MATER TECHNO</t>
  </si>
  <si>
    <t>Sustain. Mater. Technol.</t>
  </si>
  <si>
    <t>e00447</t>
  </si>
  <si>
    <t>10.1016/j.susmat.2022.e00447</t>
  </si>
  <si>
    <t>Green &amp; Sustainable Science &amp; Technology; Energy &amp; Fuels; Materials Science, Multidisciplinary</t>
  </si>
  <si>
    <t>Science &amp; Technology - Other Topics; Energy &amp; Fuels; Materials Science</t>
  </si>
  <si>
    <t>3N8XC</t>
  </si>
  <si>
    <t>WOS:000836428400004</t>
  </si>
  <si>
    <t>Bax, N; Barnes, DKA; Pineda-Metz, SEA; Pearman, T; Diesing, M; Carter, S; Downey, RV; Evans, CD; Brickle, P; Baylis, AMM; Adler, AM; Guest, A; Layton, KKS; Brewin, PE; Bayley, DTI</t>
  </si>
  <si>
    <t>Bax, Narissa; Barnes, David K. A.; Pineda-Metz, Santiago E. A.; Pearman, Tabitha; Diesing, Markus; Carter, Stefanie; Downey, Rachel V.; Evans, Chris D.; Brickle, Paul; Baylis, Alastair M. M.; Adler, Alyssa M.; Guest, Amy; Layton, Kara K. S.; Brewin, Paul E.; Bayley, Daniel T. I.</t>
  </si>
  <si>
    <t>Towards Incorporation of Blue Carbon in Falkland Islands Marine Spatial Planning: A Multi-Tiered Approach</t>
  </si>
  <si>
    <t>Falkland Islands; kelp; land-ocean carbon; mesophotic biodiversity; Marine Managed Areas; blue carbon; marine spatial planning; sub-Antarctic</t>
  </si>
  <si>
    <t>GIANT-KELP; COASTAL ECOSYSTEMS; MAGELLAN REGION; SEASONAL CYCLE; SEA; SHELF; BIODIVERSITY; MACROCYSTIS; DYNAMICS; BIOMASS</t>
  </si>
  <si>
    <t>Ecosystem-based conservation that includes carbon sinks, alongside a linked carbon credit system, as part of a nature-based solution to combating climate change, could help reduce greenhouse gas levels and therefore the impact of their emissions. Blue carbon habitats and pathways can also facilitate biodiversity retention, aiding sustainable fisheries and island economies. However, robust blue carbon research is often limited at the scale of regional governance and management, lacking both incentives and facilitation of policy-integration. The remote and highly biodiverse coastal ecosystems and surrounding continental shelf can be used to better inform long-term ecosystem-based management in the vast South Atlantic Ocean and sub-Antarctic, to synergistically protect both unique biodiversity and inform on the magnitude of nature-based benefits they provide. Understanding key ecosystem information such as their location, extent, and condition of habitat types, will be critical in understanding carbon pathways to sequestration, threats to this, and vulnerability. This paper considers the current status of blue carbon data and information available, and what is still required before blue carbon can be used as a conservation management tool integrated in national Marine Spatial Planning (MSP) initiatives. Our research indicates that the data and information gathered has enabled baselines for a number of different blue carbon ecosystems, and indicated potential threats and vulnerability that need to be managed. However, significant knowledge gaps remain across habitats, such as salt marsh, mudflats and the mesophotic zones, which hinders meaningful progress on the ground where it is needed most.</t>
  </si>
  <si>
    <t>[Bax, Narissa] Univ Tasmania, Inst Marine &amp; Antarctic Studies, Ctr Marine Socioecol, Hobart, Tas, Australia; [Bax, Narissa; Pearman, Tabitha; Carter, Stefanie; Brickle, Paul; Baylis, Alastair M. M.; Guest, Amy; Brewin, Paul E.; Bayley, Daniel T. I.] South Atlantic Environm Res Inst, Stanley, Falkland Island; [Bax, Narissa] Tasmanian Museum &amp; Art Gallery TMAG, Hobart, Tas, Australia; [Barnes, David K. A.] British Antarctic Survey BAS, Cambridge, England; [Pineda-Metz, Santiago E. A.] Helmholtz Ctr Polar &amp; Marine Res AWI, Alfred Wegener Inst, Bremerhaven, Germany; [Diesing, Markus] Geol Survey Norway, Trondheim, Norway; [Downey, Rachel V.] Australian Natl Univ, Canberra, ACT, Australia; [Evans, Chris D.] UK Ctr Ecol &amp; Hydrol UKCEH, Environm Ctr Wales, Wallingford, England; [Evans, Chris D.] UK Ctr Ecol &amp; Hydrol, Bangor, Wales; [Brickle, Paul; Guest, Amy; Layton, Kara K. S.] Univ Aberdeen, Sch Biol Sci, Aberdeen, Scotland; [Adler, Alyssa M.] Duke Univ, Nicholas Sch Environm, Durham, NC USA; [Brewin, Paul E.] Shallow Marine Surveys Grp, Stanley, Falkland Island; [Bayley, Daniel T. I.] UCL, Ctr Biodivers &amp; Environm Res, London, England</t>
  </si>
  <si>
    <t>University of Tasmania; Helmholtz Association; Alfred Wegener Institute, Helmholtz Centre for Polar &amp; Marine Research; Geological Survey of Norway; Australian National University; UK Centre for Ecology &amp; Hydrology (UKCEH); UK Centre for Ecology &amp; Hydrology (UKCEH); University of Aberdeen; Duke University; University of London; University College London</t>
  </si>
  <si>
    <t>Bax, N (corresponding author), Univ Tasmania, Inst Marine &amp; Antarctic Studies, Ctr Marine Socioecol, Hobart, Tas, Australia.;Bax, N (corresponding author), South Atlantic Environm Res Inst, Stanley, Falkland Island.;Bax, N (corresponding author), Tasmanian Museum &amp; Art Gallery TMAG, Hobart, Tas, Australia.</t>
  </si>
  <si>
    <t>nbax@saeri.ac.fk</t>
  </si>
  <si>
    <t>Diesing, Markus/D-6868-2011; Baylis, Alastair/H-9471-2019; Evans, Christopher D/F-2087-2010; Layton, Kara/AAC-6007-2019; Downey, Rachel/Q-4156-2019</t>
  </si>
  <si>
    <t>Diesing, Markus/0000-0003-4331-7553; Baylis, Alastair/0000-0002-5167-0472; Layton, Kara/0000-0002-4302-3048; Pineda Metz, Santiago E. A./0000-0001-7780-6449; Bayley, Daniel/0000-0002-7715-0387; Carter, Stefanie/0000-0001-7713-876X; Adler, Alyssa/0000-0002-2657-8156</t>
  </si>
  <si>
    <t>JUN 10</t>
  </si>
  <si>
    <t>10.3389/fmars.2022.872727</t>
  </si>
  <si>
    <t>2J5GX</t>
  </si>
  <si>
    <t>WOS:000815686300001</t>
  </si>
  <si>
    <t>Liu, HW; Yu, W; Chen, XJ</t>
  </si>
  <si>
    <t>Liu, Hewei; Yu, Wei; Chen, Xinjun</t>
  </si>
  <si>
    <t>Melting Antarctic Sea Ice Is Yielding Adverse Effects on a Short-Lived Squid Species in the Antarctic Adjacent Waters</t>
  </si>
  <si>
    <t>Illex argentinus; Antarctic sea ice extent; habitat pattern; high sea; Southwest Atlantic Ocean</t>
  </si>
  <si>
    <t>ILLEX-ARGENTINUS CEPHALOPODA; WINTER-SPRING COHORT; SOUTHERN-OCEAN; OMMASTREPHES-BARTRAMII; SOUTHWEST ATLANTIC; OCEANOGRAPHIC VARIABILITY; ABUNDANCE; TEMPERATURE; DISTRIBUTIONS; CONSEQUENCES</t>
  </si>
  <si>
    <t>Variation in Antarctic sea ice strongly impacts marine ecosystem and fisheries. In this study, Antarctic sea ice extent (SIE) was used as an indicator to characterize the Antarctic sea ice variation, and its impact on habitat pattern of Argentine shortfin squid Illex argentinus, a climate-sensitive squid species extensively distributed in the Antarctic adjacent waters, was assessed using the habitat suitability index (HSI) modeling approach. The HSI model was established on the basis of the fisheries data and sea water temperature at critical depths of 50, 100, and 200 m in the high-sea fishing ground of the Southwest Atlantic Ocean from January to April during 1979-2017. Results showed that a significantly positive correlation was found between SIE and the areas of suitable habitat of I. argentinus. The years with high and low SIE were selected and divided into two groups from 1979 to 2017. Generally, the year group with high SIE yielded warmer sea water temperature at different depths; consequently, the suitable habitats enlarged; and the optimal temperature isotherm for I. argentinus moved northward, resulting in a northward movement of suitable habitats. On the contrary, the situation in the year group with low SIE was opposite. Our findings suggest that the melting Antarctic sea ice is yielding adverse effects on I. argentinus habitat in the Southwest Atlantic Ocean by affecting the sea water temperature at three critical depths.</t>
  </si>
  <si>
    <t>[Liu, Hewei; Yu, Wei; Chen, Xinjun] Shanghai Ocean Univ, Coll Marine Sci, Shanghai, Peoples R China; [Yu, Wei; Chen, Xinjun] Shanghai Ocean Univ, Natl Engn Res Ctr Ocean Fisheries, Shanghai, Peoples R China; [Yu, Wei; Chen, Xinjun] Shanghai Ocean Univ, Key Lab Sustainable Exploitat Ocean Fisheries Reso, Minist Educ, Shanghai, Peoples R China; [Yu, Wei; Chen, Xinjun] Minist Agr &amp; Rural Affairs, Key Lab Ocean Fisheries Explorat, Shanghai, Peoples R China; [Yu, Wei; Chen, Xinjun] Minist Agr &amp; Rural Affairs, Sci Observing &amp; Expt Stn Ocean Fishery Resources, Shanghai, Peoples R China</t>
  </si>
  <si>
    <t>Shanghai Ocean University; National Engineering Research Center for Oceanic Fisheries; Shanghai Ocean University; Shanghai Ocean University; Ministry of Agriculture &amp; Rural Affairs; Ministry of Agriculture &amp; Rural Affairs</t>
  </si>
  <si>
    <t>Yu, W (corresponding author), Shanghai Ocean Univ, Coll Marine Sci, Shanghai, Peoples R China.;Yu, W (corresponding author), Shanghai Ocean Univ, Natl Engn Res Ctr Ocean Fisheries, Shanghai, Peoples R China.;Yu, W (corresponding author), Shanghai Ocean Univ, Key Lab Sustainable Exploitat Ocean Fisheries Reso, Minist Educ, Shanghai, Peoples R China.;Yu, W (corresponding author), Minist Agr &amp; Rural Affairs, Key Lab Ocean Fisheries Explorat, Shanghai, Peoples R China.;Yu, W (corresponding author), Minist Agr &amp; Rural Affairs, Sci Observing &amp; Expt Stn Ocean Fishery Resources, Shanghai, Peoples R China.</t>
  </si>
  <si>
    <t>wyu@shou.edu.cn</t>
  </si>
  <si>
    <t>chen, xin/IQW-3432-2023</t>
  </si>
  <si>
    <t>National Key R&amp;D Program of China [2019YFD0901405]; National Natural Science Foundation of China [41906073]; project of Shanghai talent development funding [2021078]; open fund of State Key Laboratory of Satellite Ocean Environment Dynamics, Second Institute of Oceanography [QNHX2232]</t>
  </si>
  <si>
    <t>National Key R&amp;D Program of China; National Natural Science Foundation of China(National Natural Science Foundation of China (NSFC)); project of Shanghai talent development funding; open fund of State Key Laboratory of Satellite Ocean Environment Dynamics, Second Institute of Oceanography</t>
  </si>
  <si>
    <t>This study was financially supported by the National Key R &amp; D Program of China (2019YFD0901405), National Natural Science Foundation of China (41906073), the project of Shanghai talent development funding (2021078), and the open fund of State Key Laboratory of Satellite Ocean Environment Dynamics, Second Institute of Oceanography (QNHX2232).</t>
  </si>
  <si>
    <t>10.3389/fmars.2022.819734</t>
  </si>
  <si>
    <t>2J5NG</t>
  </si>
  <si>
    <t>WOS:000815702800001</t>
  </si>
  <si>
    <t>Ramadhan, A; Marshall, J; Meneghello, G; Illari, L; Speer, K</t>
  </si>
  <si>
    <t>Ramadhan, Ali; Marshall, John; Meneghello, Gianluca; Illari, Lodovica; Speer, Kevin</t>
  </si>
  <si>
    <t>Observations of Upwelling and Downwelling Around Antarctica Mediated by Sea Ice</t>
  </si>
  <si>
    <t>Southern Ocean; Antarctica; physical oceanography; sea ice; meridional overturning circulation</t>
  </si>
  <si>
    <t>MIXED-LAYER; VARIABILITY; TRANSPORT</t>
  </si>
  <si>
    <t>We infer circumpolar maps of stress imparted to the ocean by the wind, mediated by sea-ice, in and around the Seasonal Ice Zone (SIZ) of Antarctica. In the open ocean we compute the wind stress using surface winds from daily atmospheric reanalyses and applying bulk formulae. In the presence of sea ice, the stress imparted to the underlying ocean is computed from satellite observations of daily ice concentration and drift velocity assuming, first, that the ocean geostrophic currents beneath are negligible, and then including surface geostrophic ocean currents inferred from satellite altimetry. In this way maps of surface ocean stress in the SIZ are obtained. The maps are discussed and interpreted, and their importance in setting the circulation emphasised. Just as in parallel observational studies in the Arctic, we find that ocean currents significantly modify the stress field, the sense of the surface ageostrophic flow and thus pathways of exchange across the SIZ. Maps of Ekman pumping reveal broad patterns of upwelling within the SIZ enhanced near the sea ice edge, which are offset by strong narrow downwelling regions adjacent to the Antarctic continent.</t>
  </si>
  <si>
    <t>[Ramadhan, Ali; Marshall, John; Meneghello, Gianluca; Illari, Lodovica] MIT, Dept Earth Atmospher &amp; Planetary Sci, Cambridge, MA 02139 USA; [Speer, Kevin] Florida State Univ, Geophys Fluid Dynam Inst, Tallahassee, FL 32306 USA</t>
  </si>
  <si>
    <t>Massachusetts Institute of Technology (MIT); State University System of Florida; Florida State University</t>
  </si>
  <si>
    <t>Ramadhan, A (corresponding author), MIT, Dept Earth Atmospher &amp; Planetary Sci, Cambridge, MA 02139 USA.</t>
  </si>
  <si>
    <t>alir@mit.edu</t>
  </si>
  <si>
    <t>10.3389/fmars.2022.864808</t>
  </si>
  <si>
    <t>2J5HZ</t>
  </si>
  <si>
    <t>WOS:000815689100001</t>
  </si>
  <si>
    <t>Evans, TW; Kalambokidis, MJ; Jungblut, AD; Millar, JL; Bauersachs, T; Grotheer, H; Mackey, TJ; Hawes, I; Summons, RE</t>
  </si>
  <si>
    <t>Evans, Thomas W.; Kalambokidis, Maria J.; Jungblut, Anne D.; Millar, Jasmin L.; Bauersachs, Thorsten; Grotheer, Hendrik; Mackey, Tyler J.; Hawes, Ian; Summons, Roger E.</t>
  </si>
  <si>
    <t>Lipid Biomarkers From Microbial Mats on the McMurdo Ice Shelf, Antarctica: Signatures for Life in the Cryosphere</t>
  </si>
  <si>
    <t>cyanobacteria; Antarctica; intact polar lipid; heterocyte glycolipids; bacteriohopanepolyol; microbial mats; homeoviscous adaptation</t>
  </si>
  <si>
    <t>COMPOSITE BACTERIAL HOPANOIDS; HETEROCYST GLYCOLIPIDS; DRY VALLEYS; LAKE JOYCE; BACTERIOHOPANEPOLYOL SIGNATURES; 2-METHYLHOPANOID PRODUCTION; RHODOPSEUDOMONAS-PALUSTRIS; PROKARYOTIC TRITERPENOIDS; MEMBRANE-LIPIDS; MELTWATER PONDS</t>
  </si>
  <si>
    <t>Persistent cold temperatures, a paucity of nutrients, freeze-thaw cycles, and the strongly seasonal light regime make Antarctica one of Earth's least hospitable surface environments for complex life. Cyanobacteria, however, are well-adapted to such conditions and are often the dominant primary producers in Antarctic inland water environments. In particular, the network of meltwater ponds on the 'dirty ice' of the McMurdo Ice Shelf is an ecosystem with extensive cyanobacteria-dominated microbial mat accumulations. This study investigated intact polar lipids (IPLs), heterocyte glycolipids (HGs), and bacteriohopanepolyols (BHPs) in combination with 16S and 18S rRNA gene diversity in microbial mats of twelve ponds in this unique polar ecosystem. To constrain the effects of nutrient availability, temperature and freeze-thaw cycles on the lipid membrane composition, lipids were compared to stromatolite-forming cyanobacterial mats from ice-covered lakes in the McMurdo Dry Valleys as well as from (sub)tropical regions and hot springs. The 16S rRNA gene compositions of the McMurdo Ice Shelf mats confirm the dominance of Cyanobacteria and Proteobacteria while the 18S rRNA gene composition indicates the presence of Ochrophyta, Chlorophyta, Ciliophora, and other microfauna. IPL analyses revealed a predominantly bacterial community in the meltwater ponds, with archaeal lipids being barely detectable. IPLs are dominated by glycolipids and phospholipids, followed by aminolipids. The high abundance of sugar-bound lipids accords with a predominance of cyanobacterial primary producers. The phosphate-limited samples from the (sub)tropical, hot spring, and Lake Vanda sites revealed a higher abundance of aminolipids compared to those of the nitrogen-limited meltwater ponds, affirming the direct affects that N and P availability have on IPL compositions. The high abundance of polyunsaturated IPLs in the Antarctic microbial mats suggests that these lipids provide an important mechanism to maintain membrane fluidity in cold environments. High abundances of HG keto-ols and HG keto-diols, produced by heterocytous cyanobacteria, further support these findings and reveal a unique distribution compared to those from warmer climates.</t>
  </si>
  <si>
    <t>[Evans, Thomas W.; Kalambokidis, Maria J.; Mackey, Tyler J.; Summons, Roger E.] MIT, Dept Earth Atmospher &amp; Planetary Sci, Cambridge, MA 02139 USA; [Jungblut, Anne D.] Nat Hist Museum, Life Sci Dept, London, England; [Millar, Jasmin L.] Cardiff Univ, Sch Earth &amp; Environm Sci, Cardiff, Wales; [Bauersachs, Thorsten] Christian Albrechts Univ Kiel, Inst Geosci, Kiel, Germany; [Grotheer, Hendrik] Helmholtz Ctr Polar &amp; Marine Res, Marine Geochem, Alfred Wegener Inst, Bremerhaven, Germany; [Hawes, Ian] Univ Waikato, Coastal Marine Field Stn, Tauranga, New Zealand; [Evans, Thomas W.] Univ Bremen, MARUM Ctr Marine Environm Sci, Dept Geosci, Bremen, Germany; [Kalambokidis, Maria J.] Univ Minnesota, Dept Ecol Evolut &amp; Behav, St Paul, MN USA; [Mackey, Tyler J.] Univ New Mexico, Dept Earth &amp; Planetary Sci, Albuquerque, NM USA</t>
  </si>
  <si>
    <t>Massachusetts Institute of Technology (MIT); Natural History Museum London; Cardiff University; University of Kiel; Helmholtz Association; Alfred Wegener Institute, Helmholtz Centre for Polar &amp; Marine Research; University of Waikato; University of Bremen; University of Minnesota System; University of Minnesota Twin Cities; University of New Mexico</t>
  </si>
  <si>
    <t>Evans, TW; Summons, RE (corresponding author), MIT, Dept Earth Atmospher &amp; Planetary Sci, Cambridge, MA 02139 USA.;Evans, TW (corresponding author), Univ Bremen, MARUM Ctr Marine Environm Sci, Dept Geosci, Bremen, Germany.</t>
  </si>
  <si>
    <t>tevans@marum.de; rsummons@mit.edu</t>
  </si>
  <si>
    <t>Summons, Roger Everett/AAL-3789-2020; Grotheer, Hendrik/IST-3434-2023</t>
  </si>
  <si>
    <t>Grotheer, Hendrik/0000-0003-0207-3767; Bauersachs, Thorsten/0000-0003-4858-9443</t>
  </si>
  <si>
    <t>10.3389/fmicb.2022.903621</t>
  </si>
  <si>
    <t>2J5EX</t>
  </si>
  <si>
    <t>WOS:000815681100001</t>
  </si>
  <si>
    <t>Hasterok, D; Halpin, JA; Collins, AS; Hand, M; Kreemer, C; Gard, MG; Glorie, S</t>
  </si>
  <si>
    <t>Hasterok, Derrick; Halpin, Jacqueline A.; Collins, Alan S.; Hand, Martin; Kreemer, Corne; Gard, Matthew G.; Glorie, Stijn</t>
  </si>
  <si>
    <t>New Maps of Global Geological Provinces and Tectonic Plates</t>
  </si>
  <si>
    <t>Tectonic plate; Tectonic province; Orogenic system; Orogeny; Geodynamics; Geospatial analysis</t>
  </si>
  <si>
    <t>NORTH CHINA CRATON; U-PB ZIRCON; EAST-AFRICAN OROGEN; PROTEROZOIC CRUSTAL EVOLUTION; HIGH-GRADE METAMORPHISM; LARGE IGNEOUS PROVINCES; ARABIAN-NUBIAN SHIELD; ALBANY-FRASER OROGEN; LAKE-SUPERIOR REGION; DRONNING MAUD LAND</t>
  </si>
  <si>
    <t>Accurate spatial models of tectonic plates and geological terranes are important for analyzing and interpreting a wide variety of geoscientific data and developing compositional and physical models of the lithosphere. We present a global compilation of active plate boundaries and geological provinces in a shapefile format with interpretive attributes (e.g., crust type, plate type, province type, last orogeny). The initial plate and province boundaries are constructed from a combination of published global and regional models that we refine using a variety of geoscientific constraints including, but not limited to, relative GPS motions, earthquakes, mapped faults, potential field characteristics, and geochronology. These new plate model show improved correlation to observed earthquake and volcano occurrences within deformation zones and microplates, compared to existing models, capturing 73 and 80% of these criteria, respectively. Deformation zones and microplates only account for 16% of Earth's surface area. We estimate 57.5% of the Earth's surface is covered by oceanic crust, which is a slight increase relative to the most recent seafloor age model. The model of last orogenies agrees well with peaks in the globally summed geochronology data. There is room for improvement in future editions of our global plate and geologic provinces model where basins, ice, or lack of geological data fidelity obscure bedrock geology, particularly in the eastern Central Asian Orogenic Belt, much of Africa, East Antarctica, and eastern Australia. Additionally, some province types-orogens, shields, and cratons that are homogenized within our global scheme-can likely be partitioned into smaller terranes with more precise geodynamic attributes. Despite some of these shortcomings, the digital maps presented here form a self-consistent data standard for adding spatial metadata to geoscientific databases. The database is available on GitHub where the geoscience community can provide updates to improve the models and their contemporaneity as new knowledge is acquired. The files are also released in formats suitable for use in Generic Mapping Tools and GoogleEarth.</t>
  </si>
  <si>
    <t>[Hasterok, Derrick; Collins, Alan S.; Hand, Martin; Gard, Matthew G.; Glorie, Stijn] Univ Adelaide, Mawson Geosci Ctr, Adelaide, SA 5005, Australia; [Hasterok, Derrick; Collins, Alan S.; Hand, Martin; Gard, Matthew G.; Glorie, Stijn] Univ Adelaide, Dept Earth Sci, Adelaide, SA 5005, Australia; [Halpin, Jacqueline A.] Univ Tasmania, Inst Marine &amp; Antarctic Studies, Hobart, Tas 7001, Australia; [Halpin, Jacqueline A.] Univ Tasmania, Australian Ctr Excellence Antarctic Sci, Hobart, Tas 7001, Australia; [Kreemer, Corne] Univ Nevada, Nevada Bur Mines &amp; Geol &amp; Seismol Lab, Reno, NV USA; [Gard, Matthew G.] Geosci Australia, Canberra, ACT, Australia</t>
  </si>
  <si>
    <t>University of Adelaide; University of Adelaide; University of Tasmania; University of Tasmania; Nevada System of Higher Education (NSHE); University of Nevada Reno; Geoscience Australia</t>
  </si>
  <si>
    <t>Hasterok, D (corresponding author), Univ Adelaide, Mawson Geosci Ctr, Adelaide, SA 5005, Australia.;Hasterok, D (corresponding author), Univ Adelaide, Dept Earth Sci, Adelaide, SA 5005, Australia.</t>
  </si>
  <si>
    <t>derrick.hasterok@adelaide.edu.au</t>
  </si>
  <si>
    <t>Collins, Alan S/D-9781-2011; glorie, stijn/A-7491-2019; Hasterok, Derrick/H-9392-2012</t>
  </si>
  <si>
    <t>Hasterok, Derrick/0000-0002-8257-7975</t>
  </si>
  <si>
    <t>Australian Government through the Australian Research Council?s Discovery Projects funding scheme [DP180104074]; Australian Research Council Special Research Initiative for Antarctic Gateway Partnership [SR140300001]; Australian Centre for Excellence in Antarctic Science [SR200100008]; Australian Research Council Future Fellowship [FT210100906]; Australian Government Research Training Program Scholarship; Australian Research Council [FT210100906] Funding Source: Australian Research Council</t>
  </si>
  <si>
    <t>Australian Government through the Australian Research Council?s Discovery Projects funding scheme; Australian Research Council Special Research Initiative for Antarctic Gateway Partnership(Australian Research Council); Australian Centre for Excellence in Antarctic Science; Australian Research Council Future Fellowship(Australian Research Council); Australian Government Research Training Program Scholarship(Australian GovernmentDepartment of Industry, Innovation and Science); Australian Research Council(Australian Research Council)</t>
  </si>
  <si>
    <t>The authors thank the reviewers Robert J. Stern and Donald F. Argus, and the editor, Douwe van Hinsbergen, who provided constructive re-views that helped improve this manuscript. The authors would like to thank Sabin Zahirovic and Sarah Stamps for suggestions related to earlier versions of the plate and province model. Xianzhi Cao was kind enough to share his new plate reconstruction and Yebo Liu provided GPlates files for the Siderian period. Funding This work was partially funded by the Australian Government through the Australian Research Council?s Discovery Projects funding scheme (project DP180104074) to DH, JH, and MH. JH?s contributions were also supported by the Australian Research Council Special Research Initiative for Antarctic Gateway Partnership (SR140300001) and Australian Centre for Excellence in Antarctic Science (SR200100008) . SG is supported by an Australian Research Council Future Fellowship (FT210100906) . The views expressed herein are those of the authors and are not necessarily those of the Australian Government or Australian Research Council. MG was supported by an Australian Government Research Training Program Scholarship.</t>
  </si>
  <si>
    <t>10.1016/j.earscirev.2022.104069</t>
  </si>
  <si>
    <t>2E3RB</t>
  </si>
  <si>
    <t>WOS:000812145400002</t>
  </si>
  <si>
    <t>Reverdin, G; Waelbroeck, C; Pierre, C; Akhoudas, C; Aloisi, G; Benetti, M; Bourlès, B; Danielsen, M; Demange, J; Diverrès, D; Gascard, JC; Houssais, MN; Le Goff, H; Lherminier, P; Lo Monaco, C; Mercier, H; Metzl, N; Morisset, S; Naamar, A; Reynaud, T; Sallée, JB; Thierry, V; Hartman, SE; Mawji, EW; Olafsdottir, S; Kanzow, T; Velo, A; Voelker, A; Yashayaev, I; Haumann, FA; Leng, MJ; Arrowsmith, C; Meredith, M</t>
  </si>
  <si>
    <t>Reverdin, Gilles; Waelbroeck, Claire; Pierre, Catherine; Akhoudas, Camille; Aloisi, Giovanni; Benetti, Marion; Bourles, Bernard; Danielsen, Magnus; Demange, Jerome; Diverres, Denis; Gascard, Jean-Claude; Houssais, Marie-Noelle; Le Goff, Herve; Lherminier, Pascale; Lo Monaco, Claire; Mercier, Herle; Metzl, Nicolas; Morisset, Simon; Naamar, Aicha; Reynaud, Thierry; Sallee, Jean-Baptiste; Thierry, Virginie; Hartman, Susan E.; Mawji, Edward W.; Olafsdottir, Solveig; Kanzow, Torsten; Velo, Anton; Voelker, Antje; Yashayaev, Igor; Haumann, F. Alexander; Leng, Melanie J.; Arrowsmith, Carol; Meredith, Michael</t>
  </si>
  <si>
    <t>The CISE-LOCEAN seawater isotopic database (1998-2021)</t>
  </si>
  <si>
    <t>DATA SET; WATER; OXYGEN; OCEAN</t>
  </si>
  <si>
    <t>The characteristics of the CISE-LOCEAN seawater isotope dataset (delta O-18, delta H-2, referred to as delta D) are presented (https://doi.org/10.17882/71186; Waterisotopes-CISE-LOCEAN, 2021). This dataset covers the time period from 1998 to 2021 and currently includes close to 8000 data entries, all with delta O-18, three-quarters of them also with delta D, associated with a date stamp, space stamp, and usually a salinity measurement. Until 2010, samples were analyzed by isotopic ratio mass spectrometry and since then mostly by cavity ring-down spectroscopy (CRDS). Instrumental uncertainty in this dataset is usually as low as 0.03 parts per thousand for delta O-18 and 0.15 parts per thousand for delta D. An additional uncertainty is related to the isotopic composition of the in-house standards that are used to convert data to the Vienna Standard Mean Ocean Water (VSMOW) scale. Different comparisons suggest that since 2010 the latter have remained within at most 0.03 parts per thousand for delta O-18 and 0.20 parts per thousand for delta D. Therefore, combining the two uncertainties suggests a standard deviation of at most 0.05 parts per thousand for delta O-18 and 0.25 parts per thousand for delta D. For some samples, we find that there has been evaporation during collection and storage, requiring adjustment of the isotopic data produced by CRDS, based on d-excess (delta D - 8x delta O-18). This adjustment adds an uncertainty in the respective data of roughly 0.05 parts per thousand for delta O-18 and 0.10 parts per thousand for delta D. This issue of conservation of samples is certainly a strong source of quality loss for parts of the database, and small effects may have remained undetected. The internal consistency of the database can be tested for subsets of the dataset when time series can be obtained (such as in the southern Indian Ocean or North Atlantic subpolar gyre). These comparisons suggest that the overall uncertainty of the spatially (for a cruise) or temporally (over a year) averaged data is less than 0.03 parts per thousand for delta O-18 and 0.15 parts per thousand for delta D. However, 18 comparisons with duplicate seawater data analyzed in other laboratories or with other datasets in the intermediate and deep ocean suggest a larger scatter. When averaging the 18 comparisons done for delta O-18, we find a difference of 0.082 parts per thousand with a standard error of 0.016 parts per thousand. Such an average difference is expected due to the adjustments applied at LOCEAN to saline water data produced either by CRDS or isotope ratio mass spectrometry (IRMS), but the scatter found suggests that care is needed when merging datasets from different laboratories. Examples of time series in the surface North Atlantic subpolar gyre illustrate the temporal changes in water isotope composition that can be detected with a carefully validated dataset.</t>
  </si>
  <si>
    <t>[Reverdin, Gilles; Waelbroeck, Claire; Pierre, Catherine; Akhoudas, Camille; Benetti, Marion; Demange, Jerome; Gascard, Jean-Claude; Houssais, Marie-Noelle; Le Goff, Herve; Lo Monaco, Claire; Metzl, Nicolas; Naamar, Aicha; Sallee, Jean-Baptiste] Sorbonne Univ, CNRS IRD MNHN, LOCEAN IPSL, Paris, France; [Aloisi, Giovanni] Univ Paris, CNRS, Inst Phys Globe Paris, F-75005 Paris, France; [Bourles, Bernard; Diverres, Denis] IRD, UAR IMAGO, Plouzane, France; [Danielsen, Magnus; Olafsdottir, Solveig] Marine &amp; Freshwater Inst, Hafnarfjorour, Iceland; [Lherminier, Pascale; Mercier, Herle; Reynaud, Thierry; Thierry, Virginie] Univ Brest, LOPS, IUEM, UBO CNRS IRD Ifremer, Plouzane, France; [Morisset, Simon] Amundsen Sci, Montreal, PQ, Canada; [Hartman, Susan E.; Mawji, Edward W.] Natl Oceanog Ctr, Southampton, Hants, England; [Kanzow, Torsten] MARUM Alfred Wegener Inst Polar &amp; Marine Res, Bremerhaven, Germany; [Velo, Anton] CSIC, Intituto Invest Marinas Vigo, Vigo, Spain; [Voelker, Antje] Inst Portugues Mar &amp; Atmosfera, Lisbon, Portugal; [Voelker, Antje] Ctr Ciencias Mar, Faro, Portugal; [Yashayaev, Igor] Bedford Inst Oceanog, Dartmouth, NS, Canada; [Haumann, F. Alexander] Princeton Univ, Atmospher &amp; Ocean Sci Program, Princeton, NJ USA; [Leng, Melanie J.; Arrowsmith, Carol] British Geol Survey, Nottingham, England; [Meredith, Michael] British Antarctic Survey, Cambridge, England</t>
  </si>
  <si>
    <t>Sorbonne Universite; Institut de Recherche pour le Developpement (IRD); Museum National d'Histoire Naturelle (MNHN); Universite Paris Cite; Centre National de la Recherche Scientifique (CNRS); Institut de Recherche pour le Developpement (IRD); Ifremer; Universite de Bretagne Occidentale; Institut Universitaire Europeen de la Mer (IUEM); NERC National Oceanography Centre; Consejo Superior de Investigaciones Cientificas (CSIC); Instituto Portugues do Mar e da Atmosfera; Bedford Institute of Oceanography; Princeton University; National Oceanic Atmospheric Admin (NOAA) - USA; UK Research &amp; Innovation (UKRI); Natural Environment Research Council (NERC); NERC British Geological Survey; UK Research &amp; Innovation (UKRI); Natural Environment Research Council (NERC); NERC British Antarctic Survey</t>
  </si>
  <si>
    <t>Reverdin, G (corresponding author), Sorbonne Univ, CNRS IRD MNHN, LOCEAN IPSL, Paris, France.</t>
  </si>
  <si>
    <t>gilles.reverdin@locean.ipsl.fr</t>
  </si>
  <si>
    <t>MERCIER, Herle/L-4161-2015; SALLEE, Jean baptiste/HDO-5355-2022; Velo, Anton/B-4172-2019; Haumann, Alexander/J-6679-2014; Voelker, Antje/C-5427-2012; Bernard, BOURLES/I-4673-2015; Thierry, Virginie/M-3086-2015; Lherminier, Pascale/L-3181-2014</t>
  </si>
  <si>
    <t>Velo, Anton/0000-0002-7598-5700; Haumann, Alexander/0000-0002-8218-977X; Voelker, Antje/0000-0001-6465-6023; Reynaud, Thierry/0000-0001-5252-3717; metzl, nicolas/0000-0002-1165-1074; Reverdin, Gilles/0000-0002-5583-8236; Mawji, Edward/0000-0002-9860-1351; Bernard, BOURLES/0000-0001-6515-4519; Thierry, Virginie/0000-0003-1602-6478; Lherminier, Pascale/0000-0001-9007-2160</t>
  </si>
  <si>
    <t>LEFE/INSU LASSO project</t>
  </si>
  <si>
    <t>This research has been supported by the LEFE/INSU LASSO project.</t>
  </si>
  <si>
    <t>10.5194/essd-14-2721-2022</t>
  </si>
  <si>
    <t>1Z0QY</t>
  </si>
  <si>
    <t>WOS:000808540000001</t>
  </si>
  <si>
    <t>Venero, ECS; Matera, G; Vogel, J; López, N; Tribelli, PM</t>
  </si>
  <si>
    <t>Solar Venero, Esmeralda C.; Matera, Gianluca; Vogel, Jorg; Lopez, Nancy, I; Tribelli, Paula M.</t>
  </si>
  <si>
    <t>Small RNAs in the Antarctic bacterium Pseudomonas extremaustralis responsive to oxygen availability and oxidative stress</t>
  </si>
  <si>
    <t>ENVIRONMENTAL MICROBIOLOGY REPORTS</t>
  </si>
  <si>
    <t>III SECRETION SYSTEM; GENE-EXPRESSION; GLOBAL REGULATOR; GROWTH; IDENTIFICATION; BIOCONTROL; SEQUENCE; RECOGNITION; PROTEIN; PUTIDA</t>
  </si>
  <si>
    <t>Bacterial small non-coding RNAs (sRNAs) play key roles as genetic regulators, mediating in the adaptability to changing environmental conditions and stress responses. In this work, we analysed putative sRNAs identified by RNA-seq experiments in different aeration conditions in the extremophile bacterium P. extremaustralis. These analyses allowed the identification of 177 putative sRNAs under aerobiosis (A), microaerobiosis (M) and microaerobiosis after H2O2 exposure (m-OS). The size and transcription profile of eight sRNAs with differential expression were verified by Northern blot. sRNA40, with unknown function but conserved in other Pseudomonas species, was selected to perform overexpression experiments followed by RNA-seq analysis. The overexpression of sRNA40 in P. extremaustralis resulted in significant expression changes of 19 genes with 14 differentially upregulated and five downregulated. Among the upregulated genes, eight transcripts corresponded to components of secretion systems, such as gspH, gspK, and gspM, belonging to the Type II secretion system, and rspO and rspP from Type III secretion system. Our results showed a novel sRNA which expression was triggered by low oxygen levels, and whose overexpression was associated with upregulation of selected components of protein secretion systems.</t>
  </si>
  <si>
    <t>[Solar Venero, Esmeralda C.; Lopez, Nancy, I; Tribelli, Paula M.] IQUIBICEN CONICET, Intendente Guiraldes 2160,1428EGA, Buenos Aires, DF, Argentina; [Matera, Gianluca; Vogel, Jorg] Univ Wurzburg, Inst Mol Infect Biol IMIB, Wurzburg, Germany; [Lopez, Nancy, I; Tribelli, Paula M.] Univ Buenos Aires, Fac Ciencias Exactas &amp; Nat, Dept Quim Biol, 1428EGA, Buenos Aires, DF, Argentina</t>
  </si>
  <si>
    <t>University of Wurzburg; University of Buenos Aires</t>
  </si>
  <si>
    <t>Tribelli, PM (corresponding author), IQUIBICEN CONICET, Intendente Guiraldes 2160,1428EGA, Buenos Aires, DF, Argentina.;Tribelli, PM (corresponding author), Univ Buenos Aires, Fac Ciencias Exactas &amp; Nat, Dept Quim Biol, 1428EGA, Buenos Aires, DF, Argentina.</t>
  </si>
  <si>
    <t>paulatrib@qb.fcen.uba.ar</t>
  </si>
  <si>
    <t>Solar Venero, Esmeralda/0000-0003-3516-8535; Lopez, Nancy/0000-0002-2966-3014</t>
  </si>
  <si>
    <t>Universidad de Buenos Aires; Consejo Nacional de Investigaciones Cientificas y Tecnicas (CONICET); CONICET; Deutscher Akademischer Austauschdienst (DAAD) fellowship</t>
  </si>
  <si>
    <t>Universidad de Buenos Aires(University of Buenos Aires); Consejo Nacional de Investigaciones Cientificas y Tecnicas (CONICET)(Consejo Nacional de Investigaciones Cientificas y Tecnicas (CONICET)); CONICET(Consejo Nacional de Investigaciones Cientificas y Tecnicas (CONICET)); Deutscher Akademischer Austauschdienst (DAAD) fellowship(Deutscher Akademischer Austausch Dienst (DAAD))</t>
  </si>
  <si>
    <t>This work was funded by grants from Universidad de Buenos Aires and Consejo Nacional de Investigaciones Cientificas y Tecnicas (CONICET). P.M.T. and N.I.L. are career investigators from CONICET. E.C.S.V. has a postdoctoral fellowship from CONICET and received a Deutscher Akademischer Austauschdienst (DAAD) fellowship for short-term research stays at the RNA biology group - Institut fur Molekulare Infektionsbiologie (IMIB) -University of Wurzburg, Germany.</t>
  </si>
  <si>
    <t>1758-2229</t>
  </si>
  <si>
    <t>ENV MICROBIOL REP</t>
  </si>
  <si>
    <t>Environ. Microbiol. Rep.</t>
  </si>
  <si>
    <t>10.1111/1758-2229.13084</t>
  </si>
  <si>
    <t>Environmental Sciences; Microbiology</t>
  </si>
  <si>
    <t>3D5SQ</t>
  </si>
  <si>
    <t>WOS:000809277900001</t>
  </si>
  <si>
    <t>Zhang, LP; Wang, XX; Chen, FS; Wang, WY; Qu, CF; Miao, JL</t>
  </si>
  <si>
    <t>Zhang, Liping; Wang, Xixi; Chen, Fushan; Wang, Wenyu; Qu, Changfeng; Miao, Jinlai</t>
  </si>
  <si>
    <t>Transcriptome analysis of Antarctic Rhodococcus sp. NJ-530 in the response to dimethylsulfoniopropionate</t>
  </si>
  <si>
    <t>RNA-Seq; Antarctic Rhodococcus sp; NJ-530; Dimethylsulfoniopropionate; dddB-like gene; dddC-like gene</t>
  </si>
  <si>
    <t>CLIMATE-CHANGING GAS; DIMETHYL SULFIDE; MARINE-BACTERIA; SEA-ICE; DMSP; LYASE; SULFUR; DIMETHYLSULPHONIOPROPIONATE; MICROORGANISMS; CATABOLISM</t>
  </si>
  <si>
    <t>Dimethylsulfoniopropionate (DMSP) and dimethyl sulfide (DMS) are critical molecules in the global sulfur cycle and in climate regulation. Bacterial DMSP-dependent DMS production is an important natural source of DMS. The aim of the present work was to use RNA-seq technology to investigate the changes in gene expression profiles of Antarctic Rhodococcus sp. NJ-530 in response to DMSP, and the possible mechanism of DMSP metabolism. In this study, Rhodococcus sp. NJ-530 cells were exposed to 0 (control) and 1 mM DMSP for 9 h. The results showed that DMSP induces transcriptional changes to Rhodococcus sp. NJ-530. DMSP caused upregulation of several genes that may play a potential role in DMSP metabolization. Additionally, transcriptome analysis of DMSP metabolism determinized a total of 1159 differentially expressed genes (DEGs) between two treatment strategies. qRT-PCR was performed to further confirm the changes in these results. GO and KEGG enrichment analyses showed that DMS production is the result of the coordinated action of a multitude of DMSP lysis-associated genes along a pathway, including absorption mechanism, secondary metabolisms, and cellular signaling. In conclusion, our data indicated that DMSP exposure induced DMSP cleavage pathway activity, and the effects on the gene expression profile of strain NJ-530 were analyzed at the transcriptional level during the degradation of DMSP. This work provided insight into the transcriptional characterization of Rhodococcus sp. NJ-530 in response to DMSP and contributed to clarifying the biodegradation and underlying mechanism of DMSP in Rhodococcus sp. NJ-530.</t>
  </si>
  <si>
    <t>[Zhang, Liping] Qingdao Univ, Sch Basic Med, Dept Special Med, Qingdao 266071, Peoples R China; [Zhang, Liping; Wang, Xixi; Wang, Wenyu; Qu, Changfeng; Miao, Jinlai] Minist Nat Resource, Key Lab Marine Ecoenvironm Sci &amp; Technol, Inst Oceanog 1, Xianxialing Rd, Qingdao 266061, Peoples R China; [Qu, Changfeng; Miao, Jinlai] Qingdao Pilot Natl Lab Marine Sci &amp; Technol, Lab Marine Drugs &amp; Bioprod, Qingdao 266237, Peoples R China; [Wang, Xixi; Chen, Fushan] Qingdao Univ Sci &amp; Technol, Coll Chem &amp; Mol Engn, Qingdao 266042, Peoples R China</t>
  </si>
  <si>
    <t>Qingdao University; Laoshan Laboratory; Qingdao University of Science &amp; Technology</t>
  </si>
  <si>
    <t>Qu, CF; Miao, JL (corresponding author), Minist Nat Resource, Key Lab Marine Ecoenvironm Sci &amp; Technol, Inst Oceanog 1, Xianxialing Rd, Qingdao 266061, Peoples R China.;Qu, CF; Miao, JL (corresponding author), Qingdao Pilot Natl Lab Marine Sci &amp; Technol, Lab Marine Drugs &amp; Bioprod, Qingdao 266237, Peoples R China.</t>
  </si>
  <si>
    <t>cfqu@fio.org.cn; miaojinlai@fio.org.cn</t>
  </si>
  <si>
    <t>li, chunlin/KFS-0761-2024; Wang, Junzhe/KCK-4991-2024; Wang, Yitong/KBA-1959-2024</t>
  </si>
  <si>
    <t>Natural Science Foundation of China [42176130]; Basic Scientific Fund for National Public Research Institutes of China [2020Q02]; Natural Science Foundation of Shandong [42176130, ZR2019BD023, ZR2021MD044]; Tai Mountain Industry Leading Talent of Shan Dong [2019TSCYCX-06]; Science and Technology Planning Project of Guangxi [AA21196002]; Key Research and Development Program of Shandong Province [2021TZXD008]</t>
  </si>
  <si>
    <t>Natural Science Foundation of China(National Natural Science Foundation of China (NSFC)); Basic Scientific Fund for National Public Research Institutes of China; Natural Science Foundation of Shandong(Natural Science Foundation of Shandong Province); Tai Mountain Industry Leading Talent of Shan Dong; Science and Technology Planning Project of Guangxi; Key Research and Development Program of Shandong Province</t>
  </si>
  <si>
    <t>This study was supported by the Natural Science Foundation of China (32000074), Basic Scientific Fund for National Public Research Institutes of China (2020Q02), Natural Science Foundation of China (42176130), Natural Science Foundation of Shandong (ZR2019BD023, ZR2021MD044), Tai Mountain Industry Leading Talent of Shan Dong (2019TSCYCX-06), Science and Technology Planning Project of Guangxi (AA21196002), Key Research and Development Program of Shandong Province (2021TZXD008).</t>
  </si>
  <si>
    <t>10.1007/s00300-022-03049-w</t>
  </si>
  <si>
    <t>WOS:000809286700001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</si>
</sst>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74</v>
      </c>
      <c r="AD2" t="s">
        <v>74</v>
      </c>
      <c r="AE2" t="s">
        <v>74</v>
      </c>
      <c r="AF2" t="s">
        <v>74</v>
      </c>
      <c r="AG2">
        <v>69</v>
      </c>
      <c r="AH2">
        <v>5</v>
      </c>
      <c r="AI2">
        <v>5</v>
      </c>
      <c r="AJ2">
        <v>0</v>
      </c>
      <c r="AK2">
        <v>10</v>
      </c>
      <c r="AL2" t="s">
        <v>89</v>
      </c>
      <c r="AM2" t="s">
        <v>90</v>
      </c>
      <c r="AN2" t="s">
        <v>91</v>
      </c>
      <c r="AO2" t="s">
        <v>92</v>
      </c>
      <c r="AP2" t="s">
        <v>93</v>
      </c>
      <c r="AQ2" t="s">
        <v>74</v>
      </c>
      <c r="AR2" t="s">
        <v>94</v>
      </c>
      <c r="AS2" t="s">
        <v>95</v>
      </c>
      <c r="AT2" t="s">
        <v>96</v>
      </c>
      <c r="AU2">
        <v>2022</v>
      </c>
      <c r="AV2">
        <v>79</v>
      </c>
      <c r="AW2">
        <v>8</v>
      </c>
      <c r="AX2" t="s">
        <v>74</v>
      </c>
      <c r="AY2" t="s">
        <v>74</v>
      </c>
      <c r="AZ2" t="s">
        <v>74</v>
      </c>
      <c r="BA2" t="s">
        <v>74</v>
      </c>
      <c r="BB2">
        <v>2298</v>
      </c>
      <c r="BC2">
        <v>2310</v>
      </c>
      <c r="BD2" t="s">
        <v>74</v>
      </c>
      <c r="BE2" t="s">
        <v>97</v>
      </c>
      <c r="BF2" t="str">
        <f>HYPERLINK("http://dx.doi.org/10.1093/icesjms/fsac167","http://dx.doi.org/10.1093/icesjms/fsac167")</f>
        <v>http://dx.doi.org/10.1093/icesjms/fsac167</v>
      </c>
      <c r="BG2" t="s">
        <v>74</v>
      </c>
      <c r="BH2" t="s">
        <v>98</v>
      </c>
      <c r="BI2">
        <v>13</v>
      </c>
      <c r="BJ2" t="s">
        <v>99</v>
      </c>
      <c r="BK2" t="s">
        <v>100</v>
      </c>
      <c r="BL2" t="s">
        <v>99</v>
      </c>
      <c r="BM2" t="s">
        <v>101</v>
      </c>
      <c r="BN2" t="s">
        <v>74</v>
      </c>
      <c r="BO2" t="s">
        <v>102</v>
      </c>
      <c r="BP2" t="s">
        <v>74</v>
      </c>
      <c r="BQ2" t="s">
        <v>74</v>
      </c>
      <c r="BR2" t="s">
        <v>103</v>
      </c>
      <c r="BS2" t="s">
        <v>104</v>
      </c>
      <c r="BT2" t="str">
        <f>HYPERLINK("https%3A%2F%2Fwww.webofscience.com%2Fwos%2Fwoscc%2Ffull-record%2FWOS:000863813500001","View Full Record in Web of Science")</f>
        <v>View Full Record in Web of Science</v>
      </c>
    </row>
    <row r="3" spans="1:72" x14ac:dyDescent="0.15">
      <c r="A3" t="s">
        <v>72</v>
      </c>
      <c r="B3" t="s">
        <v>105</v>
      </c>
      <c r="C3" t="s">
        <v>74</v>
      </c>
      <c r="D3" t="s">
        <v>74</v>
      </c>
      <c r="E3" t="s">
        <v>74</v>
      </c>
      <c r="F3" t="s">
        <v>106</v>
      </c>
      <c r="G3" t="s">
        <v>74</v>
      </c>
      <c r="H3" t="s">
        <v>74</v>
      </c>
      <c r="I3" t="s">
        <v>107</v>
      </c>
      <c r="J3" t="s">
        <v>108</v>
      </c>
      <c r="K3" t="s">
        <v>74</v>
      </c>
      <c r="L3" t="s">
        <v>74</v>
      </c>
      <c r="M3" t="s">
        <v>78</v>
      </c>
      <c r="N3" t="s">
        <v>79</v>
      </c>
      <c r="O3" t="s">
        <v>74</v>
      </c>
      <c r="P3" t="s">
        <v>74</v>
      </c>
      <c r="Q3" t="s">
        <v>74</v>
      </c>
      <c r="R3" t="s">
        <v>74</v>
      </c>
      <c r="S3" t="s">
        <v>74</v>
      </c>
      <c r="T3" t="s">
        <v>109</v>
      </c>
      <c r="U3" t="s">
        <v>110</v>
      </c>
      <c r="V3" t="s">
        <v>111</v>
      </c>
      <c r="W3" t="s">
        <v>112</v>
      </c>
      <c r="X3" t="s">
        <v>113</v>
      </c>
      <c r="Y3" t="s">
        <v>114</v>
      </c>
      <c r="Z3" t="s">
        <v>115</v>
      </c>
      <c r="AA3" t="s">
        <v>116</v>
      </c>
      <c r="AB3" t="s">
        <v>117</v>
      </c>
      <c r="AC3" t="s">
        <v>118</v>
      </c>
      <c r="AD3" t="s">
        <v>119</v>
      </c>
      <c r="AE3" t="s">
        <v>120</v>
      </c>
      <c r="AF3" t="s">
        <v>74</v>
      </c>
      <c r="AG3">
        <v>166</v>
      </c>
      <c r="AH3">
        <v>2</v>
      </c>
      <c r="AI3">
        <v>2</v>
      </c>
      <c r="AJ3">
        <v>1</v>
      </c>
      <c r="AK3">
        <v>5</v>
      </c>
      <c r="AL3" t="s">
        <v>121</v>
      </c>
      <c r="AM3" t="s">
        <v>122</v>
      </c>
      <c r="AN3" t="s">
        <v>123</v>
      </c>
      <c r="AO3" t="s">
        <v>74</v>
      </c>
      <c r="AP3" t="s">
        <v>124</v>
      </c>
      <c r="AQ3" t="s">
        <v>74</v>
      </c>
      <c r="AR3" t="s">
        <v>125</v>
      </c>
      <c r="AS3" t="s">
        <v>126</v>
      </c>
      <c r="AT3" t="s">
        <v>127</v>
      </c>
      <c r="AU3">
        <v>2022</v>
      </c>
      <c r="AV3">
        <v>10</v>
      </c>
      <c r="AW3" t="s">
        <v>74</v>
      </c>
      <c r="AX3" t="s">
        <v>74</v>
      </c>
      <c r="AY3" t="s">
        <v>74</v>
      </c>
      <c r="AZ3" t="s">
        <v>74</v>
      </c>
      <c r="BA3" t="s">
        <v>74</v>
      </c>
      <c r="BB3" t="s">
        <v>74</v>
      </c>
      <c r="BC3" t="s">
        <v>74</v>
      </c>
      <c r="BD3">
        <v>831631</v>
      </c>
      <c r="BE3" t="s">
        <v>128</v>
      </c>
      <c r="BF3" t="str">
        <f>HYPERLINK("http://dx.doi.org/10.3389/feart.2022.831631","http://dx.doi.org/10.3389/feart.2022.831631")</f>
        <v>http://dx.doi.org/10.3389/feart.2022.831631</v>
      </c>
      <c r="BG3" t="s">
        <v>74</v>
      </c>
      <c r="BH3" t="s">
        <v>74</v>
      </c>
      <c r="BI3">
        <v>32</v>
      </c>
      <c r="BJ3" t="s">
        <v>129</v>
      </c>
      <c r="BK3" t="s">
        <v>100</v>
      </c>
      <c r="BL3" t="s">
        <v>130</v>
      </c>
      <c r="BM3" t="s">
        <v>131</v>
      </c>
      <c r="BN3" t="s">
        <v>74</v>
      </c>
      <c r="BO3" t="s">
        <v>132</v>
      </c>
      <c r="BP3" t="s">
        <v>74</v>
      </c>
      <c r="BQ3" t="s">
        <v>74</v>
      </c>
      <c r="BR3" t="s">
        <v>103</v>
      </c>
      <c r="BS3" t="s">
        <v>133</v>
      </c>
      <c r="BT3" t="str">
        <f>HYPERLINK("https%3A%2F%2Fwww.webofscience.com%2Fwos%2Fwoscc%2Ffull-record%2FWOS:000873938300001","View Full Record in Web of Science")</f>
        <v>View Full Record in Web of Science</v>
      </c>
    </row>
    <row r="4" spans="1:72" x14ac:dyDescent="0.15">
      <c r="A4" t="s">
        <v>72</v>
      </c>
      <c r="B4" t="s">
        <v>134</v>
      </c>
      <c r="C4" t="s">
        <v>74</v>
      </c>
      <c r="D4" t="s">
        <v>74</v>
      </c>
      <c r="E4" t="s">
        <v>74</v>
      </c>
      <c r="F4" t="s">
        <v>135</v>
      </c>
      <c r="G4" t="s">
        <v>74</v>
      </c>
      <c r="H4" t="s">
        <v>74</v>
      </c>
      <c r="I4" t="s">
        <v>136</v>
      </c>
      <c r="J4" t="s">
        <v>137</v>
      </c>
      <c r="K4" t="s">
        <v>74</v>
      </c>
      <c r="L4" t="s">
        <v>74</v>
      </c>
      <c r="M4" t="s">
        <v>78</v>
      </c>
      <c r="N4" t="s">
        <v>79</v>
      </c>
      <c r="O4" t="s">
        <v>74</v>
      </c>
      <c r="P4" t="s">
        <v>74</v>
      </c>
      <c r="Q4" t="s">
        <v>74</v>
      </c>
      <c r="R4" t="s">
        <v>74</v>
      </c>
      <c r="S4" t="s">
        <v>74</v>
      </c>
      <c r="T4" t="s">
        <v>74</v>
      </c>
      <c r="U4" t="s">
        <v>138</v>
      </c>
      <c r="V4" t="s">
        <v>139</v>
      </c>
      <c r="W4" t="s">
        <v>140</v>
      </c>
      <c r="X4" t="s">
        <v>141</v>
      </c>
      <c r="Y4" t="s">
        <v>142</v>
      </c>
      <c r="Z4" t="s">
        <v>143</v>
      </c>
      <c r="AA4" t="s">
        <v>144</v>
      </c>
      <c r="AB4" t="s">
        <v>145</v>
      </c>
      <c r="AC4" t="s">
        <v>146</v>
      </c>
      <c r="AD4" t="s">
        <v>147</v>
      </c>
      <c r="AE4" t="s">
        <v>148</v>
      </c>
      <c r="AF4" t="s">
        <v>74</v>
      </c>
      <c r="AG4">
        <v>96</v>
      </c>
      <c r="AH4">
        <v>10</v>
      </c>
      <c r="AI4">
        <v>11</v>
      </c>
      <c r="AJ4">
        <v>15</v>
      </c>
      <c r="AK4">
        <v>48</v>
      </c>
      <c r="AL4" t="s">
        <v>149</v>
      </c>
      <c r="AM4" t="s">
        <v>150</v>
      </c>
      <c r="AN4" t="s">
        <v>151</v>
      </c>
      <c r="AO4" t="s">
        <v>74</v>
      </c>
      <c r="AP4" t="s">
        <v>152</v>
      </c>
      <c r="AQ4" t="s">
        <v>74</v>
      </c>
      <c r="AR4" t="s">
        <v>153</v>
      </c>
      <c r="AS4" t="s">
        <v>154</v>
      </c>
      <c r="AT4" t="s">
        <v>127</v>
      </c>
      <c r="AU4">
        <v>2022</v>
      </c>
      <c r="AV4">
        <v>13</v>
      </c>
      <c r="AW4">
        <v>1</v>
      </c>
      <c r="AX4" t="s">
        <v>74</v>
      </c>
      <c r="AY4" t="s">
        <v>74</v>
      </c>
      <c r="AZ4" t="s">
        <v>74</v>
      </c>
      <c r="BA4" t="s">
        <v>74</v>
      </c>
      <c r="BB4" t="s">
        <v>74</v>
      </c>
      <c r="BC4" t="s">
        <v>74</v>
      </c>
      <c r="BD4">
        <v>5867</v>
      </c>
      <c r="BE4" t="s">
        <v>155</v>
      </c>
      <c r="BF4" t="str">
        <f>HYPERLINK("http://dx.doi.org/10.1038/s41467-022-33583-4","http://dx.doi.org/10.1038/s41467-022-33583-4")</f>
        <v>http://dx.doi.org/10.1038/s41467-022-33583-4</v>
      </c>
      <c r="BG4" t="s">
        <v>74</v>
      </c>
      <c r="BH4" t="s">
        <v>74</v>
      </c>
      <c r="BI4">
        <v>14</v>
      </c>
      <c r="BJ4" t="s">
        <v>156</v>
      </c>
      <c r="BK4" t="s">
        <v>100</v>
      </c>
      <c r="BL4" t="s">
        <v>157</v>
      </c>
      <c r="BM4" t="s">
        <v>158</v>
      </c>
      <c r="BN4">
        <v>36195764</v>
      </c>
      <c r="BO4" t="s">
        <v>159</v>
      </c>
      <c r="BP4" t="s">
        <v>74</v>
      </c>
      <c r="BQ4" t="s">
        <v>74</v>
      </c>
      <c r="BR4" t="s">
        <v>103</v>
      </c>
      <c r="BS4" t="s">
        <v>160</v>
      </c>
      <c r="BT4" t="str">
        <f>HYPERLINK("https%3A%2F%2Fwww.webofscience.com%2Fwos%2Fwoscc%2Ffull-record%2FWOS:000863903100022","View Full Record in Web of Science")</f>
        <v>View Full Record in Web of Science</v>
      </c>
    </row>
    <row r="5" spans="1:72" x14ac:dyDescent="0.15">
      <c r="A5" t="s">
        <v>72</v>
      </c>
      <c r="B5" t="s">
        <v>161</v>
      </c>
      <c r="C5" t="s">
        <v>74</v>
      </c>
      <c r="D5" t="s">
        <v>74</v>
      </c>
      <c r="E5" t="s">
        <v>74</v>
      </c>
      <c r="F5" t="s">
        <v>162</v>
      </c>
      <c r="G5" t="s">
        <v>74</v>
      </c>
      <c r="H5" t="s">
        <v>74</v>
      </c>
      <c r="I5" t="s">
        <v>163</v>
      </c>
      <c r="J5" t="s">
        <v>164</v>
      </c>
      <c r="K5" t="s">
        <v>74</v>
      </c>
      <c r="L5" t="s">
        <v>74</v>
      </c>
      <c r="M5" t="s">
        <v>78</v>
      </c>
      <c r="N5" t="s">
        <v>165</v>
      </c>
      <c r="O5" t="s">
        <v>74</v>
      </c>
      <c r="P5" t="s">
        <v>74</v>
      </c>
      <c r="Q5" t="s">
        <v>74</v>
      </c>
      <c r="R5" t="s">
        <v>74</v>
      </c>
      <c r="S5" t="s">
        <v>74</v>
      </c>
      <c r="T5" t="s">
        <v>166</v>
      </c>
      <c r="U5" t="s">
        <v>167</v>
      </c>
      <c r="V5" t="s">
        <v>168</v>
      </c>
      <c r="W5" t="s">
        <v>169</v>
      </c>
      <c r="X5" t="s">
        <v>170</v>
      </c>
      <c r="Y5" t="s">
        <v>171</v>
      </c>
      <c r="Z5" t="s">
        <v>172</v>
      </c>
      <c r="AA5" t="s">
        <v>173</v>
      </c>
      <c r="AB5" t="s">
        <v>174</v>
      </c>
      <c r="AC5" t="s">
        <v>175</v>
      </c>
      <c r="AD5" t="s">
        <v>176</v>
      </c>
      <c r="AE5" t="s">
        <v>177</v>
      </c>
      <c r="AF5" t="s">
        <v>74</v>
      </c>
      <c r="AG5">
        <v>373</v>
      </c>
      <c r="AH5">
        <v>4</v>
      </c>
      <c r="AI5">
        <v>4</v>
      </c>
      <c r="AJ5">
        <v>1</v>
      </c>
      <c r="AK5">
        <v>18</v>
      </c>
      <c r="AL5" t="s">
        <v>178</v>
      </c>
      <c r="AM5" t="s">
        <v>179</v>
      </c>
      <c r="AN5" t="s">
        <v>180</v>
      </c>
      <c r="AO5" t="s">
        <v>181</v>
      </c>
      <c r="AP5" t="s">
        <v>182</v>
      </c>
      <c r="AQ5" t="s">
        <v>74</v>
      </c>
      <c r="AR5" t="s">
        <v>164</v>
      </c>
      <c r="AS5" t="s">
        <v>183</v>
      </c>
      <c r="AT5" t="s">
        <v>184</v>
      </c>
      <c r="AU5">
        <v>2023</v>
      </c>
      <c r="AV5">
        <v>850</v>
      </c>
      <c r="AW5" t="s">
        <v>185</v>
      </c>
      <c r="AX5" t="s">
        <v>74</v>
      </c>
      <c r="AY5" t="s">
        <v>74</v>
      </c>
      <c r="AZ5" t="s">
        <v>186</v>
      </c>
      <c r="BA5" t="s">
        <v>74</v>
      </c>
      <c r="BB5">
        <v>2871</v>
      </c>
      <c r="BC5">
        <v>2902</v>
      </c>
      <c r="BD5" t="s">
        <v>74</v>
      </c>
      <c r="BE5" t="s">
        <v>187</v>
      </c>
      <c r="BF5" t="str">
        <f>HYPERLINK("http://dx.doi.org/10.1007/s10750-022-05033-1","http://dx.doi.org/10.1007/s10750-022-05033-1")</f>
        <v>http://dx.doi.org/10.1007/s10750-022-05033-1</v>
      </c>
      <c r="BG5" t="s">
        <v>74</v>
      </c>
      <c r="BH5" t="s">
        <v>98</v>
      </c>
      <c r="BI5">
        <v>32</v>
      </c>
      <c r="BJ5" t="s">
        <v>188</v>
      </c>
      <c r="BK5" t="s">
        <v>100</v>
      </c>
      <c r="BL5" t="s">
        <v>188</v>
      </c>
      <c r="BM5" t="s">
        <v>189</v>
      </c>
      <c r="BN5" t="s">
        <v>74</v>
      </c>
      <c r="BO5" t="s">
        <v>74</v>
      </c>
      <c r="BP5" t="s">
        <v>74</v>
      </c>
      <c r="BQ5" t="s">
        <v>74</v>
      </c>
      <c r="BR5" t="s">
        <v>103</v>
      </c>
      <c r="BS5" t="s">
        <v>190</v>
      </c>
      <c r="BT5" t="str">
        <f>HYPERLINK("https%3A%2F%2Fwww.webofscience.com%2Fwos%2Fwoscc%2Ffull-record%2FWOS:000863800700001","View Full Record in Web of Science")</f>
        <v>View Full Record in Web of Science</v>
      </c>
    </row>
    <row r="6" spans="1:72" x14ac:dyDescent="0.15">
      <c r="A6" t="s">
        <v>72</v>
      </c>
      <c r="B6" t="s">
        <v>191</v>
      </c>
      <c r="C6" t="s">
        <v>74</v>
      </c>
      <c r="D6" t="s">
        <v>74</v>
      </c>
      <c r="E6" t="s">
        <v>74</v>
      </c>
      <c r="F6" t="s">
        <v>192</v>
      </c>
      <c r="G6" t="s">
        <v>74</v>
      </c>
      <c r="H6" t="s">
        <v>74</v>
      </c>
      <c r="I6" t="s">
        <v>193</v>
      </c>
      <c r="J6" t="s">
        <v>194</v>
      </c>
      <c r="K6" t="s">
        <v>74</v>
      </c>
      <c r="L6" t="s">
        <v>74</v>
      </c>
      <c r="M6" t="s">
        <v>78</v>
      </c>
      <c r="N6" t="s">
        <v>79</v>
      </c>
      <c r="O6" t="s">
        <v>74</v>
      </c>
      <c r="P6" t="s">
        <v>74</v>
      </c>
      <c r="Q6" t="s">
        <v>74</v>
      </c>
      <c r="R6" t="s">
        <v>74</v>
      </c>
      <c r="S6" t="s">
        <v>74</v>
      </c>
      <c r="T6" t="s">
        <v>74</v>
      </c>
      <c r="U6" t="s">
        <v>195</v>
      </c>
      <c r="V6" t="s">
        <v>196</v>
      </c>
      <c r="W6" t="s">
        <v>197</v>
      </c>
      <c r="X6" t="s">
        <v>198</v>
      </c>
      <c r="Y6" t="s">
        <v>199</v>
      </c>
      <c r="Z6" t="s">
        <v>200</v>
      </c>
      <c r="AA6" t="s">
        <v>201</v>
      </c>
      <c r="AB6" t="s">
        <v>202</v>
      </c>
      <c r="AC6" t="s">
        <v>203</v>
      </c>
      <c r="AD6" t="s">
        <v>204</v>
      </c>
      <c r="AE6" t="s">
        <v>205</v>
      </c>
      <c r="AF6" t="s">
        <v>74</v>
      </c>
      <c r="AG6">
        <v>21</v>
      </c>
      <c r="AH6">
        <v>1</v>
      </c>
      <c r="AI6">
        <v>1</v>
      </c>
      <c r="AJ6">
        <v>1</v>
      </c>
      <c r="AK6">
        <v>5</v>
      </c>
      <c r="AL6" t="s">
        <v>206</v>
      </c>
      <c r="AM6" t="s">
        <v>207</v>
      </c>
      <c r="AN6" t="s">
        <v>208</v>
      </c>
      <c r="AO6" t="s">
        <v>209</v>
      </c>
      <c r="AP6" t="s">
        <v>74</v>
      </c>
      <c r="AQ6" t="s">
        <v>74</v>
      </c>
      <c r="AR6" t="s">
        <v>210</v>
      </c>
      <c r="AS6" t="s">
        <v>211</v>
      </c>
      <c r="AT6" t="s">
        <v>212</v>
      </c>
      <c r="AU6">
        <v>2022</v>
      </c>
      <c r="AV6">
        <v>11</v>
      </c>
      <c r="AW6">
        <v>11</v>
      </c>
      <c r="AX6" t="s">
        <v>74</v>
      </c>
      <c r="AY6" t="s">
        <v>74</v>
      </c>
      <c r="AZ6" t="s">
        <v>74</v>
      </c>
      <c r="BA6" t="s">
        <v>74</v>
      </c>
      <c r="BB6" t="s">
        <v>74</v>
      </c>
      <c r="BC6" t="s">
        <v>74</v>
      </c>
      <c r="BD6" t="s">
        <v>74</v>
      </c>
      <c r="BE6" t="s">
        <v>213</v>
      </c>
      <c r="BF6" t="str">
        <f>HYPERLINK("http://dx.doi.org/10.1128/mra.00685-22","http://dx.doi.org/10.1128/mra.00685-22")</f>
        <v>http://dx.doi.org/10.1128/mra.00685-22</v>
      </c>
      <c r="BG6" t="s">
        <v>74</v>
      </c>
      <c r="BH6" t="s">
        <v>98</v>
      </c>
      <c r="BI6">
        <v>2</v>
      </c>
      <c r="BJ6" t="s">
        <v>214</v>
      </c>
      <c r="BK6" t="s">
        <v>215</v>
      </c>
      <c r="BL6" t="s">
        <v>214</v>
      </c>
      <c r="BM6" t="s">
        <v>216</v>
      </c>
      <c r="BN6">
        <v>36194130</v>
      </c>
      <c r="BO6" t="s">
        <v>159</v>
      </c>
      <c r="BP6" t="s">
        <v>74</v>
      </c>
      <c r="BQ6" t="s">
        <v>74</v>
      </c>
      <c r="BR6" t="s">
        <v>103</v>
      </c>
      <c r="BS6" t="s">
        <v>217</v>
      </c>
      <c r="BT6" t="str">
        <f>HYPERLINK("https%3A%2F%2Fwww.webofscience.com%2Fwos%2Fwoscc%2Ffull-record%2FWOS:000864097800001","View Full Record in Web of Science")</f>
        <v>View Full Record in Web of Science</v>
      </c>
    </row>
    <row r="7" spans="1:72" x14ac:dyDescent="0.15">
      <c r="A7" t="s">
        <v>72</v>
      </c>
      <c r="B7" t="s">
        <v>218</v>
      </c>
      <c r="C7" t="s">
        <v>74</v>
      </c>
      <c r="D7" t="s">
        <v>74</v>
      </c>
      <c r="E7" t="s">
        <v>74</v>
      </c>
      <c r="F7" t="s">
        <v>219</v>
      </c>
      <c r="G7" t="s">
        <v>74</v>
      </c>
      <c r="H7" t="s">
        <v>74</v>
      </c>
      <c r="I7" t="s">
        <v>220</v>
      </c>
      <c r="J7" t="s">
        <v>221</v>
      </c>
      <c r="K7" t="s">
        <v>74</v>
      </c>
      <c r="L7" t="s">
        <v>74</v>
      </c>
      <c r="M7" t="s">
        <v>78</v>
      </c>
      <c r="N7" t="s">
        <v>165</v>
      </c>
      <c r="O7" t="s">
        <v>74</v>
      </c>
      <c r="P7" t="s">
        <v>74</v>
      </c>
      <c r="Q7" t="s">
        <v>74</v>
      </c>
      <c r="R7" t="s">
        <v>74</v>
      </c>
      <c r="S7" t="s">
        <v>74</v>
      </c>
      <c r="T7" t="s">
        <v>222</v>
      </c>
      <c r="U7" t="s">
        <v>223</v>
      </c>
      <c r="V7" t="s">
        <v>224</v>
      </c>
      <c r="W7" t="s">
        <v>225</v>
      </c>
      <c r="X7" t="s">
        <v>226</v>
      </c>
      <c r="Y7" t="s">
        <v>227</v>
      </c>
      <c r="Z7" t="s">
        <v>228</v>
      </c>
      <c r="AA7" t="s">
        <v>229</v>
      </c>
      <c r="AB7" t="s">
        <v>230</v>
      </c>
      <c r="AC7" t="s">
        <v>74</v>
      </c>
      <c r="AD7" t="s">
        <v>74</v>
      </c>
      <c r="AE7" t="s">
        <v>74</v>
      </c>
      <c r="AF7" t="s">
        <v>74</v>
      </c>
      <c r="AG7">
        <v>161</v>
      </c>
      <c r="AH7">
        <v>1</v>
      </c>
      <c r="AI7">
        <v>2</v>
      </c>
      <c r="AJ7">
        <v>5</v>
      </c>
      <c r="AK7">
        <v>19</v>
      </c>
      <c r="AL7" t="s">
        <v>231</v>
      </c>
      <c r="AM7" t="s">
        <v>232</v>
      </c>
      <c r="AN7" t="s">
        <v>233</v>
      </c>
      <c r="AO7" t="s">
        <v>234</v>
      </c>
      <c r="AP7" t="s">
        <v>235</v>
      </c>
      <c r="AQ7" t="s">
        <v>74</v>
      </c>
      <c r="AR7" t="s">
        <v>236</v>
      </c>
      <c r="AS7" t="s">
        <v>237</v>
      </c>
      <c r="AT7" t="s">
        <v>238</v>
      </c>
      <c r="AU7">
        <v>2023</v>
      </c>
      <c r="AV7">
        <v>34</v>
      </c>
      <c r="AW7">
        <v>1</v>
      </c>
      <c r="AX7" t="s">
        <v>74</v>
      </c>
      <c r="AY7" t="s">
        <v>74</v>
      </c>
      <c r="AZ7" t="s">
        <v>74</v>
      </c>
      <c r="BA7" t="s">
        <v>74</v>
      </c>
      <c r="BB7">
        <v>37</v>
      </c>
      <c r="BC7">
        <v>51</v>
      </c>
      <c r="BD7" t="s">
        <v>74</v>
      </c>
      <c r="BE7" t="s">
        <v>239</v>
      </c>
      <c r="BF7" t="str">
        <f>HYPERLINK("http://dx.doi.org/10.1002/ppp.2170","http://dx.doi.org/10.1002/ppp.2170")</f>
        <v>http://dx.doi.org/10.1002/ppp.2170</v>
      </c>
      <c r="BG7" t="s">
        <v>74</v>
      </c>
      <c r="BH7" t="s">
        <v>98</v>
      </c>
      <c r="BI7">
        <v>15</v>
      </c>
      <c r="BJ7" t="s">
        <v>240</v>
      </c>
      <c r="BK7" t="s">
        <v>100</v>
      </c>
      <c r="BL7" t="s">
        <v>241</v>
      </c>
      <c r="BM7" t="s">
        <v>242</v>
      </c>
      <c r="BN7" t="s">
        <v>74</v>
      </c>
      <c r="BO7" t="s">
        <v>74</v>
      </c>
      <c r="BP7" t="s">
        <v>74</v>
      </c>
      <c r="BQ7" t="s">
        <v>74</v>
      </c>
      <c r="BR7" t="s">
        <v>103</v>
      </c>
      <c r="BS7" t="s">
        <v>243</v>
      </c>
      <c r="BT7" t="str">
        <f>HYPERLINK("https%3A%2F%2Fwww.webofscience.com%2Fwos%2Fwoscc%2Ffull-record%2FWOS:000863703200001","View Full Record in Web of Science")</f>
        <v>View Full Record in Web of Science</v>
      </c>
    </row>
    <row r="8" spans="1:72" x14ac:dyDescent="0.15">
      <c r="A8" t="s">
        <v>72</v>
      </c>
      <c r="B8" t="s">
        <v>244</v>
      </c>
      <c r="C8" t="s">
        <v>74</v>
      </c>
      <c r="D8" t="s">
        <v>74</v>
      </c>
      <c r="E8" t="s">
        <v>74</v>
      </c>
      <c r="F8" t="s">
        <v>245</v>
      </c>
      <c r="G8" t="s">
        <v>74</v>
      </c>
      <c r="H8" t="s">
        <v>74</v>
      </c>
      <c r="I8" t="s">
        <v>246</v>
      </c>
      <c r="J8" t="s">
        <v>247</v>
      </c>
      <c r="K8" t="s">
        <v>74</v>
      </c>
      <c r="L8" t="s">
        <v>74</v>
      </c>
      <c r="M8" t="s">
        <v>78</v>
      </c>
      <c r="N8" t="s">
        <v>79</v>
      </c>
      <c r="O8" t="s">
        <v>74</v>
      </c>
      <c r="P8" t="s">
        <v>74</v>
      </c>
      <c r="Q8" t="s">
        <v>74</v>
      </c>
      <c r="R8" t="s">
        <v>74</v>
      </c>
      <c r="S8" t="s">
        <v>74</v>
      </c>
      <c r="T8" t="s">
        <v>248</v>
      </c>
      <c r="U8" t="s">
        <v>249</v>
      </c>
      <c r="V8" t="s">
        <v>250</v>
      </c>
      <c r="W8" t="s">
        <v>251</v>
      </c>
      <c r="X8" t="s">
        <v>252</v>
      </c>
      <c r="Y8" t="s">
        <v>253</v>
      </c>
      <c r="Z8" t="s">
        <v>254</v>
      </c>
      <c r="AA8" t="s">
        <v>74</v>
      </c>
      <c r="AB8" t="s">
        <v>74</v>
      </c>
      <c r="AC8" t="s">
        <v>255</v>
      </c>
      <c r="AD8" t="s">
        <v>256</v>
      </c>
      <c r="AE8" t="s">
        <v>257</v>
      </c>
      <c r="AF8" t="s">
        <v>74</v>
      </c>
      <c r="AG8">
        <v>103</v>
      </c>
      <c r="AH8">
        <v>2</v>
      </c>
      <c r="AI8">
        <v>2</v>
      </c>
      <c r="AJ8">
        <v>3</v>
      </c>
      <c r="AK8">
        <v>9</v>
      </c>
      <c r="AL8" t="s">
        <v>121</v>
      </c>
      <c r="AM8" t="s">
        <v>122</v>
      </c>
      <c r="AN8" t="s">
        <v>123</v>
      </c>
      <c r="AO8" t="s">
        <v>74</v>
      </c>
      <c r="AP8" t="s">
        <v>258</v>
      </c>
      <c r="AQ8" t="s">
        <v>74</v>
      </c>
      <c r="AR8" t="s">
        <v>259</v>
      </c>
      <c r="AS8" t="s">
        <v>260</v>
      </c>
      <c r="AT8" t="s">
        <v>261</v>
      </c>
      <c r="AU8">
        <v>2022</v>
      </c>
      <c r="AV8">
        <v>9</v>
      </c>
      <c r="AW8" t="s">
        <v>74</v>
      </c>
      <c r="AX8" t="s">
        <v>74</v>
      </c>
      <c r="AY8" t="s">
        <v>74</v>
      </c>
      <c r="AZ8" t="s">
        <v>74</v>
      </c>
      <c r="BA8" t="s">
        <v>74</v>
      </c>
      <c r="BB8" t="s">
        <v>74</v>
      </c>
      <c r="BC8" t="s">
        <v>74</v>
      </c>
      <c r="BD8">
        <v>845965</v>
      </c>
      <c r="BE8" t="s">
        <v>262</v>
      </c>
      <c r="BF8" t="str">
        <f>HYPERLINK("http://dx.doi.org/10.3389/fmars.2022.845965","http://dx.doi.org/10.3389/fmars.2022.845965")</f>
        <v>http://dx.doi.org/10.3389/fmars.2022.845965</v>
      </c>
      <c r="BG8" t="s">
        <v>74</v>
      </c>
      <c r="BH8" t="s">
        <v>74</v>
      </c>
      <c r="BI8">
        <v>21</v>
      </c>
      <c r="BJ8" t="s">
        <v>263</v>
      </c>
      <c r="BK8" t="s">
        <v>100</v>
      </c>
      <c r="BL8" t="s">
        <v>264</v>
      </c>
      <c r="BM8" t="s">
        <v>265</v>
      </c>
      <c r="BN8" t="s">
        <v>74</v>
      </c>
      <c r="BO8" t="s">
        <v>266</v>
      </c>
      <c r="BP8" t="s">
        <v>74</v>
      </c>
      <c r="BQ8" t="s">
        <v>74</v>
      </c>
      <c r="BR8" t="s">
        <v>103</v>
      </c>
      <c r="BS8" t="s">
        <v>267</v>
      </c>
      <c r="BT8" t="str">
        <f>HYPERLINK("https%3A%2F%2Fwww.webofscience.com%2Fwos%2Fwoscc%2Ffull-record%2FWOS:000871296600001","View Full Record in Web of Science")</f>
        <v>View Full Record in Web of Science</v>
      </c>
    </row>
    <row r="9" spans="1:72" x14ac:dyDescent="0.15">
      <c r="A9" t="s">
        <v>72</v>
      </c>
      <c r="B9" t="s">
        <v>268</v>
      </c>
      <c r="C9" t="s">
        <v>74</v>
      </c>
      <c r="D9" t="s">
        <v>74</v>
      </c>
      <c r="E9" t="s">
        <v>74</v>
      </c>
      <c r="F9" t="s">
        <v>269</v>
      </c>
      <c r="G9" t="s">
        <v>74</v>
      </c>
      <c r="H9" t="s">
        <v>74</v>
      </c>
      <c r="I9" t="s">
        <v>270</v>
      </c>
      <c r="J9" t="s">
        <v>271</v>
      </c>
      <c r="K9" t="s">
        <v>74</v>
      </c>
      <c r="L9" t="s">
        <v>74</v>
      </c>
      <c r="M9" t="s">
        <v>78</v>
      </c>
      <c r="N9" t="s">
        <v>79</v>
      </c>
      <c r="O9" t="s">
        <v>74</v>
      </c>
      <c r="P9" t="s">
        <v>74</v>
      </c>
      <c r="Q9" t="s">
        <v>74</v>
      </c>
      <c r="R9" t="s">
        <v>74</v>
      </c>
      <c r="S9" t="s">
        <v>74</v>
      </c>
      <c r="T9" t="s">
        <v>74</v>
      </c>
      <c r="U9" t="s">
        <v>272</v>
      </c>
      <c r="V9" t="s">
        <v>273</v>
      </c>
      <c r="W9" t="s">
        <v>274</v>
      </c>
      <c r="X9" t="s">
        <v>275</v>
      </c>
      <c r="Y9" t="s">
        <v>276</v>
      </c>
      <c r="Z9" t="s">
        <v>277</v>
      </c>
      <c r="AA9" t="s">
        <v>278</v>
      </c>
      <c r="AB9" t="s">
        <v>279</v>
      </c>
      <c r="AC9" t="s">
        <v>280</v>
      </c>
      <c r="AD9" t="s">
        <v>281</v>
      </c>
      <c r="AE9" t="s">
        <v>282</v>
      </c>
      <c r="AF9" t="s">
        <v>74</v>
      </c>
      <c r="AG9">
        <v>71</v>
      </c>
      <c r="AH9">
        <v>11</v>
      </c>
      <c r="AI9">
        <v>12</v>
      </c>
      <c r="AJ9">
        <v>7</v>
      </c>
      <c r="AK9">
        <v>26</v>
      </c>
      <c r="AL9" t="s">
        <v>149</v>
      </c>
      <c r="AM9" t="s">
        <v>150</v>
      </c>
      <c r="AN9" t="s">
        <v>151</v>
      </c>
      <c r="AO9" t="s">
        <v>283</v>
      </c>
      <c r="AP9" t="s">
        <v>74</v>
      </c>
      <c r="AQ9" t="s">
        <v>74</v>
      </c>
      <c r="AR9" t="s">
        <v>284</v>
      </c>
      <c r="AS9" t="s">
        <v>285</v>
      </c>
      <c r="AT9" t="s">
        <v>261</v>
      </c>
      <c r="AU9">
        <v>2022</v>
      </c>
      <c r="AV9">
        <v>12</v>
      </c>
      <c r="AW9">
        <v>1</v>
      </c>
      <c r="AX9" t="s">
        <v>74</v>
      </c>
      <c r="AY9" t="s">
        <v>74</v>
      </c>
      <c r="AZ9" t="s">
        <v>74</v>
      </c>
      <c r="BA9" t="s">
        <v>74</v>
      </c>
      <c r="BB9" t="s">
        <v>74</v>
      </c>
      <c r="BC9" t="s">
        <v>74</v>
      </c>
      <c r="BD9">
        <v>16548</v>
      </c>
      <c r="BE9" t="s">
        <v>286</v>
      </c>
      <c r="BF9" t="str">
        <f>HYPERLINK("http://dx.doi.org/10.1038/s41598-022-21060-3","http://dx.doi.org/10.1038/s41598-022-21060-3")</f>
        <v>http://dx.doi.org/10.1038/s41598-022-21060-3</v>
      </c>
      <c r="BG9" t="s">
        <v>74</v>
      </c>
      <c r="BH9" t="s">
        <v>74</v>
      </c>
      <c r="BI9">
        <v>15</v>
      </c>
      <c r="BJ9" t="s">
        <v>156</v>
      </c>
      <c r="BK9" t="s">
        <v>100</v>
      </c>
      <c r="BL9" t="s">
        <v>157</v>
      </c>
      <c r="BM9" t="s">
        <v>287</v>
      </c>
      <c r="BN9">
        <v>36192431</v>
      </c>
      <c r="BO9" t="s">
        <v>132</v>
      </c>
      <c r="BP9" t="s">
        <v>74</v>
      </c>
      <c r="BQ9" t="s">
        <v>74</v>
      </c>
      <c r="BR9" t="s">
        <v>103</v>
      </c>
      <c r="BS9" t="s">
        <v>288</v>
      </c>
      <c r="BT9" t="str">
        <f>HYPERLINK("https%3A%2F%2Fwww.webofscience.com%2Fwos%2Fwoscc%2Ffull-record%2FWOS:000865282300010","View Full Record in Web of Science")</f>
        <v>View Full Record in Web of Science</v>
      </c>
    </row>
    <row r="10" spans="1:72" x14ac:dyDescent="0.15">
      <c r="A10" t="s">
        <v>72</v>
      </c>
      <c r="B10" t="s">
        <v>289</v>
      </c>
      <c r="C10" t="s">
        <v>74</v>
      </c>
      <c r="D10" t="s">
        <v>74</v>
      </c>
      <c r="E10" t="s">
        <v>74</v>
      </c>
      <c r="F10" t="s">
        <v>290</v>
      </c>
      <c r="G10" t="s">
        <v>74</v>
      </c>
      <c r="H10" t="s">
        <v>74</v>
      </c>
      <c r="I10" t="s">
        <v>291</v>
      </c>
      <c r="J10" t="s">
        <v>137</v>
      </c>
      <c r="K10" t="s">
        <v>74</v>
      </c>
      <c r="L10" t="s">
        <v>74</v>
      </c>
      <c r="M10" t="s">
        <v>78</v>
      </c>
      <c r="N10" t="s">
        <v>79</v>
      </c>
      <c r="O10" t="s">
        <v>74</v>
      </c>
      <c r="P10" t="s">
        <v>74</v>
      </c>
      <c r="Q10" t="s">
        <v>74</v>
      </c>
      <c r="R10" t="s">
        <v>74</v>
      </c>
      <c r="S10" t="s">
        <v>74</v>
      </c>
      <c r="T10" t="s">
        <v>74</v>
      </c>
      <c r="U10" t="s">
        <v>292</v>
      </c>
      <c r="V10" t="s">
        <v>293</v>
      </c>
      <c r="W10" t="s">
        <v>294</v>
      </c>
      <c r="X10" t="s">
        <v>295</v>
      </c>
      <c r="Y10" t="s">
        <v>296</v>
      </c>
      <c r="Z10" t="s">
        <v>297</v>
      </c>
      <c r="AA10" t="s">
        <v>298</v>
      </c>
      <c r="AB10" t="s">
        <v>299</v>
      </c>
      <c r="AC10" t="s">
        <v>300</v>
      </c>
      <c r="AD10" t="s">
        <v>301</v>
      </c>
      <c r="AE10" t="s">
        <v>302</v>
      </c>
      <c r="AF10" t="s">
        <v>74</v>
      </c>
      <c r="AG10">
        <v>50</v>
      </c>
      <c r="AH10">
        <v>3</v>
      </c>
      <c r="AI10">
        <v>3</v>
      </c>
      <c r="AJ10">
        <v>4</v>
      </c>
      <c r="AK10">
        <v>14</v>
      </c>
      <c r="AL10" t="s">
        <v>149</v>
      </c>
      <c r="AM10" t="s">
        <v>150</v>
      </c>
      <c r="AN10" t="s">
        <v>151</v>
      </c>
      <c r="AO10" t="s">
        <v>74</v>
      </c>
      <c r="AP10" t="s">
        <v>152</v>
      </c>
      <c r="AQ10" t="s">
        <v>74</v>
      </c>
      <c r="AR10" t="s">
        <v>153</v>
      </c>
      <c r="AS10" t="s">
        <v>154</v>
      </c>
      <c r="AT10" t="s">
        <v>261</v>
      </c>
      <c r="AU10">
        <v>2022</v>
      </c>
      <c r="AV10">
        <v>13</v>
      </c>
      <c r="AW10">
        <v>1</v>
      </c>
      <c r="AX10" t="s">
        <v>74</v>
      </c>
      <c r="AY10" t="s">
        <v>74</v>
      </c>
      <c r="AZ10" t="s">
        <v>74</v>
      </c>
      <c r="BA10" t="s">
        <v>74</v>
      </c>
      <c r="BB10" t="s">
        <v>74</v>
      </c>
      <c r="BC10" t="s">
        <v>74</v>
      </c>
      <c r="BD10">
        <v>5819</v>
      </c>
      <c r="BE10" t="s">
        <v>303</v>
      </c>
      <c r="BF10" t="str">
        <f>HYPERLINK("http://dx.doi.org/10.1038/s41467-022-33406-6","http://dx.doi.org/10.1038/s41467-022-33406-6")</f>
        <v>http://dx.doi.org/10.1038/s41467-022-33406-6</v>
      </c>
      <c r="BG10" t="s">
        <v>74</v>
      </c>
      <c r="BH10" t="s">
        <v>74</v>
      </c>
      <c r="BI10">
        <v>10</v>
      </c>
      <c r="BJ10" t="s">
        <v>156</v>
      </c>
      <c r="BK10" t="s">
        <v>100</v>
      </c>
      <c r="BL10" t="s">
        <v>157</v>
      </c>
      <c r="BM10" t="s">
        <v>304</v>
      </c>
      <c r="BN10">
        <v>36192387</v>
      </c>
      <c r="BO10" t="s">
        <v>305</v>
      </c>
      <c r="BP10" t="s">
        <v>74</v>
      </c>
      <c r="BQ10" t="s">
        <v>74</v>
      </c>
      <c r="BR10" t="s">
        <v>103</v>
      </c>
      <c r="BS10" t="s">
        <v>306</v>
      </c>
      <c r="BT10" t="str">
        <f>HYPERLINK("https%3A%2F%2Fwww.webofscience.com%2Fwos%2Fwoscc%2Ffull-record%2FWOS:000865250300030","View Full Record in Web of Science")</f>
        <v>View Full Record in Web of Science</v>
      </c>
    </row>
    <row r="11" spans="1:72" x14ac:dyDescent="0.15">
      <c r="A11" t="s">
        <v>72</v>
      </c>
      <c r="B11" t="s">
        <v>307</v>
      </c>
      <c r="C11" t="s">
        <v>74</v>
      </c>
      <c r="D11" t="s">
        <v>74</v>
      </c>
      <c r="E11" t="s">
        <v>74</v>
      </c>
      <c r="F11" t="s">
        <v>308</v>
      </c>
      <c r="G11" t="s">
        <v>74</v>
      </c>
      <c r="H11" t="s">
        <v>74</v>
      </c>
      <c r="I11" t="s">
        <v>309</v>
      </c>
      <c r="J11" t="s">
        <v>310</v>
      </c>
      <c r="K11" t="s">
        <v>74</v>
      </c>
      <c r="L11" t="s">
        <v>74</v>
      </c>
      <c r="M11" t="s">
        <v>78</v>
      </c>
      <c r="N11" t="s">
        <v>79</v>
      </c>
      <c r="O11" t="s">
        <v>74</v>
      </c>
      <c r="P11" t="s">
        <v>74</v>
      </c>
      <c r="Q11" t="s">
        <v>74</v>
      </c>
      <c r="R11" t="s">
        <v>74</v>
      </c>
      <c r="S11" t="s">
        <v>74</v>
      </c>
      <c r="T11" t="s">
        <v>74</v>
      </c>
      <c r="U11" t="s">
        <v>311</v>
      </c>
      <c r="V11" t="s">
        <v>312</v>
      </c>
      <c r="W11" t="s">
        <v>313</v>
      </c>
      <c r="X11" t="s">
        <v>314</v>
      </c>
      <c r="Y11" t="s">
        <v>315</v>
      </c>
      <c r="Z11" t="s">
        <v>316</v>
      </c>
      <c r="AA11" t="s">
        <v>317</v>
      </c>
      <c r="AB11" t="s">
        <v>318</v>
      </c>
      <c r="AC11" t="s">
        <v>319</v>
      </c>
      <c r="AD11" t="s">
        <v>320</v>
      </c>
      <c r="AE11" t="s">
        <v>321</v>
      </c>
      <c r="AF11" t="s">
        <v>74</v>
      </c>
      <c r="AG11">
        <v>103</v>
      </c>
      <c r="AH11">
        <v>14</v>
      </c>
      <c r="AI11">
        <v>14</v>
      </c>
      <c r="AJ11">
        <v>13</v>
      </c>
      <c r="AK11">
        <v>48</v>
      </c>
      <c r="AL11" t="s">
        <v>149</v>
      </c>
      <c r="AM11" t="s">
        <v>150</v>
      </c>
      <c r="AN11" t="s">
        <v>151</v>
      </c>
      <c r="AO11" t="s">
        <v>322</v>
      </c>
      <c r="AP11" t="s">
        <v>74</v>
      </c>
      <c r="AQ11" t="s">
        <v>74</v>
      </c>
      <c r="AR11" t="s">
        <v>323</v>
      </c>
      <c r="AS11" t="s">
        <v>324</v>
      </c>
      <c r="AT11" t="s">
        <v>325</v>
      </c>
      <c r="AU11">
        <v>2022</v>
      </c>
      <c r="AV11">
        <v>6</v>
      </c>
      <c r="AW11">
        <v>12</v>
      </c>
      <c r="AX11" t="s">
        <v>74</v>
      </c>
      <c r="AY11" t="s">
        <v>74</v>
      </c>
      <c r="AZ11" t="s">
        <v>74</v>
      </c>
      <c r="BA11" t="s">
        <v>74</v>
      </c>
      <c r="BB11">
        <v>1808</v>
      </c>
      <c r="BC11">
        <v>1817</v>
      </c>
      <c r="BD11" t="s">
        <v>74</v>
      </c>
      <c r="BE11" t="s">
        <v>326</v>
      </c>
      <c r="BF11" t="str">
        <f>HYPERLINK("http://dx.doi.org/10.1038/s41559-022-01878-w","http://dx.doi.org/10.1038/s41559-022-01878-w")</f>
        <v>http://dx.doi.org/10.1038/s41559-022-01878-w</v>
      </c>
      <c r="BG11" t="s">
        <v>74</v>
      </c>
      <c r="BH11" t="s">
        <v>98</v>
      </c>
      <c r="BI11">
        <v>10</v>
      </c>
      <c r="BJ11" t="s">
        <v>327</v>
      </c>
      <c r="BK11" t="s">
        <v>100</v>
      </c>
      <c r="BL11" t="s">
        <v>328</v>
      </c>
      <c r="BM11" t="s">
        <v>329</v>
      </c>
      <c r="BN11">
        <v>36192542</v>
      </c>
      <c r="BO11" t="s">
        <v>330</v>
      </c>
      <c r="BP11" t="s">
        <v>74</v>
      </c>
      <c r="BQ11" t="s">
        <v>74</v>
      </c>
      <c r="BR11" t="s">
        <v>103</v>
      </c>
      <c r="BS11" t="s">
        <v>331</v>
      </c>
      <c r="BT11" t="str">
        <f>HYPERLINK("https%3A%2F%2Fwww.webofscience.com%2Fwos%2Fwoscc%2Ffull-record%2FWOS:000865215400002","View Full Record in Web of Science")</f>
        <v>View Full Record in Web of Science</v>
      </c>
    </row>
    <row r="12" spans="1:72" x14ac:dyDescent="0.15">
      <c r="A12" t="s">
        <v>72</v>
      </c>
      <c r="B12" t="s">
        <v>332</v>
      </c>
      <c r="C12" t="s">
        <v>74</v>
      </c>
      <c r="D12" t="s">
        <v>74</v>
      </c>
      <c r="E12" t="s">
        <v>74</v>
      </c>
      <c r="F12" t="s">
        <v>333</v>
      </c>
      <c r="G12" t="s">
        <v>74</v>
      </c>
      <c r="H12" t="s">
        <v>74</v>
      </c>
      <c r="I12" t="s">
        <v>334</v>
      </c>
      <c r="J12" t="s">
        <v>335</v>
      </c>
      <c r="K12" t="s">
        <v>74</v>
      </c>
      <c r="L12" t="s">
        <v>74</v>
      </c>
      <c r="M12" t="s">
        <v>78</v>
      </c>
      <c r="N12" t="s">
        <v>79</v>
      </c>
      <c r="O12" t="s">
        <v>74</v>
      </c>
      <c r="P12" t="s">
        <v>74</v>
      </c>
      <c r="Q12" t="s">
        <v>74</v>
      </c>
      <c r="R12" t="s">
        <v>74</v>
      </c>
      <c r="S12" t="s">
        <v>74</v>
      </c>
      <c r="T12" t="s">
        <v>336</v>
      </c>
      <c r="U12" t="s">
        <v>337</v>
      </c>
      <c r="V12" t="s">
        <v>338</v>
      </c>
      <c r="W12" t="s">
        <v>339</v>
      </c>
      <c r="X12" t="s">
        <v>340</v>
      </c>
      <c r="Y12" t="s">
        <v>341</v>
      </c>
      <c r="Z12" t="s">
        <v>342</v>
      </c>
      <c r="AA12" t="s">
        <v>74</v>
      </c>
      <c r="AB12" t="s">
        <v>74</v>
      </c>
      <c r="AC12" t="s">
        <v>343</v>
      </c>
      <c r="AD12" t="s">
        <v>343</v>
      </c>
      <c r="AE12" t="s">
        <v>344</v>
      </c>
      <c r="AF12" t="s">
        <v>74</v>
      </c>
      <c r="AG12">
        <v>36</v>
      </c>
      <c r="AH12">
        <v>3</v>
      </c>
      <c r="AI12">
        <v>3</v>
      </c>
      <c r="AJ12">
        <v>4</v>
      </c>
      <c r="AK12">
        <v>10</v>
      </c>
      <c r="AL12" t="s">
        <v>345</v>
      </c>
      <c r="AM12" t="s">
        <v>346</v>
      </c>
      <c r="AN12" t="s">
        <v>347</v>
      </c>
      <c r="AO12" t="s">
        <v>348</v>
      </c>
      <c r="AP12" t="s">
        <v>349</v>
      </c>
      <c r="AQ12" t="s">
        <v>74</v>
      </c>
      <c r="AR12" t="s">
        <v>350</v>
      </c>
      <c r="AS12" t="s">
        <v>351</v>
      </c>
      <c r="AT12" t="s">
        <v>352</v>
      </c>
      <c r="AU12">
        <v>2023</v>
      </c>
      <c r="AV12">
        <v>69</v>
      </c>
      <c r="AW12">
        <v>275</v>
      </c>
      <c r="AX12" t="s">
        <v>74</v>
      </c>
      <c r="AY12" t="s">
        <v>74</v>
      </c>
      <c r="AZ12" t="s">
        <v>74</v>
      </c>
      <c r="BA12" t="s">
        <v>74</v>
      </c>
      <c r="BB12">
        <v>551</v>
      </c>
      <c r="BC12">
        <v>565</v>
      </c>
      <c r="BD12" t="s">
        <v>74</v>
      </c>
      <c r="BE12" t="s">
        <v>353</v>
      </c>
      <c r="BF12" t="str">
        <f>HYPERLINK("http://dx.doi.org/10.1017/jog.2022.84","http://dx.doi.org/10.1017/jog.2022.84")</f>
        <v>http://dx.doi.org/10.1017/jog.2022.84</v>
      </c>
      <c r="BG12" t="s">
        <v>74</v>
      </c>
      <c r="BH12" t="s">
        <v>98</v>
      </c>
      <c r="BI12">
        <v>15</v>
      </c>
      <c r="BJ12" t="s">
        <v>354</v>
      </c>
      <c r="BK12" t="s">
        <v>100</v>
      </c>
      <c r="BL12" t="s">
        <v>241</v>
      </c>
      <c r="BM12" t="s">
        <v>355</v>
      </c>
      <c r="BN12" t="s">
        <v>74</v>
      </c>
      <c r="BO12" t="s">
        <v>266</v>
      </c>
      <c r="BP12" t="s">
        <v>74</v>
      </c>
      <c r="BQ12" t="s">
        <v>74</v>
      </c>
      <c r="BR12" t="s">
        <v>103</v>
      </c>
      <c r="BS12" t="s">
        <v>356</v>
      </c>
      <c r="BT12" t="str">
        <f>HYPERLINK("https%3A%2F%2Fwww.webofscience.com%2Fwos%2Fwoscc%2Ffull-record%2FWOS:000863531800001","View Full Record in Web of Science")</f>
        <v>View Full Record in Web of Science</v>
      </c>
    </row>
    <row r="13" spans="1:72" x14ac:dyDescent="0.15">
      <c r="A13" t="s">
        <v>72</v>
      </c>
      <c r="B13" t="s">
        <v>357</v>
      </c>
      <c r="C13" t="s">
        <v>74</v>
      </c>
      <c r="D13" t="s">
        <v>74</v>
      </c>
      <c r="E13" t="s">
        <v>74</v>
      </c>
      <c r="F13" t="s">
        <v>358</v>
      </c>
      <c r="G13" t="s">
        <v>74</v>
      </c>
      <c r="H13" t="s">
        <v>74</v>
      </c>
      <c r="I13" t="s">
        <v>359</v>
      </c>
      <c r="J13" t="s">
        <v>137</v>
      </c>
      <c r="K13" t="s">
        <v>74</v>
      </c>
      <c r="L13" t="s">
        <v>74</v>
      </c>
      <c r="M13" t="s">
        <v>78</v>
      </c>
      <c r="N13" t="s">
        <v>79</v>
      </c>
      <c r="O13" t="s">
        <v>74</v>
      </c>
      <c r="P13" t="s">
        <v>74</v>
      </c>
      <c r="Q13" t="s">
        <v>74</v>
      </c>
      <c r="R13" t="s">
        <v>74</v>
      </c>
      <c r="S13" t="s">
        <v>74</v>
      </c>
      <c r="T13" t="s">
        <v>74</v>
      </c>
      <c r="U13" t="s">
        <v>360</v>
      </c>
      <c r="V13" t="s">
        <v>361</v>
      </c>
      <c r="W13" t="s">
        <v>362</v>
      </c>
      <c r="X13" t="s">
        <v>363</v>
      </c>
      <c r="Y13" t="s">
        <v>364</v>
      </c>
      <c r="Z13" t="s">
        <v>365</v>
      </c>
      <c r="AA13" t="s">
        <v>366</v>
      </c>
      <c r="AB13" t="s">
        <v>367</v>
      </c>
      <c r="AC13" t="s">
        <v>368</v>
      </c>
      <c r="AD13" t="s">
        <v>369</v>
      </c>
      <c r="AE13" t="s">
        <v>370</v>
      </c>
      <c r="AF13" t="s">
        <v>74</v>
      </c>
      <c r="AG13">
        <v>60</v>
      </c>
      <c r="AH13">
        <v>16</v>
      </c>
      <c r="AI13">
        <v>17</v>
      </c>
      <c r="AJ13">
        <v>9</v>
      </c>
      <c r="AK13">
        <v>35</v>
      </c>
      <c r="AL13" t="s">
        <v>149</v>
      </c>
      <c r="AM13" t="s">
        <v>150</v>
      </c>
      <c r="AN13" t="s">
        <v>151</v>
      </c>
      <c r="AO13" t="s">
        <v>74</v>
      </c>
      <c r="AP13" t="s">
        <v>152</v>
      </c>
      <c r="AQ13" t="s">
        <v>74</v>
      </c>
      <c r="AR13" t="s">
        <v>153</v>
      </c>
      <c r="AS13" t="s">
        <v>154</v>
      </c>
      <c r="AT13" t="s">
        <v>371</v>
      </c>
      <c r="AU13">
        <v>2022</v>
      </c>
      <c r="AV13">
        <v>13</v>
      </c>
      <c r="AW13">
        <v>1</v>
      </c>
      <c r="AX13" t="s">
        <v>74</v>
      </c>
      <c r="AY13" t="s">
        <v>74</v>
      </c>
      <c r="AZ13" t="s">
        <v>74</v>
      </c>
      <c r="BA13" t="s">
        <v>74</v>
      </c>
      <c r="BB13" t="s">
        <v>74</v>
      </c>
      <c r="BC13" t="s">
        <v>74</v>
      </c>
      <c r="BD13">
        <v>5787</v>
      </c>
      <c r="BE13" t="s">
        <v>372</v>
      </c>
      <c r="BF13" t="str">
        <f>HYPERLINK("http://dx.doi.org/10.1038/s41467-022-33494-4","http://dx.doi.org/10.1038/s41467-022-33494-4")</f>
        <v>http://dx.doi.org/10.1038/s41467-022-33494-4</v>
      </c>
      <c r="BG13" t="s">
        <v>74</v>
      </c>
      <c r="BH13" t="s">
        <v>74</v>
      </c>
      <c r="BI13">
        <v>14</v>
      </c>
      <c r="BJ13" t="s">
        <v>156</v>
      </c>
      <c r="BK13" t="s">
        <v>100</v>
      </c>
      <c r="BL13" t="s">
        <v>157</v>
      </c>
      <c r="BM13" t="s">
        <v>373</v>
      </c>
      <c r="BN13">
        <v>36184671</v>
      </c>
      <c r="BO13" t="s">
        <v>374</v>
      </c>
      <c r="BP13" t="s">
        <v>74</v>
      </c>
      <c r="BQ13" t="s">
        <v>74</v>
      </c>
      <c r="BR13" t="s">
        <v>103</v>
      </c>
      <c r="BS13" t="s">
        <v>375</v>
      </c>
      <c r="BT13" t="str">
        <f>HYPERLINK("https%3A%2F%2Fwww.webofscience.com%2Fwos%2Fwoscc%2Ffull-record%2FWOS:000864344500015","View Full Record in Web of Science")</f>
        <v>View Full Record in Web of Science</v>
      </c>
    </row>
    <row r="14" spans="1:72" x14ac:dyDescent="0.15">
      <c r="A14" t="s">
        <v>72</v>
      </c>
      <c r="B14" t="s">
        <v>376</v>
      </c>
      <c r="C14" t="s">
        <v>74</v>
      </c>
      <c r="D14" t="s">
        <v>74</v>
      </c>
      <c r="E14" t="s">
        <v>74</v>
      </c>
      <c r="F14" t="s">
        <v>377</v>
      </c>
      <c r="G14" t="s">
        <v>74</v>
      </c>
      <c r="H14" t="s">
        <v>74</v>
      </c>
      <c r="I14" t="s">
        <v>378</v>
      </c>
      <c r="J14" t="s">
        <v>379</v>
      </c>
      <c r="K14" t="s">
        <v>74</v>
      </c>
      <c r="L14" t="s">
        <v>74</v>
      </c>
      <c r="M14" t="s">
        <v>78</v>
      </c>
      <c r="N14" t="s">
        <v>79</v>
      </c>
      <c r="O14" t="s">
        <v>74</v>
      </c>
      <c r="P14" t="s">
        <v>74</v>
      </c>
      <c r="Q14" t="s">
        <v>74</v>
      </c>
      <c r="R14" t="s">
        <v>74</v>
      </c>
      <c r="S14" t="s">
        <v>74</v>
      </c>
      <c r="T14" t="s">
        <v>74</v>
      </c>
      <c r="U14" t="s">
        <v>380</v>
      </c>
      <c r="V14" t="s">
        <v>381</v>
      </c>
      <c r="W14" t="s">
        <v>382</v>
      </c>
      <c r="X14" t="s">
        <v>383</v>
      </c>
      <c r="Y14" t="s">
        <v>384</v>
      </c>
      <c r="Z14" t="s">
        <v>74</v>
      </c>
      <c r="AA14" t="s">
        <v>74</v>
      </c>
      <c r="AB14" t="s">
        <v>385</v>
      </c>
      <c r="AC14" t="s">
        <v>386</v>
      </c>
      <c r="AD14" t="s">
        <v>387</v>
      </c>
      <c r="AE14" t="s">
        <v>388</v>
      </c>
      <c r="AF14" t="s">
        <v>74</v>
      </c>
      <c r="AG14">
        <v>42</v>
      </c>
      <c r="AH14">
        <v>0</v>
      </c>
      <c r="AI14">
        <v>0</v>
      </c>
      <c r="AJ14">
        <v>1</v>
      </c>
      <c r="AK14">
        <v>1</v>
      </c>
      <c r="AL14" t="s">
        <v>389</v>
      </c>
      <c r="AM14" t="s">
        <v>390</v>
      </c>
      <c r="AN14" t="s">
        <v>391</v>
      </c>
      <c r="AO14" t="s">
        <v>392</v>
      </c>
      <c r="AP14" t="s">
        <v>393</v>
      </c>
      <c r="AQ14" t="s">
        <v>74</v>
      </c>
      <c r="AR14" t="s">
        <v>394</v>
      </c>
      <c r="AS14" t="s">
        <v>395</v>
      </c>
      <c r="AT14" t="s">
        <v>396</v>
      </c>
      <c r="AU14">
        <v>2022</v>
      </c>
      <c r="AV14">
        <v>164</v>
      </c>
      <c r="AW14" t="s">
        <v>74</v>
      </c>
      <c r="AX14" t="s">
        <v>397</v>
      </c>
      <c r="AY14" t="s">
        <v>74</v>
      </c>
      <c r="AZ14" t="s">
        <v>74</v>
      </c>
      <c r="BA14" t="s">
        <v>74</v>
      </c>
      <c r="BB14" t="s">
        <v>398</v>
      </c>
      <c r="BC14" t="s">
        <v>399</v>
      </c>
      <c r="BD14" t="s">
        <v>74</v>
      </c>
      <c r="BE14" t="s">
        <v>400</v>
      </c>
      <c r="BF14" t="str">
        <f>HYPERLINK("http://dx.doi.org/10.5750/ijme.v164iA4.773","http://dx.doi.org/10.5750/ijme.v164iA4.773")</f>
        <v>http://dx.doi.org/10.5750/ijme.v164iA4.773</v>
      </c>
      <c r="BG14" t="s">
        <v>74</v>
      </c>
      <c r="BH14" t="s">
        <v>74</v>
      </c>
      <c r="BI14">
        <v>12</v>
      </c>
      <c r="BJ14" t="s">
        <v>401</v>
      </c>
      <c r="BK14" t="s">
        <v>100</v>
      </c>
      <c r="BL14" t="s">
        <v>402</v>
      </c>
      <c r="BM14" t="s">
        <v>403</v>
      </c>
      <c r="BN14" t="s">
        <v>74</v>
      </c>
      <c r="BO14" t="s">
        <v>404</v>
      </c>
      <c r="BP14" t="s">
        <v>74</v>
      </c>
      <c r="BQ14" t="s">
        <v>74</v>
      </c>
      <c r="BR14" t="s">
        <v>103</v>
      </c>
      <c r="BS14" t="s">
        <v>405</v>
      </c>
      <c r="BT14" t="str">
        <f>HYPERLINK("https%3A%2F%2Fwww.webofscience.com%2Fwos%2Fwoscc%2Ffull-record%2FWOS:000975193400003","View Full Record in Web of Science")</f>
        <v>View Full Record in Web of Science</v>
      </c>
    </row>
    <row r="15" spans="1:72" x14ac:dyDescent="0.15">
      <c r="A15" t="s">
        <v>72</v>
      </c>
      <c r="B15" t="s">
        <v>406</v>
      </c>
      <c r="C15" t="s">
        <v>74</v>
      </c>
      <c r="D15" t="s">
        <v>74</v>
      </c>
      <c r="E15" t="s">
        <v>74</v>
      </c>
      <c r="F15" t="s">
        <v>407</v>
      </c>
      <c r="G15" t="s">
        <v>74</v>
      </c>
      <c r="H15" t="s">
        <v>74</v>
      </c>
      <c r="I15" t="s">
        <v>408</v>
      </c>
      <c r="J15" t="s">
        <v>409</v>
      </c>
      <c r="K15" t="s">
        <v>74</v>
      </c>
      <c r="L15" t="s">
        <v>74</v>
      </c>
      <c r="M15" t="s">
        <v>78</v>
      </c>
      <c r="N15" t="s">
        <v>79</v>
      </c>
      <c r="O15" t="s">
        <v>74</v>
      </c>
      <c r="P15" t="s">
        <v>74</v>
      </c>
      <c r="Q15" t="s">
        <v>74</v>
      </c>
      <c r="R15" t="s">
        <v>74</v>
      </c>
      <c r="S15" t="s">
        <v>74</v>
      </c>
      <c r="T15" t="s">
        <v>74</v>
      </c>
      <c r="U15" t="s">
        <v>410</v>
      </c>
      <c r="V15" t="s">
        <v>411</v>
      </c>
      <c r="W15" t="s">
        <v>412</v>
      </c>
      <c r="X15" t="s">
        <v>413</v>
      </c>
      <c r="Y15" t="s">
        <v>414</v>
      </c>
      <c r="Z15" t="s">
        <v>415</v>
      </c>
      <c r="AA15" t="s">
        <v>416</v>
      </c>
      <c r="AB15" t="s">
        <v>417</v>
      </c>
      <c r="AC15" t="s">
        <v>418</v>
      </c>
      <c r="AD15" t="s">
        <v>419</v>
      </c>
      <c r="AE15" t="s">
        <v>420</v>
      </c>
      <c r="AF15" t="s">
        <v>74</v>
      </c>
      <c r="AG15">
        <v>87</v>
      </c>
      <c r="AH15">
        <v>0</v>
      </c>
      <c r="AI15">
        <v>0</v>
      </c>
      <c r="AJ15">
        <v>2</v>
      </c>
      <c r="AK15">
        <v>4</v>
      </c>
      <c r="AL15" t="s">
        <v>421</v>
      </c>
      <c r="AM15" t="s">
        <v>422</v>
      </c>
      <c r="AN15" t="s">
        <v>423</v>
      </c>
      <c r="AO15" t="s">
        <v>424</v>
      </c>
      <c r="AP15" t="s">
        <v>425</v>
      </c>
      <c r="AQ15" t="s">
        <v>74</v>
      </c>
      <c r="AR15" t="s">
        <v>426</v>
      </c>
      <c r="AS15" t="s">
        <v>427</v>
      </c>
      <c r="AT15" t="s">
        <v>428</v>
      </c>
      <c r="AU15">
        <v>2022</v>
      </c>
      <c r="AV15">
        <v>20</v>
      </c>
      <c r="AW15">
        <v>10</v>
      </c>
      <c r="AX15" t="s">
        <v>74</v>
      </c>
      <c r="AY15" t="s">
        <v>74</v>
      </c>
      <c r="AZ15" t="s">
        <v>74</v>
      </c>
      <c r="BA15" t="s">
        <v>74</v>
      </c>
      <c r="BB15" t="s">
        <v>74</v>
      </c>
      <c r="BC15" t="s">
        <v>74</v>
      </c>
      <c r="BD15" t="s">
        <v>429</v>
      </c>
      <c r="BE15" t="s">
        <v>430</v>
      </c>
      <c r="BF15" t="str">
        <f>HYPERLINK("http://dx.doi.org/10.1371/journal.pbio.3001832","http://dx.doi.org/10.1371/journal.pbio.3001832")</f>
        <v>http://dx.doi.org/10.1371/journal.pbio.3001832</v>
      </c>
      <c r="BG15" t="s">
        <v>74</v>
      </c>
      <c r="BH15" t="s">
        <v>74</v>
      </c>
      <c r="BI15">
        <v>14</v>
      </c>
      <c r="BJ15" t="s">
        <v>431</v>
      </c>
      <c r="BK15" t="s">
        <v>100</v>
      </c>
      <c r="BL15" t="s">
        <v>432</v>
      </c>
      <c r="BM15" t="s">
        <v>433</v>
      </c>
      <c r="BN15" t="s">
        <v>74</v>
      </c>
      <c r="BO15" t="s">
        <v>159</v>
      </c>
      <c r="BP15" t="s">
        <v>74</v>
      </c>
      <c r="BQ15" t="s">
        <v>74</v>
      </c>
      <c r="BR15" t="s">
        <v>103</v>
      </c>
      <c r="BS15" t="s">
        <v>434</v>
      </c>
      <c r="BT15" t="str">
        <f>HYPERLINK("https%3A%2F%2Fwww.webofscience.com%2Fwos%2Fwoscc%2Ffull-record%2FWOS:000924607000022","View Full Record in Web of Science")</f>
        <v>View Full Record in Web of Science</v>
      </c>
    </row>
    <row r="16" spans="1:72" x14ac:dyDescent="0.15">
      <c r="A16" t="s">
        <v>72</v>
      </c>
      <c r="B16" t="s">
        <v>435</v>
      </c>
      <c r="C16" t="s">
        <v>74</v>
      </c>
      <c r="D16" t="s">
        <v>74</v>
      </c>
      <c r="E16" t="s">
        <v>74</v>
      </c>
      <c r="F16" t="s">
        <v>436</v>
      </c>
      <c r="G16" t="s">
        <v>74</v>
      </c>
      <c r="H16" t="s">
        <v>74</v>
      </c>
      <c r="I16" t="s">
        <v>437</v>
      </c>
      <c r="J16" t="s">
        <v>438</v>
      </c>
      <c r="K16" t="s">
        <v>74</v>
      </c>
      <c r="L16" t="s">
        <v>74</v>
      </c>
      <c r="M16" t="s">
        <v>78</v>
      </c>
      <c r="N16" t="s">
        <v>79</v>
      </c>
      <c r="O16" t="s">
        <v>74</v>
      </c>
      <c r="P16" t="s">
        <v>74</v>
      </c>
      <c r="Q16" t="s">
        <v>74</v>
      </c>
      <c r="R16" t="s">
        <v>74</v>
      </c>
      <c r="S16" t="s">
        <v>74</v>
      </c>
      <c r="T16" t="s">
        <v>439</v>
      </c>
      <c r="U16" t="s">
        <v>440</v>
      </c>
      <c r="V16" t="s">
        <v>441</v>
      </c>
      <c r="W16" t="s">
        <v>442</v>
      </c>
      <c r="X16" t="s">
        <v>443</v>
      </c>
      <c r="Y16" t="s">
        <v>444</v>
      </c>
      <c r="Z16" t="s">
        <v>445</v>
      </c>
      <c r="AA16" t="s">
        <v>74</v>
      </c>
      <c r="AB16" t="s">
        <v>74</v>
      </c>
      <c r="AC16" t="s">
        <v>446</v>
      </c>
      <c r="AD16" t="s">
        <v>447</v>
      </c>
      <c r="AE16" t="s">
        <v>448</v>
      </c>
      <c r="AF16" t="s">
        <v>74</v>
      </c>
      <c r="AG16">
        <v>23</v>
      </c>
      <c r="AH16">
        <v>1</v>
      </c>
      <c r="AI16">
        <v>1</v>
      </c>
      <c r="AJ16">
        <v>0</v>
      </c>
      <c r="AK16">
        <v>1</v>
      </c>
      <c r="AL16" t="s">
        <v>449</v>
      </c>
      <c r="AM16" t="s">
        <v>450</v>
      </c>
      <c r="AN16" t="s">
        <v>451</v>
      </c>
      <c r="AO16" t="s">
        <v>452</v>
      </c>
      <c r="AP16" t="s">
        <v>453</v>
      </c>
      <c r="AQ16" t="s">
        <v>74</v>
      </c>
      <c r="AR16" t="s">
        <v>454</v>
      </c>
      <c r="AS16" t="s">
        <v>455</v>
      </c>
      <c r="AT16" t="s">
        <v>428</v>
      </c>
      <c r="AU16">
        <v>2022</v>
      </c>
      <c r="AV16">
        <v>47</v>
      </c>
      <c r="AW16">
        <v>11</v>
      </c>
      <c r="AX16" t="s">
        <v>74</v>
      </c>
      <c r="AY16" t="s">
        <v>74</v>
      </c>
      <c r="AZ16" t="s">
        <v>74</v>
      </c>
      <c r="BA16" t="s">
        <v>74</v>
      </c>
      <c r="BB16">
        <v>882</v>
      </c>
      <c r="BC16">
        <v>895</v>
      </c>
      <c r="BD16" t="s">
        <v>74</v>
      </c>
      <c r="BE16" t="s">
        <v>456</v>
      </c>
      <c r="BF16" t="str">
        <f>HYPERLINK("http://dx.doi.org/10.3103/S1068373922110085","http://dx.doi.org/10.3103/S1068373922110085")</f>
        <v>http://dx.doi.org/10.3103/S1068373922110085</v>
      </c>
      <c r="BG16" t="s">
        <v>74</v>
      </c>
      <c r="BH16" t="s">
        <v>74</v>
      </c>
      <c r="BI16">
        <v>14</v>
      </c>
      <c r="BJ16" t="s">
        <v>457</v>
      </c>
      <c r="BK16" t="s">
        <v>100</v>
      </c>
      <c r="BL16" t="s">
        <v>457</v>
      </c>
      <c r="BM16" t="s">
        <v>458</v>
      </c>
      <c r="BN16" t="s">
        <v>74</v>
      </c>
      <c r="BO16" t="s">
        <v>74</v>
      </c>
      <c r="BP16" t="s">
        <v>74</v>
      </c>
      <c r="BQ16" t="s">
        <v>74</v>
      </c>
      <c r="BR16" t="s">
        <v>103</v>
      </c>
      <c r="BS16" t="s">
        <v>459</v>
      </c>
      <c r="BT16" t="str">
        <f>HYPERLINK("https%3A%2F%2Fwww.webofscience.com%2Fwos%2Fwoscc%2Ffull-record%2FWOS:000923005700008","View Full Record in Web of Science")</f>
        <v>View Full Record in Web of Science</v>
      </c>
    </row>
    <row r="17" spans="1:72" x14ac:dyDescent="0.15">
      <c r="A17" t="s">
        <v>72</v>
      </c>
      <c r="B17" t="s">
        <v>460</v>
      </c>
      <c r="C17" t="s">
        <v>74</v>
      </c>
      <c r="D17" t="s">
        <v>74</v>
      </c>
      <c r="E17" t="s">
        <v>74</v>
      </c>
      <c r="F17" t="s">
        <v>461</v>
      </c>
      <c r="G17" t="s">
        <v>74</v>
      </c>
      <c r="H17" t="s">
        <v>74</v>
      </c>
      <c r="I17" t="s">
        <v>462</v>
      </c>
      <c r="J17" t="s">
        <v>463</v>
      </c>
      <c r="K17" t="s">
        <v>74</v>
      </c>
      <c r="L17" t="s">
        <v>74</v>
      </c>
      <c r="M17" t="s">
        <v>78</v>
      </c>
      <c r="N17" t="s">
        <v>79</v>
      </c>
      <c r="O17" t="s">
        <v>74</v>
      </c>
      <c r="P17" t="s">
        <v>74</v>
      </c>
      <c r="Q17" t="s">
        <v>74</v>
      </c>
      <c r="R17" t="s">
        <v>74</v>
      </c>
      <c r="S17" t="s">
        <v>74</v>
      </c>
      <c r="T17" t="s">
        <v>464</v>
      </c>
      <c r="U17" t="s">
        <v>465</v>
      </c>
      <c r="V17" t="s">
        <v>466</v>
      </c>
      <c r="W17" t="s">
        <v>467</v>
      </c>
      <c r="X17" t="s">
        <v>468</v>
      </c>
      <c r="Y17" t="s">
        <v>469</v>
      </c>
      <c r="Z17" t="s">
        <v>470</v>
      </c>
      <c r="AA17" t="s">
        <v>471</v>
      </c>
      <c r="AB17" t="s">
        <v>74</v>
      </c>
      <c r="AC17" t="s">
        <v>472</v>
      </c>
      <c r="AD17" t="s">
        <v>473</v>
      </c>
      <c r="AE17" t="s">
        <v>474</v>
      </c>
      <c r="AF17" t="s">
        <v>74</v>
      </c>
      <c r="AG17">
        <v>26</v>
      </c>
      <c r="AH17">
        <v>0</v>
      </c>
      <c r="AI17">
        <v>0</v>
      </c>
      <c r="AJ17">
        <v>1</v>
      </c>
      <c r="AK17">
        <v>4</v>
      </c>
      <c r="AL17" t="s">
        <v>475</v>
      </c>
      <c r="AM17" t="s">
        <v>476</v>
      </c>
      <c r="AN17" t="s">
        <v>477</v>
      </c>
      <c r="AO17" t="s">
        <v>478</v>
      </c>
      <c r="AP17" t="s">
        <v>74</v>
      </c>
      <c r="AQ17" t="s">
        <v>74</v>
      </c>
      <c r="AR17" t="s">
        <v>479</v>
      </c>
      <c r="AS17" t="s">
        <v>480</v>
      </c>
      <c r="AT17" t="s">
        <v>428</v>
      </c>
      <c r="AU17">
        <v>2022</v>
      </c>
      <c r="AV17">
        <v>51</v>
      </c>
      <c r="AW17">
        <v>10</v>
      </c>
      <c r="AX17" t="s">
        <v>74</v>
      </c>
      <c r="AY17" t="s">
        <v>74</v>
      </c>
      <c r="AZ17" t="s">
        <v>74</v>
      </c>
      <c r="BA17" t="s">
        <v>74</v>
      </c>
      <c r="BB17">
        <v>3163</v>
      </c>
      <c r="BC17">
        <v>3170</v>
      </c>
      <c r="BD17" t="s">
        <v>74</v>
      </c>
      <c r="BE17" t="s">
        <v>481</v>
      </c>
      <c r="BF17" t="str">
        <f>HYPERLINK("http://dx.doi.org/10.17576/jsm-2022-5110-04","http://dx.doi.org/10.17576/jsm-2022-5110-04")</f>
        <v>http://dx.doi.org/10.17576/jsm-2022-5110-04</v>
      </c>
      <c r="BG17" t="s">
        <v>74</v>
      </c>
      <c r="BH17" t="s">
        <v>74</v>
      </c>
      <c r="BI17">
        <v>8</v>
      </c>
      <c r="BJ17" t="s">
        <v>156</v>
      </c>
      <c r="BK17" t="s">
        <v>100</v>
      </c>
      <c r="BL17" t="s">
        <v>157</v>
      </c>
      <c r="BM17" t="s">
        <v>482</v>
      </c>
      <c r="BN17" t="s">
        <v>74</v>
      </c>
      <c r="BO17" t="s">
        <v>483</v>
      </c>
      <c r="BP17" t="s">
        <v>74</v>
      </c>
      <c r="BQ17" t="s">
        <v>74</v>
      </c>
      <c r="BR17" t="s">
        <v>103</v>
      </c>
      <c r="BS17" t="s">
        <v>484</v>
      </c>
      <c r="BT17" t="str">
        <f>HYPERLINK("https%3A%2F%2Fwww.webofscience.com%2Fwos%2Fwoscc%2Ffull-record%2FWOS:000911393200004","View Full Record in Web of Science")</f>
        <v>View Full Record in Web of Science</v>
      </c>
    </row>
    <row r="18" spans="1:72" x14ac:dyDescent="0.15">
      <c r="A18" t="s">
        <v>72</v>
      </c>
      <c r="B18" t="s">
        <v>485</v>
      </c>
      <c r="C18" t="s">
        <v>74</v>
      </c>
      <c r="D18" t="s">
        <v>74</v>
      </c>
      <c r="E18" t="s">
        <v>74</v>
      </c>
      <c r="F18" t="s">
        <v>486</v>
      </c>
      <c r="G18" t="s">
        <v>74</v>
      </c>
      <c r="H18" t="s">
        <v>74</v>
      </c>
      <c r="I18" t="s">
        <v>487</v>
      </c>
      <c r="J18" t="s">
        <v>488</v>
      </c>
      <c r="K18" t="s">
        <v>74</v>
      </c>
      <c r="L18" t="s">
        <v>74</v>
      </c>
      <c r="M18" t="s">
        <v>78</v>
      </c>
      <c r="N18" t="s">
        <v>79</v>
      </c>
      <c r="O18" t="s">
        <v>74</v>
      </c>
      <c r="P18" t="s">
        <v>74</v>
      </c>
      <c r="Q18" t="s">
        <v>74</v>
      </c>
      <c r="R18" t="s">
        <v>74</v>
      </c>
      <c r="S18" t="s">
        <v>74</v>
      </c>
      <c r="T18" t="s">
        <v>489</v>
      </c>
      <c r="U18" t="s">
        <v>490</v>
      </c>
      <c r="V18" t="s">
        <v>491</v>
      </c>
      <c r="W18" t="s">
        <v>492</v>
      </c>
      <c r="X18" t="s">
        <v>493</v>
      </c>
      <c r="Y18" t="s">
        <v>494</v>
      </c>
      <c r="Z18" t="s">
        <v>495</v>
      </c>
      <c r="AA18" t="s">
        <v>496</v>
      </c>
      <c r="AB18" t="s">
        <v>497</v>
      </c>
      <c r="AC18" t="s">
        <v>498</v>
      </c>
      <c r="AD18" t="s">
        <v>499</v>
      </c>
      <c r="AE18" t="s">
        <v>500</v>
      </c>
      <c r="AF18" t="s">
        <v>74</v>
      </c>
      <c r="AG18">
        <v>82</v>
      </c>
      <c r="AH18">
        <v>4</v>
      </c>
      <c r="AI18">
        <v>4</v>
      </c>
      <c r="AJ18">
        <v>9</v>
      </c>
      <c r="AK18">
        <v>24</v>
      </c>
      <c r="AL18" t="s">
        <v>501</v>
      </c>
      <c r="AM18" t="s">
        <v>502</v>
      </c>
      <c r="AN18" t="s">
        <v>503</v>
      </c>
      <c r="AO18" t="s">
        <v>504</v>
      </c>
      <c r="AP18" t="s">
        <v>74</v>
      </c>
      <c r="AQ18" t="s">
        <v>74</v>
      </c>
      <c r="AR18" t="s">
        <v>488</v>
      </c>
      <c r="AS18" t="s">
        <v>505</v>
      </c>
      <c r="AT18" t="s">
        <v>428</v>
      </c>
      <c r="AU18">
        <v>2022</v>
      </c>
      <c r="AV18">
        <v>28</v>
      </c>
      <c r="AW18" t="s">
        <v>74</v>
      </c>
      <c r="AX18" t="s">
        <v>74</v>
      </c>
      <c r="AY18" t="s">
        <v>74</v>
      </c>
      <c r="AZ18" t="s">
        <v>74</v>
      </c>
      <c r="BA18" t="s">
        <v>74</v>
      </c>
      <c r="BB18" t="s">
        <v>74</v>
      </c>
      <c r="BC18" t="s">
        <v>74</v>
      </c>
      <c r="BD18">
        <v>100437</v>
      </c>
      <c r="BE18" t="s">
        <v>506</v>
      </c>
      <c r="BF18" t="str">
        <f>HYPERLINK("http://dx.doi.org/10.1016/j.impact.2022.100437","http://dx.doi.org/10.1016/j.impact.2022.100437")</f>
        <v>http://dx.doi.org/10.1016/j.impact.2022.100437</v>
      </c>
      <c r="BG18" t="s">
        <v>74</v>
      </c>
      <c r="BH18" t="s">
        <v>74</v>
      </c>
      <c r="BI18">
        <v>10</v>
      </c>
      <c r="BJ18" t="s">
        <v>507</v>
      </c>
      <c r="BK18" t="s">
        <v>100</v>
      </c>
      <c r="BL18" t="s">
        <v>508</v>
      </c>
      <c r="BM18" t="s">
        <v>509</v>
      </c>
      <c r="BN18">
        <v>36332901</v>
      </c>
      <c r="BO18" t="s">
        <v>74</v>
      </c>
      <c r="BP18" t="s">
        <v>74</v>
      </c>
      <c r="BQ18" t="s">
        <v>74</v>
      </c>
      <c r="BR18" t="s">
        <v>103</v>
      </c>
      <c r="BS18" t="s">
        <v>510</v>
      </c>
      <c r="BT18" t="str">
        <f>HYPERLINK("https%3A%2F%2Fwww.webofscience.com%2Fwos%2Fwoscc%2Ffull-record%2FWOS:000904681600003","View Full Record in Web of Science")</f>
        <v>View Full Record in Web of Science</v>
      </c>
    </row>
    <row r="19" spans="1:72" x14ac:dyDescent="0.15">
      <c r="A19" t="s">
        <v>72</v>
      </c>
      <c r="B19" t="s">
        <v>511</v>
      </c>
      <c r="C19" t="s">
        <v>74</v>
      </c>
      <c r="D19" t="s">
        <v>74</v>
      </c>
      <c r="E19" t="s">
        <v>74</v>
      </c>
      <c r="F19" t="s">
        <v>512</v>
      </c>
      <c r="G19" t="s">
        <v>74</v>
      </c>
      <c r="H19" t="s">
        <v>74</v>
      </c>
      <c r="I19" t="s">
        <v>513</v>
      </c>
      <c r="J19" t="s">
        <v>514</v>
      </c>
      <c r="K19" t="s">
        <v>74</v>
      </c>
      <c r="L19" t="s">
        <v>74</v>
      </c>
      <c r="M19" t="s">
        <v>78</v>
      </c>
      <c r="N19" t="s">
        <v>79</v>
      </c>
      <c r="O19" t="s">
        <v>74</v>
      </c>
      <c r="P19" t="s">
        <v>74</v>
      </c>
      <c r="Q19" t="s">
        <v>74</v>
      </c>
      <c r="R19" t="s">
        <v>74</v>
      </c>
      <c r="S19" t="s">
        <v>74</v>
      </c>
      <c r="T19" t="s">
        <v>515</v>
      </c>
      <c r="U19" t="s">
        <v>516</v>
      </c>
      <c r="V19" t="s">
        <v>517</v>
      </c>
      <c r="W19" t="s">
        <v>518</v>
      </c>
      <c r="X19" t="s">
        <v>519</v>
      </c>
      <c r="Y19" t="s">
        <v>520</v>
      </c>
      <c r="Z19" t="s">
        <v>521</v>
      </c>
      <c r="AA19" t="s">
        <v>522</v>
      </c>
      <c r="AB19" t="s">
        <v>523</v>
      </c>
      <c r="AC19" t="s">
        <v>74</v>
      </c>
      <c r="AD19" t="s">
        <v>74</v>
      </c>
      <c r="AE19" t="s">
        <v>74</v>
      </c>
      <c r="AF19" t="s">
        <v>74</v>
      </c>
      <c r="AG19">
        <v>45</v>
      </c>
      <c r="AH19">
        <v>0</v>
      </c>
      <c r="AI19">
        <v>0</v>
      </c>
      <c r="AJ19">
        <v>0</v>
      </c>
      <c r="AK19">
        <v>0</v>
      </c>
      <c r="AL19" t="s">
        <v>524</v>
      </c>
      <c r="AM19" t="s">
        <v>525</v>
      </c>
      <c r="AN19" t="s">
        <v>526</v>
      </c>
      <c r="AO19" t="s">
        <v>527</v>
      </c>
      <c r="AP19" t="s">
        <v>528</v>
      </c>
      <c r="AQ19" t="s">
        <v>74</v>
      </c>
      <c r="AR19" t="s">
        <v>529</v>
      </c>
      <c r="AS19" t="s">
        <v>530</v>
      </c>
      <c r="AT19" t="s">
        <v>428</v>
      </c>
      <c r="AU19">
        <v>2022</v>
      </c>
      <c r="AV19">
        <v>58</v>
      </c>
      <c r="AW19">
        <v>4</v>
      </c>
      <c r="AX19" t="s">
        <v>74</v>
      </c>
      <c r="AY19" t="s">
        <v>74</v>
      </c>
      <c r="AZ19" t="s">
        <v>74</v>
      </c>
      <c r="BA19" t="s">
        <v>74</v>
      </c>
      <c r="BB19">
        <v>836</v>
      </c>
      <c r="BC19">
        <v>846</v>
      </c>
      <c r="BD19" t="s">
        <v>74</v>
      </c>
      <c r="BE19" t="s">
        <v>531</v>
      </c>
      <c r="BF19" t="str">
        <f>HYPERLINK("http://dx.doi.org/10.7589/JWD-D-21-00146","http://dx.doi.org/10.7589/JWD-D-21-00146")</f>
        <v>http://dx.doi.org/10.7589/JWD-D-21-00146</v>
      </c>
      <c r="BG19" t="s">
        <v>74</v>
      </c>
      <c r="BH19" t="s">
        <v>74</v>
      </c>
      <c r="BI19">
        <v>11</v>
      </c>
      <c r="BJ19" t="s">
        <v>532</v>
      </c>
      <c r="BK19" t="s">
        <v>100</v>
      </c>
      <c r="BL19" t="s">
        <v>532</v>
      </c>
      <c r="BM19" t="s">
        <v>533</v>
      </c>
      <c r="BN19">
        <v>36136602</v>
      </c>
      <c r="BO19" t="s">
        <v>74</v>
      </c>
      <c r="BP19" t="s">
        <v>74</v>
      </c>
      <c r="BQ19" t="s">
        <v>74</v>
      </c>
      <c r="BR19" t="s">
        <v>103</v>
      </c>
      <c r="BS19" t="s">
        <v>534</v>
      </c>
      <c r="BT19" t="str">
        <f>HYPERLINK("https%3A%2F%2Fwww.webofscience.com%2Fwos%2Fwoscc%2Ffull-record%2FWOS:000891748500013","View Full Record in Web of Science")</f>
        <v>View Full Record in Web of Science</v>
      </c>
    </row>
    <row r="20" spans="1:72" x14ac:dyDescent="0.15">
      <c r="A20" t="s">
        <v>72</v>
      </c>
      <c r="B20" t="s">
        <v>535</v>
      </c>
      <c r="C20" t="s">
        <v>74</v>
      </c>
      <c r="D20" t="s">
        <v>74</v>
      </c>
      <c r="E20" t="s">
        <v>74</v>
      </c>
      <c r="F20" t="s">
        <v>536</v>
      </c>
      <c r="G20" t="s">
        <v>74</v>
      </c>
      <c r="H20" t="s">
        <v>74</v>
      </c>
      <c r="I20" t="s">
        <v>537</v>
      </c>
      <c r="J20" t="s">
        <v>538</v>
      </c>
      <c r="K20" t="s">
        <v>74</v>
      </c>
      <c r="L20" t="s">
        <v>74</v>
      </c>
      <c r="M20" t="s">
        <v>78</v>
      </c>
      <c r="N20" t="s">
        <v>79</v>
      </c>
      <c r="O20" t="s">
        <v>74</v>
      </c>
      <c r="P20" t="s">
        <v>74</v>
      </c>
      <c r="Q20" t="s">
        <v>74</v>
      </c>
      <c r="R20" t="s">
        <v>74</v>
      </c>
      <c r="S20" t="s">
        <v>74</v>
      </c>
      <c r="T20" t="s">
        <v>539</v>
      </c>
      <c r="U20" t="s">
        <v>540</v>
      </c>
      <c r="V20" t="s">
        <v>541</v>
      </c>
      <c r="W20" t="s">
        <v>542</v>
      </c>
      <c r="X20" t="s">
        <v>543</v>
      </c>
      <c r="Y20" t="s">
        <v>544</v>
      </c>
      <c r="Z20" t="s">
        <v>545</v>
      </c>
      <c r="AA20" t="s">
        <v>74</v>
      </c>
      <c r="AB20" t="s">
        <v>74</v>
      </c>
      <c r="AC20" t="s">
        <v>546</v>
      </c>
      <c r="AD20" t="s">
        <v>547</v>
      </c>
      <c r="AE20" t="s">
        <v>548</v>
      </c>
      <c r="AF20" t="s">
        <v>74</v>
      </c>
      <c r="AG20">
        <v>55</v>
      </c>
      <c r="AH20">
        <v>1</v>
      </c>
      <c r="AI20">
        <v>1</v>
      </c>
      <c r="AJ20">
        <v>5</v>
      </c>
      <c r="AK20">
        <v>39</v>
      </c>
      <c r="AL20" t="s">
        <v>549</v>
      </c>
      <c r="AM20" t="s">
        <v>550</v>
      </c>
      <c r="AN20" t="s">
        <v>551</v>
      </c>
      <c r="AO20" t="s">
        <v>552</v>
      </c>
      <c r="AP20" t="s">
        <v>553</v>
      </c>
      <c r="AQ20" t="s">
        <v>74</v>
      </c>
      <c r="AR20" t="s">
        <v>554</v>
      </c>
      <c r="AS20" t="s">
        <v>555</v>
      </c>
      <c r="AT20" t="s">
        <v>428</v>
      </c>
      <c r="AU20">
        <v>2022</v>
      </c>
      <c r="AV20">
        <v>49</v>
      </c>
      <c r="AW20">
        <v>5</v>
      </c>
      <c r="AX20" t="s">
        <v>74</v>
      </c>
      <c r="AY20" t="s">
        <v>74</v>
      </c>
      <c r="AZ20" t="s">
        <v>74</v>
      </c>
      <c r="BA20" t="s">
        <v>74</v>
      </c>
      <c r="BB20">
        <v>1161</v>
      </c>
      <c r="BC20">
        <v>1168</v>
      </c>
      <c r="BD20" t="s">
        <v>74</v>
      </c>
      <c r="BE20" t="s">
        <v>556</v>
      </c>
      <c r="BF20" t="str">
        <f>HYPERLINK("http://dx.doi.org/10.1016/S1876-3804(22)60340-9","http://dx.doi.org/10.1016/S1876-3804(22)60340-9")</f>
        <v>http://dx.doi.org/10.1016/S1876-3804(22)60340-9</v>
      </c>
      <c r="BG20" t="s">
        <v>74</v>
      </c>
      <c r="BH20" t="s">
        <v>74</v>
      </c>
      <c r="BI20">
        <v>8</v>
      </c>
      <c r="BJ20" t="s">
        <v>557</v>
      </c>
      <c r="BK20" t="s">
        <v>100</v>
      </c>
      <c r="BL20" t="s">
        <v>558</v>
      </c>
      <c r="BM20" t="s">
        <v>559</v>
      </c>
      <c r="BN20" t="s">
        <v>74</v>
      </c>
      <c r="BO20" t="s">
        <v>266</v>
      </c>
      <c r="BP20" t="s">
        <v>74</v>
      </c>
      <c r="BQ20" t="s">
        <v>74</v>
      </c>
      <c r="BR20" t="s">
        <v>103</v>
      </c>
      <c r="BS20" t="s">
        <v>560</v>
      </c>
      <c r="BT20" t="str">
        <f>HYPERLINK("https%3A%2F%2Fwww.webofscience.com%2Fwos%2Fwoscc%2Ffull-record%2FWOS:000888315300001","View Full Record in Web of Science")</f>
        <v>View Full Record in Web of Science</v>
      </c>
    </row>
    <row r="21" spans="1:72" x14ac:dyDescent="0.15">
      <c r="A21" t="s">
        <v>72</v>
      </c>
      <c r="B21" t="s">
        <v>561</v>
      </c>
      <c r="C21" t="s">
        <v>74</v>
      </c>
      <c r="D21" t="s">
        <v>74</v>
      </c>
      <c r="E21" t="s">
        <v>74</v>
      </c>
      <c r="F21" t="s">
        <v>562</v>
      </c>
      <c r="G21" t="s">
        <v>74</v>
      </c>
      <c r="H21" t="s">
        <v>74</v>
      </c>
      <c r="I21" t="s">
        <v>563</v>
      </c>
      <c r="J21" t="s">
        <v>564</v>
      </c>
      <c r="K21" t="s">
        <v>74</v>
      </c>
      <c r="L21" t="s">
        <v>74</v>
      </c>
      <c r="M21" t="s">
        <v>78</v>
      </c>
      <c r="N21" t="s">
        <v>79</v>
      </c>
      <c r="O21" t="s">
        <v>74</v>
      </c>
      <c r="P21" t="s">
        <v>74</v>
      </c>
      <c r="Q21" t="s">
        <v>74</v>
      </c>
      <c r="R21" t="s">
        <v>74</v>
      </c>
      <c r="S21" t="s">
        <v>74</v>
      </c>
      <c r="T21" t="s">
        <v>565</v>
      </c>
      <c r="U21" t="s">
        <v>566</v>
      </c>
      <c r="V21" t="s">
        <v>567</v>
      </c>
      <c r="W21" t="s">
        <v>568</v>
      </c>
      <c r="X21" t="s">
        <v>569</v>
      </c>
      <c r="Y21" t="s">
        <v>570</v>
      </c>
      <c r="Z21" t="s">
        <v>571</v>
      </c>
      <c r="AA21" t="s">
        <v>572</v>
      </c>
      <c r="AB21" t="s">
        <v>573</v>
      </c>
      <c r="AC21" t="s">
        <v>574</v>
      </c>
      <c r="AD21" t="s">
        <v>575</v>
      </c>
      <c r="AE21" t="s">
        <v>576</v>
      </c>
      <c r="AF21" t="s">
        <v>74</v>
      </c>
      <c r="AG21">
        <v>20</v>
      </c>
      <c r="AH21">
        <v>1</v>
      </c>
      <c r="AI21">
        <v>1</v>
      </c>
      <c r="AJ21">
        <v>1</v>
      </c>
      <c r="AK21">
        <v>3</v>
      </c>
      <c r="AL21" t="s">
        <v>577</v>
      </c>
      <c r="AM21" t="s">
        <v>450</v>
      </c>
      <c r="AN21" t="s">
        <v>578</v>
      </c>
      <c r="AO21" t="s">
        <v>579</v>
      </c>
      <c r="AP21" t="s">
        <v>580</v>
      </c>
      <c r="AQ21" t="s">
        <v>74</v>
      </c>
      <c r="AR21" t="s">
        <v>581</v>
      </c>
      <c r="AS21" t="s">
        <v>582</v>
      </c>
      <c r="AT21" t="s">
        <v>428</v>
      </c>
      <c r="AU21">
        <v>2022</v>
      </c>
      <c r="AV21">
        <v>506</v>
      </c>
      <c r="AW21">
        <v>2</v>
      </c>
      <c r="AX21" t="s">
        <v>74</v>
      </c>
      <c r="AY21" t="s">
        <v>74</v>
      </c>
      <c r="AZ21" t="s">
        <v>74</v>
      </c>
      <c r="BA21" t="s">
        <v>74</v>
      </c>
      <c r="BB21">
        <v>710</v>
      </c>
      <c r="BC21">
        <v>715</v>
      </c>
      <c r="BD21" t="s">
        <v>74</v>
      </c>
      <c r="BE21" t="s">
        <v>583</v>
      </c>
      <c r="BF21" t="str">
        <f>HYPERLINK("http://dx.doi.org/10.1134/S1028334X22600414","http://dx.doi.org/10.1134/S1028334X22600414")</f>
        <v>http://dx.doi.org/10.1134/S1028334X22600414</v>
      </c>
      <c r="BG21" t="s">
        <v>74</v>
      </c>
      <c r="BH21" t="s">
        <v>74</v>
      </c>
      <c r="BI21">
        <v>6</v>
      </c>
      <c r="BJ21" t="s">
        <v>129</v>
      </c>
      <c r="BK21" t="s">
        <v>100</v>
      </c>
      <c r="BL21" t="s">
        <v>130</v>
      </c>
      <c r="BM21" t="s">
        <v>584</v>
      </c>
      <c r="BN21" t="s">
        <v>74</v>
      </c>
      <c r="BO21" t="s">
        <v>74</v>
      </c>
      <c r="BP21" t="s">
        <v>74</v>
      </c>
      <c r="BQ21" t="s">
        <v>74</v>
      </c>
      <c r="BR21" t="s">
        <v>103</v>
      </c>
      <c r="BS21" t="s">
        <v>585</v>
      </c>
      <c r="BT21" t="str">
        <f>HYPERLINK("https%3A%2F%2Fwww.webofscience.com%2Fwos%2Fwoscc%2Ffull-record%2FWOS:000882406400002","View Full Record in Web of Science")</f>
        <v>View Full Record in Web of Science</v>
      </c>
    </row>
    <row r="22" spans="1:72" x14ac:dyDescent="0.15">
      <c r="A22" t="s">
        <v>72</v>
      </c>
      <c r="B22" t="s">
        <v>586</v>
      </c>
      <c r="C22" t="s">
        <v>74</v>
      </c>
      <c r="D22" t="s">
        <v>74</v>
      </c>
      <c r="E22" t="s">
        <v>74</v>
      </c>
      <c r="F22" t="s">
        <v>587</v>
      </c>
      <c r="G22" t="s">
        <v>74</v>
      </c>
      <c r="H22" t="s">
        <v>74</v>
      </c>
      <c r="I22" t="s">
        <v>588</v>
      </c>
      <c r="J22" t="s">
        <v>564</v>
      </c>
      <c r="K22" t="s">
        <v>74</v>
      </c>
      <c r="L22" t="s">
        <v>74</v>
      </c>
      <c r="M22" t="s">
        <v>78</v>
      </c>
      <c r="N22" t="s">
        <v>79</v>
      </c>
      <c r="O22" t="s">
        <v>74</v>
      </c>
      <c r="P22" t="s">
        <v>74</v>
      </c>
      <c r="Q22" t="s">
        <v>74</v>
      </c>
      <c r="R22" t="s">
        <v>74</v>
      </c>
      <c r="S22" t="s">
        <v>74</v>
      </c>
      <c r="T22" t="s">
        <v>589</v>
      </c>
      <c r="U22" t="s">
        <v>590</v>
      </c>
      <c r="V22" t="s">
        <v>591</v>
      </c>
      <c r="W22" t="s">
        <v>592</v>
      </c>
      <c r="X22" t="s">
        <v>593</v>
      </c>
      <c r="Y22" t="s">
        <v>594</v>
      </c>
      <c r="Z22" t="s">
        <v>595</v>
      </c>
      <c r="AA22" t="s">
        <v>596</v>
      </c>
      <c r="AB22" t="s">
        <v>74</v>
      </c>
      <c r="AC22" t="s">
        <v>597</v>
      </c>
      <c r="AD22" t="s">
        <v>598</v>
      </c>
      <c r="AE22" t="s">
        <v>599</v>
      </c>
      <c r="AF22" t="s">
        <v>74</v>
      </c>
      <c r="AG22">
        <v>18</v>
      </c>
      <c r="AH22">
        <v>0</v>
      </c>
      <c r="AI22">
        <v>0</v>
      </c>
      <c r="AJ22">
        <v>0</v>
      </c>
      <c r="AK22">
        <v>0</v>
      </c>
      <c r="AL22" t="s">
        <v>577</v>
      </c>
      <c r="AM22" t="s">
        <v>450</v>
      </c>
      <c r="AN22" t="s">
        <v>578</v>
      </c>
      <c r="AO22" t="s">
        <v>579</v>
      </c>
      <c r="AP22" t="s">
        <v>580</v>
      </c>
      <c r="AQ22" t="s">
        <v>74</v>
      </c>
      <c r="AR22" t="s">
        <v>581</v>
      </c>
      <c r="AS22" t="s">
        <v>582</v>
      </c>
      <c r="AT22" t="s">
        <v>428</v>
      </c>
      <c r="AU22">
        <v>2022</v>
      </c>
      <c r="AV22">
        <v>506</v>
      </c>
      <c r="AW22">
        <v>2</v>
      </c>
      <c r="AX22" t="s">
        <v>74</v>
      </c>
      <c r="AY22" t="s">
        <v>74</v>
      </c>
      <c r="AZ22" t="s">
        <v>74</v>
      </c>
      <c r="BA22" t="s">
        <v>74</v>
      </c>
      <c r="BB22">
        <v>829</v>
      </c>
      <c r="BC22">
        <v>833</v>
      </c>
      <c r="BD22" t="s">
        <v>74</v>
      </c>
      <c r="BE22" t="s">
        <v>600</v>
      </c>
      <c r="BF22" t="str">
        <f>HYPERLINK("http://dx.doi.org/10.1134/S1028334X2270026X","http://dx.doi.org/10.1134/S1028334X2270026X")</f>
        <v>http://dx.doi.org/10.1134/S1028334X2270026X</v>
      </c>
      <c r="BG22" t="s">
        <v>74</v>
      </c>
      <c r="BH22" t="s">
        <v>74</v>
      </c>
      <c r="BI22">
        <v>5</v>
      </c>
      <c r="BJ22" t="s">
        <v>129</v>
      </c>
      <c r="BK22" t="s">
        <v>100</v>
      </c>
      <c r="BL22" t="s">
        <v>130</v>
      </c>
      <c r="BM22" t="s">
        <v>584</v>
      </c>
      <c r="BN22" t="s">
        <v>74</v>
      </c>
      <c r="BO22" t="s">
        <v>74</v>
      </c>
      <c r="BP22" t="s">
        <v>74</v>
      </c>
      <c r="BQ22" t="s">
        <v>74</v>
      </c>
      <c r="BR22" t="s">
        <v>103</v>
      </c>
      <c r="BS22" t="s">
        <v>601</v>
      </c>
      <c r="BT22" t="str">
        <f>HYPERLINK("https%3A%2F%2Fwww.webofscience.com%2Fwos%2Fwoscc%2Ffull-record%2FWOS:000882406400022","View Full Record in Web of Science")</f>
        <v>View Full Record in Web of Science</v>
      </c>
    </row>
    <row r="23" spans="1:72" x14ac:dyDescent="0.15">
      <c r="A23" t="s">
        <v>72</v>
      </c>
      <c r="B23" t="s">
        <v>602</v>
      </c>
      <c r="C23" t="s">
        <v>74</v>
      </c>
      <c r="D23" t="s">
        <v>74</v>
      </c>
      <c r="E23" t="s">
        <v>74</v>
      </c>
      <c r="F23" t="s">
        <v>603</v>
      </c>
      <c r="G23" t="s">
        <v>74</v>
      </c>
      <c r="H23" t="s">
        <v>74</v>
      </c>
      <c r="I23" t="s">
        <v>604</v>
      </c>
      <c r="J23" t="s">
        <v>605</v>
      </c>
      <c r="K23" t="s">
        <v>74</v>
      </c>
      <c r="L23" t="s">
        <v>74</v>
      </c>
      <c r="M23" t="s">
        <v>78</v>
      </c>
      <c r="N23" t="s">
        <v>79</v>
      </c>
      <c r="O23" t="s">
        <v>74</v>
      </c>
      <c r="P23" t="s">
        <v>74</v>
      </c>
      <c r="Q23" t="s">
        <v>74</v>
      </c>
      <c r="R23" t="s">
        <v>74</v>
      </c>
      <c r="S23" t="s">
        <v>74</v>
      </c>
      <c r="T23" t="s">
        <v>74</v>
      </c>
      <c r="U23" t="s">
        <v>606</v>
      </c>
      <c r="V23" t="s">
        <v>607</v>
      </c>
      <c r="W23" t="s">
        <v>608</v>
      </c>
      <c r="X23" t="s">
        <v>609</v>
      </c>
      <c r="Y23" t="s">
        <v>610</v>
      </c>
      <c r="Z23" t="s">
        <v>611</v>
      </c>
      <c r="AA23" t="s">
        <v>612</v>
      </c>
      <c r="AB23" t="s">
        <v>74</v>
      </c>
      <c r="AC23" t="s">
        <v>613</v>
      </c>
      <c r="AD23" t="s">
        <v>614</v>
      </c>
      <c r="AE23" t="s">
        <v>615</v>
      </c>
      <c r="AF23" t="s">
        <v>74</v>
      </c>
      <c r="AG23">
        <v>15</v>
      </c>
      <c r="AH23">
        <v>6</v>
      </c>
      <c r="AI23">
        <v>6</v>
      </c>
      <c r="AJ23">
        <v>2</v>
      </c>
      <c r="AK23">
        <v>4</v>
      </c>
      <c r="AL23" t="s">
        <v>616</v>
      </c>
      <c r="AM23" t="s">
        <v>617</v>
      </c>
      <c r="AN23" t="s">
        <v>618</v>
      </c>
      <c r="AO23" t="s">
        <v>619</v>
      </c>
      <c r="AP23" t="s">
        <v>620</v>
      </c>
      <c r="AQ23" t="s">
        <v>74</v>
      </c>
      <c r="AR23" t="s">
        <v>621</v>
      </c>
      <c r="AS23" t="s">
        <v>622</v>
      </c>
      <c r="AT23" t="s">
        <v>428</v>
      </c>
      <c r="AU23">
        <v>2022</v>
      </c>
      <c r="AV23">
        <v>28</v>
      </c>
      <c r="AW23">
        <v>10</v>
      </c>
      <c r="AX23" t="s">
        <v>74</v>
      </c>
      <c r="AY23" t="s">
        <v>74</v>
      </c>
      <c r="AZ23" t="s">
        <v>74</v>
      </c>
      <c r="BA23" t="s">
        <v>74</v>
      </c>
      <c r="BB23">
        <v>2100</v>
      </c>
      <c r="BC23">
        <v>2104</v>
      </c>
      <c r="BD23" t="s">
        <v>74</v>
      </c>
      <c r="BE23" t="s">
        <v>623</v>
      </c>
      <c r="BF23" t="str">
        <f>HYPERLINK("http://dx.doi.org/10.3201/eid2810.220046","http://dx.doi.org/10.3201/eid2810.220046")</f>
        <v>http://dx.doi.org/10.3201/eid2810.220046</v>
      </c>
      <c r="BG23" t="s">
        <v>74</v>
      </c>
      <c r="BH23" t="s">
        <v>74</v>
      </c>
      <c r="BI23">
        <v>5</v>
      </c>
      <c r="BJ23" t="s">
        <v>624</v>
      </c>
      <c r="BK23" t="s">
        <v>100</v>
      </c>
      <c r="BL23" t="s">
        <v>624</v>
      </c>
      <c r="BM23" t="s">
        <v>625</v>
      </c>
      <c r="BN23">
        <v>36148943</v>
      </c>
      <c r="BO23" t="s">
        <v>132</v>
      </c>
      <c r="BP23" t="s">
        <v>74</v>
      </c>
      <c r="BQ23" t="s">
        <v>74</v>
      </c>
      <c r="BR23" t="s">
        <v>103</v>
      </c>
      <c r="BS23" t="s">
        <v>626</v>
      </c>
      <c r="BT23" t="str">
        <f>HYPERLINK("https%3A%2F%2Fwww.webofscience.com%2Fwos%2Fwoscc%2Ffull-record%2FWOS:000882461400021","View Full Record in Web of Science")</f>
        <v>View Full Record in Web of Science</v>
      </c>
    </row>
    <row r="24" spans="1:72" x14ac:dyDescent="0.15">
      <c r="A24" t="s">
        <v>72</v>
      </c>
      <c r="B24" t="s">
        <v>627</v>
      </c>
      <c r="C24" t="s">
        <v>74</v>
      </c>
      <c r="D24" t="s">
        <v>74</v>
      </c>
      <c r="E24" t="s">
        <v>74</v>
      </c>
      <c r="F24" t="s">
        <v>628</v>
      </c>
      <c r="G24" t="s">
        <v>74</v>
      </c>
      <c r="H24" t="s">
        <v>74</v>
      </c>
      <c r="I24" t="s">
        <v>629</v>
      </c>
      <c r="J24" t="s">
        <v>630</v>
      </c>
      <c r="K24" t="s">
        <v>74</v>
      </c>
      <c r="L24" t="s">
        <v>74</v>
      </c>
      <c r="M24" t="s">
        <v>78</v>
      </c>
      <c r="N24" t="s">
        <v>79</v>
      </c>
      <c r="O24" t="s">
        <v>74</v>
      </c>
      <c r="P24" t="s">
        <v>74</v>
      </c>
      <c r="Q24" t="s">
        <v>74</v>
      </c>
      <c r="R24" t="s">
        <v>74</v>
      </c>
      <c r="S24" t="s">
        <v>74</v>
      </c>
      <c r="T24" t="s">
        <v>631</v>
      </c>
      <c r="U24" t="s">
        <v>632</v>
      </c>
      <c r="V24" t="s">
        <v>633</v>
      </c>
      <c r="W24" t="s">
        <v>634</v>
      </c>
      <c r="X24" t="s">
        <v>635</v>
      </c>
      <c r="Y24" t="s">
        <v>636</v>
      </c>
      <c r="Z24" t="s">
        <v>637</v>
      </c>
      <c r="AA24" t="s">
        <v>74</v>
      </c>
      <c r="AB24" t="s">
        <v>638</v>
      </c>
      <c r="AC24" t="s">
        <v>639</v>
      </c>
      <c r="AD24" t="s">
        <v>639</v>
      </c>
      <c r="AE24" t="s">
        <v>640</v>
      </c>
      <c r="AF24" t="s">
        <v>74</v>
      </c>
      <c r="AG24">
        <v>25</v>
      </c>
      <c r="AH24">
        <v>0</v>
      </c>
      <c r="AI24">
        <v>0</v>
      </c>
      <c r="AJ24">
        <v>1</v>
      </c>
      <c r="AK24">
        <v>3</v>
      </c>
      <c r="AL24" t="s">
        <v>641</v>
      </c>
      <c r="AM24" t="s">
        <v>642</v>
      </c>
      <c r="AN24" t="s">
        <v>643</v>
      </c>
      <c r="AO24" t="s">
        <v>644</v>
      </c>
      <c r="AP24" t="s">
        <v>645</v>
      </c>
      <c r="AQ24" t="s">
        <v>74</v>
      </c>
      <c r="AR24" t="s">
        <v>646</v>
      </c>
      <c r="AS24" t="s">
        <v>647</v>
      </c>
      <c r="AT24" t="s">
        <v>648</v>
      </c>
      <c r="AU24">
        <v>2023</v>
      </c>
      <c r="AV24">
        <v>41</v>
      </c>
      <c r="AW24">
        <v>11</v>
      </c>
      <c r="AX24" t="s">
        <v>74</v>
      </c>
      <c r="AY24" t="s">
        <v>74</v>
      </c>
      <c r="AZ24" t="s">
        <v>74</v>
      </c>
      <c r="BA24" t="s">
        <v>74</v>
      </c>
      <c r="BB24">
        <v>1229</v>
      </c>
      <c r="BC24">
        <v>1238</v>
      </c>
      <c r="BD24" t="s">
        <v>74</v>
      </c>
      <c r="BE24" t="s">
        <v>649</v>
      </c>
      <c r="BF24" t="str">
        <f>HYPERLINK("http://dx.doi.org/10.1080/1064119X.2022.2131486","http://dx.doi.org/10.1080/1064119X.2022.2131486")</f>
        <v>http://dx.doi.org/10.1080/1064119X.2022.2131486</v>
      </c>
      <c r="BG24" t="s">
        <v>74</v>
      </c>
      <c r="BH24" t="s">
        <v>98</v>
      </c>
      <c r="BI24">
        <v>10</v>
      </c>
      <c r="BJ24" t="s">
        <v>650</v>
      </c>
      <c r="BK24" t="s">
        <v>100</v>
      </c>
      <c r="BL24" t="s">
        <v>651</v>
      </c>
      <c r="BM24" t="s">
        <v>652</v>
      </c>
      <c r="BN24" t="s">
        <v>74</v>
      </c>
      <c r="BO24" t="s">
        <v>74</v>
      </c>
      <c r="BP24" t="s">
        <v>74</v>
      </c>
      <c r="BQ24" t="s">
        <v>74</v>
      </c>
      <c r="BR24" t="s">
        <v>103</v>
      </c>
      <c r="BS24" t="s">
        <v>653</v>
      </c>
      <c r="BT24" t="str">
        <f>HYPERLINK("https%3A%2F%2Fwww.webofscience.com%2Fwos%2Fwoscc%2Ffull-record%2FWOS:000882305100001","View Full Record in Web of Science")</f>
        <v>View Full Record in Web of Science</v>
      </c>
    </row>
    <row r="25" spans="1:72" x14ac:dyDescent="0.15">
      <c r="A25" t="s">
        <v>72</v>
      </c>
      <c r="B25" t="s">
        <v>654</v>
      </c>
      <c r="C25" t="s">
        <v>74</v>
      </c>
      <c r="D25" t="s">
        <v>74</v>
      </c>
      <c r="E25" t="s">
        <v>74</v>
      </c>
      <c r="F25" t="s">
        <v>655</v>
      </c>
      <c r="G25" t="s">
        <v>74</v>
      </c>
      <c r="H25" t="s">
        <v>74</v>
      </c>
      <c r="I25" t="s">
        <v>656</v>
      </c>
      <c r="J25" t="s">
        <v>657</v>
      </c>
      <c r="K25" t="s">
        <v>74</v>
      </c>
      <c r="L25" t="s">
        <v>74</v>
      </c>
      <c r="M25" t="s">
        <v>78</v>
      </c>
      <c r="N25" t="s">
        <v>79</v>
      </c>
      <c r="O25" t="s">
        <v>74</v>
      </c>
      <c r="P25" t="s">
        <v>74</v>
      </c>
      <c r="Q25" t="s">
        <v>74</v>
      </c>
      <c r="R25" t="s">
        <v>74</v>
      </c>
      <c r="S25" t="s">
        <v>74</v>
      </c>
      <c r="T25" t="s">
        <v>658</v>
      </c>
      <c r="U25" t="s">
        <v>659</v>
      </c>
      <c r="V25" t="s">
        <v>660</v>
      </c>
      <c r="W25" t="s">
        <v>661</v>
      </c>
      <c r="X25" t="s">
        <v>662</v>
      </c>
      <c r="Y25" t="s">
        <v>663</v>
      </c>
      <c r="Z25" t="s">
        <v>664</v>
      </c>
      <c r="AA25" t="s">
        <v>74</v>
      </c>
      <c r="AB25" t="s">
        <v>74</v>
      </c>
      <c r="AC25" t="s">
        <v>665</v>
      </c>
      <c r="AD25" t="s">
        <v>666</v>
      </c>
      <c r="AE25" t="s">
        <v>667</v>
      </c>
      <c r="AF25" t="s">
        <v>74</v>
      </c>
      <c r="AG25">
        <v>49</v>
      </c>
      <c r="AH25">
        <v>1</v>
      </c>
      <c r="AI25">
        <v>1</v>
      </c>
      <c r="AJ25">
        <v>1</v>
      </c>
      <c r="AK25">
        <v>6</v>
      </c>
      <c r="AL25" t="s">
        <v>178</v>
      </c>
      <c r="AM25" t="s">
        <v>450</v>
      </c>
      <c r="AN25" t="s">
        <v>668</v>
      </c>
      <c r="AO25" t="s">
        <v>669</v>
      </c>
      <c r="AP25" t="s">
        <v>670</v>
      </c>
      <c r="AQ25" t="s">
        <v>74</v>
      </c>
      <c r="AR25" t="s">
        <v>671</v>
      </c>
      <c r="AS25" t="s">
        <v>672</v>
      </c>
      <c r="AT25" t="s">
        <v>428</v>
      </c>
      <c r="AU25">
        <v>2022</v>
      </c>
      <c r="AV25">
        <v>41</v>
      </c>
      <c r="AW25">
        <v>10</v>
      </c>
      <c r="AX25" t="s">
        <v>74</v>
      </c>
      <c r="AY25" t="s">
        <v>74</v>
      </c>
      <c r="AZ25" t="s">
        <v>74</v>
      </c>
      <c r="BA25" t="s">
        <v>74</v>
      </c>
      <c r="BB25">
        <v>22</v>
      </c>
      <c r="BC25">
        <v>31</v>
      </c>
      <c r="BD25" t="s">
        <v>74</v>
      </c>
      <c r="BE25" t="s">
        <v>673</v>
      </c>
      <c r="BF25" t="str">
        <f>HYPERLINK("http://dx.doi.org/10.1007/s13131-022-2000-x","http://dx.doi.org/10.1007/s13131-022-2000-x")</f>
        <v>http://dx.doi.org/10.1007/s13131-022-2000-x</v>
      </c>
      <c r="BG25" t="s">
        <v>74</v>
      </c>
      <c r="BH25" t="s">
        <v>74</v>
      </c>
      <c r="BI25">
        <v>10</v>
      </c>
      <c r="BJ25" t="s">
        <v>674</v>
      </c>
      <c r="BK25" t="s">
        <v>100</v>
      </c>
      <c r="BL25" t="s">
        <v>674</v>
      </c>
      <c r="BM25" t="s">
        <v>675</v>
      </c>
      <c r="BN25" t="s">
        <v>74</v>
      </c>
      <c r="BO25" t="s">
        <v>74</v>
      </c>
      <c r="BP25" t="s">
        <v>74</v>
      </c>
      <c r="BQ25" t="s">
        <v>74</v>
      </c>
      <c r="BR25" t="s">
        <v>103</v>
      </c>
      <c r="BS25" t="s">
        <v>676</v>
      </c>
      <c r="BT25" t="str">
        <f>HYPERLINK("https%3A%2F%2Fwww.webofscience.com%2Fwos%2Fwoscc%2Ffull-record%2FWOS:000879044400003","View Full Record in Web of Science")</f>
        <v>View Full Record in Web of Science</v>
      </c>
    </row>
    <row r="26" spans="1:72" x14ac:dyDescent="0.15">
      <c r="A26" t="s">
        <v>72</v>
      </c>
      <c r="B26" t="s">
        <v>677</v>
      </c>
      <c r="C26" t="s">
        <v>74</v>
      </c>
      <c r="D26" t="s">
        <v>74</v>
      </c>
      <c r="E26" t="s">
        <v>74</v>
      </c>
      <c r="F26" t="s">
        <v>678</v>
      </c>
      <c r="G26" t="s">
        <v>74</v>
      </c>
      <c r="H26" t="s">
        <v>74</v>
      </c>
      <c r="I26" t="s">
        <v>679</v>
      </c>
      <c r="J26" t="s">
        <v>680</v>
      </c>
      <c r="K26" t="s">
        <v>74</v>
      </c>
      <c r="L26" t="s">
        <v>74</v>
      </c>
      <c r="M26" t="s">
        <v>78</v>
      </c>
      <c r="N26" t="s">
        <v>79</v>
      </c>
      <c r="O26" t="s">
        <v>74</v>
      </c>
      <c r="P26" t="s">
        <v>74</v>
      </c>
      <c r="Q26" t="s">
        <v>74</v>
      </c>
      <c r="R26" t="s">
        <v>74</v>
      </c>
      <c r="S26" t="s">
        <v>74</v>
      </c>
      <c r="T26" t="s">
        <v>681</v>
      </c>
      <c r="U26" t="s">
        <v>74</v>
      </c>
      <c r="V26" t="s">
        <v>682</v>
      </c>
      <c r="W26" t="s">
        <v>683</v>
      </c>
      <c r="X26" t="s">
        <v>684</v>
      </c>
      <c r="Y26" t="s">
        <v>685</v>
      </c>
      <c r="Z26" t="s">
        <v>686</v>
      </c>
      <c r="AA26" t="s">
        <v>687</v>
      </c>
      <c r="AB26" t="s">
        <v>688</v>
      </c>
      <c r="AC26" t="s">
        <v>74</v>
      </c>
      <c r="AD26" t="s">
        <v>74</v>
      </c>
      <c r="AE26" t="s">
        <v>74</v>
      </c>
      <c r="AF26" t="s">
        <v>74</v>
      </c>
      <c r="AG26">
        <v>21</v>
      </c>
      <c r="AH26">
        <v>2</v>
      </c>
      <c r="AI26">
        <v>2</v>
      </c>
      <c r="AJ26">
        <v>1</v>
      </c>
      <c r="AK26">
        <v>3</v>
      </c>
      <c r="AL26" t="s">
        <v>689</v>
      </c>
      <c r="AM26" t="s">
        <v>690</v>
      </c>
      <c r="AN26" t="s">
        <v>691</v>
      </c>
      <c r="AO26" t="s">
        <v>692</v>
      </c>
      <c r="AP26" t="s">
        <v>693</v>
      </c>
      <c r="AQ26" t="s">
        <v>74</v>
      </c>
      <c r="AR26" t="s">
        <v>694</v>
      </c>
      <c r="AS26" t="s">
        <v>695</v>
      </c>
      <c r="AT26" t="s">
        <v>428</v>
      </c>
      <c r="AU26">
        <v>2022</v>
      </c>
      <c r="AV26">
        <v>50</v>
      </c>
      <c r="AW26">
        <v>2</v>
      </c>
      <c r="AX26" t="s">
        <v>74</v>
      </c>
      <c r="AY26" t="s">
        <v>74</v>
      </c>
      <c r="AZ26" t="s">
        <v>74</v>
      </c>
      <c r="BA26" t="s">
        <v>74</v>
      </c>
      <c r="BB26">
        <v>211</v>
      </c>
      <c r="BC26">
        <v>214</v>
      </c>
      <c r="BD26" t="s">
        <v>74</v>
      </c>
      <c r="BE26" t="s">
        <v>74</v>
      </c>
      <c r="BF26" t="s">
        <v>74</v>
      </c>
      <c r="BG26" t="s">
        <v>74</v>
      </c>
      <c r="BH26" t="s">
        <v>74</v>
      </c>
      <c r="BI26">
        <v>4</v>
      </c>
      <c r="BJ26" t="s">
        <v>696</v>
      </c>
      <c r="BK26" t="s">
        <v>100</v>
      </c>
      <c r="BL26" t="s">
        <v>697</v>
      </c>
      <c r="BM26" t="s">
        <v>698</v>
      </c>
      <c r="BN26" t="s">
        <v>74</v>
      </c>
      <c r="BO26" t="s">
        <v>74</v>
      </c>
      <c r="BP26" t="s">
        <v>74</v>
      </c>
      <c r="BQ26" t="s">
        <v>74</v>
      </c>
      <c r="BR26" t="s">
        <v>103</v>
      </c>
      <c r="BS26" t="s">
        <v>699</v>
      </c>
      <c r="BT26" t="str">
        <f>HYPERLINK("https%3A%2F%2Fwww.webofscience.com%2Fwos%2Fwoscc%2Ffull-record%2FWOS:000876875100014","View Full Record in Web of Science")</f>
        <v>View Full Record in Web of Science</v>
      </c>
    </row>
    <row r="27" spans="1:72" x14ac:dyDescent="0.15">
      <c r="A27" t="s">
        <v>72</v>
      </c>
      <c r="B27" t="s">
        <v>700</v>
      </c>
      <c r="C27" t="s">
        <v>74</v>
      </c>
      <c r="D27" t="s">
        <v>74</v>
      </c>
      <c r="E27" t="s">
        <v>74</v>
      </c>
      <c r="F27" t="s">
        <v>701</v>
      </c>
      <c r="G27" t="s">
        <v>74</v>
      </c>
      <c r="H27" t="s">
        <v>74</v>
      </c>
      <c r="I27" t="s">
        <v>702</v>
      </c>
      <c r="J27" t="s">
        <v>703</v>
      </c>
      <c r="K27" t="s">
        <v>74</v>
      </c>
      <c r="L27" t="s">
        <v>74</v>
      </c>
      <c r="M27" t="s">
        <v>78</v>
      </c>
      <c r="N27" t="s">
        <v>79</v>
      </c>
      <c r="O27" t="s">
        <v>74</v>
      </c>
      <c r="P27" t="s">
        <v>74</v>
      </c>
      <c r="Q27" t="s">
        <v>74</v>
      </c>
      <c r="R27" t="s">
        <v>74</v>
      </c>
      <c r="S27" t="s">
        <v>74</v>
      </c>
      <c r="T27" t="s">
        <v>704</v>
      </c>
      <c r="U27" t="s">
        <v>705</v>
      </c>
      <c r="V27" t="s">
        <v>706</v>
      </c>
      <c r="W27" t="s">
        <v>707</v>
      </c>
      <c r="X27" t="s">
        <v>708</v>
      </c>
      <c r="Y27" t="s">
        <v>709</v>
      </c>
      <c r="Z27" t="s">
        <v>710</v>
      </c>
      <c r="AA27" t="s">
        <v>711</v>
      </c>
      <c r="AB27" t="s">
        <v>712</v>
      </c>
      <c r="AC27" t="s">
        <v>713</v>
      </c>
      <c r="AD27" t="s">
        <v>714</v>
      </c>
      <c r="AE27" t="s">
        <v>715</v>
      </c>
      <c r="AF27" t="s">
        <v>74</v>
      </c>
      <c r="AG27">
        <v>23</v>
      </c>
      <c r="AH27">
        <v>3</v>
      </c>
      <c r="AI27">
        <v>3</v>
      </c>
      <c r="AJ27">
        <v>1</v>
      </c>
      <c r="AK27">
        <v>3</v>
      </c>
      <c r="AL27" t="s">
        <v>449</v>
      </c>
      <c r="AM27" t="s">
        <v>450</v>
      </c>
      <c r="AN27" t="s">
        <v>451</v>
      </c>
      <c r="AO27" t="s">
        <v>716</v>
      </c>
      <c r="AP27" t="s">
        <v>717</v>
      </c>
      <c r="AQ27" t="s">
        <v>74</v>
      </c>
      <c r="AR27" t="s">
        <v>718</v>
      </c>
      <c r="AS27" t="s">
        <v>719</v>
      </c>
      <c r="AT27" t="s">
        <v>428</v>
      </c>
      <c r="AU27">
        <v>2022</v>
      </c>
      <c r="AV27">
        <v>62</v>
      </c>
      <c r="AW27">
        <v>5</v>
      </c>
      <c r="AX27" t="s">
        <v>74</v>
      </c>
      <c r="AY27" t="s">
        <v>74</v>
      </c>
      <c r="AZ27" t="s">
        <v>74</v>
      </c>
      <c r="BA27" t="s">
        <v>74</v>
      </c>
      <c r="BB27">
        <v>709</v>
      </c>
      <c r="BC27">
        <v>720</v>
      </c>
      <c r="BD27" t="s">
        <v>74</v>
      </c>
      <c r="BE27" t="s">
        <v>720</v>
      </c>
      <c r="BF27" t="str">
        <f>HYPERLINK("http://dx.doi.org/10.1134/S0001437022050034","http://dx.doi.org/10.1134/S0001437022050034")</f>
        <v>http://dx.doi.org/10.1134/S0001437022050034</v>
      </c>
      <c r="BG27" t="s">
        <v>74</v>
      </c>
      <c r="BH27" t="s">
        <v>74</v>
      </c>
      <c r="BI27">
        <v>12</v>
      </c>
      <c r="BJ27" t="s">
        <v>674</v>
      </c>
      <c r="BK27" t="s">
        <v>100</v>
      </c>
      <c r="BL27" t="s">
        <v>674</v>
      </c>
      <c r="BM27" t="s">
        <v>721</v>
      </c>
      <c r="BN27" t="s">
        <v>74</v>
      </c>
      <c r="BO27" t="s">
        <v>74</v>
      </c>
      <c r="BP27" t="s">
        <v>74</v>
      </c>
      <c r="BQ27" t="s">
        <v>74</v>
      </c>
      <c r="BR27" t="s">
        <v>103</v>
      </c>
      <c r="BS27" t="s">
        <v>722</v>
      </c>
      <c r="BT27" t="str">
        <f>HYPERLINK("https%3A%2F%2Fwww.webofscience.com%2Fwos%2Fwoscc%2Ffull-record%2FWOS:000879784900011","View Full Record in Web of Science")</f>
        <v>View Full Record in Web of Science</v>
      </c>
    </row>
    <row r="28" spans="1:72" x14ac:dyDescent="0.15">
      <c r="A28" t="s">
        <v>72</v>
      </c>
      <c r="B28" t="s">
        <v>723</v>
      </c>
      <c r="C28" t="s">
        <v>74</v>
      </c>
      <c r="D28" t="s">
        <v>74</v>
      </c>
      <c r="E28" t="s">
        <v>74</v>
      </c>
      <c r="F28" t="s">
        <v>724</v>
      </c>
      <c r="G28" t="s">
        <v>74</v>
      </c>
      <c r="H28" t="s">
        <v>74</v>
      </c>
      <c r="I28" t="s">
        <v>725</v>
      </c>
      <c r="J28" t="s">
        <v>703</v>
      </c>
      <c r="K28" t="s">
        <v>74</v>
      </c>
      <c r="L28" t="s">
        <v>74</v>
      </c>
      <c r="M28" t="s">
        <v>78</v>
      </c>
      <c r="N28" t="s">
        <v>79</v>
      </c>
      <c r="O28" t="s">
        <v>74</v>
      </c>
      <c r="P28" t="s">
        <v>74</v>
      </c>
      <c r="Q28" t="s">
        <v>74</v>
      </c>
      <c r="R28" t="s">
        <v>74</v>
      </c>
      <c r="S28" t="s">
        <v>74</v>
      </c>
      <c r="T28" t="s">
        <v>726</v>
      </c>
      <c r="U28" t="s">
        <v>74</v>
      </c>
      <c r="V28" t="s">
        <v>727</v>
      </c>
      <c r="W28" t="s">
        <v>728</v>
      </c>
      <c r="X28" t="s">
        <v>729</v>
      </c>
      <c r="Y28" t="s">
        <v>730</v>
      </c>
      <c r="Z28" t="s">
        <v>595</v>
      </c>
      <c r="AA28" t="s">
        <v>731</v>
      </c>
      <c r="AB28" t="s">
        <v>732</v>
      </c>
      <c r="AC28" t="s">
        <v>733</v>
      </c>
      <c r="AD28" t="s">
        <v>734</v>
      </c>
      <c r="AE28" t="s">
        <v>735</v>
      </c>
      <c r="AF28" t="s">
        <v>74</v>
      </c>
      <c r="AG28">
        <v>3</v>
      </c>
      <c r="AH28">
        <v>10</v>
      </c>
      <c r="AI28">
        <v>10</v>
      </c>
      <c r="AJ28">
        <v>1</v>
      </c>
      <c r="AK28">
        <v>1</v>
      </c>
      <c r="AL28" t="s">
        <v>449</v>
      </c>
      <c r="AM28" t="s">
        <v>450</v>
      </c>
      <c r="AN28" t="s">
        <v>451</v>
      </c>
      <c r="AO28" t="s">
        <v>716</v>
      </c>
      <c r="AP28" t="s">
        <v>717</v>
      </c>
      <c r="AQ28" t="s">
        <v>74</v>
      </c>
      <c r="AR28" t="s">
        <v>718</v>
      </c>
      <c r="AS28" t="s">
        <v>719</v>
      </c>
      <c r="AT28" t="s">
        <v>428</v>
      </c>
      <c r="AU28">
        <v>2022</v>
      </c>
      <c r="AV28">
        <v>62</v>
      </c>
      <c r="AW28">
        <v>5</v>
      </c>
      <c r="AX28" t="s">
        <v>74</v>
      </c>
      <c r="AY28" t="s">
        <v>74</v>
      </c>
      <c r="AZ28" t="s">
        <v>74</v>
      </c>
      <c r="BA28" t="s">
        <v>74</v>
      </c>
      <c r="BB28">
        <v>721</v>
      </c>
      <c r="BC28">
        <v>723</v>
      </c>
      <c r="BD28" t="s">
        <v>74</v>
      </c>
      <c r="BE28" t="s">
        <v>736</v>
      </c>
      <c r="BF28" t="str">
        <f>HYPERLINK("http://dx.doi.org/10.1134/S0001437022050150","http://dx.doi.org/10.1134/S0001437022050150")</f>
        <v>http://dx.doi.org/10.1134/S0001437022050150</v>
      </c>
      <c r="BG28" t="s">
        <v>74</v>
      </c>
      <c r="BH28" t="s">
        <v>74</v>
      </c>
      <c r="BI28">
        <v>3</v>
      </c>
      <c r="BJ28" t="s">
        <v>674</v>
      </c>
      <c r="BK28" t="s">
        <v>100</v>
      </c>
      <c r="BL28" t="s">
        <v>674</v>
      </c>
      <c r="BM28" t="s">
        <v>721</v>
      </c>
      <c r="BN28" t="s">
        <v>74</v>
      </c>
      <c r="BO28" t="s">
        <v>74</v>
      </c>
      <c r="BP28" t="s">
        <v>74</v>
      </c>
      <c r="BQ28" t="s">
        <v>74</v>
      </c>
      <c r="BR28" t="s">
        <v>103</v>
      </c>
      <c r="BS28" t="s">
        <v>737</v>
      </c>
      <c r="BT28" t="str">
        <f>HYPERLINK("https%3A%2F%2Fwww.webofscience.com%2Fwos%2Fwoscc%2Ffull-record%2FWOS:000879784900012","View Full Record in Web of Science")</f>
        <v>View Full Record in Web of Science</v>
      </c>
    </row>
    <row r="29" spans="1:72" x14ac:dyDescent="0.15">
      <c r="A29" t="s">
        <v>72</v>
      </c>
      <c r="B29" t="s">
        <v>738</v>
      </c>
      <c r="C29" t="s">
        <v>74</v>
      </c>
      <c r="D29" t="s">
        <v>74</v>
      </c>
      <c r="E29" t="s">
        <v>74</v>
      </c>
      <c r="F29" t="s">
        <v>739</v>
      </c>
      <c r="G29" t="s">
        <v>74</v>
      </c>
      <c r="H29" t="s">
        <v>74</v>
      </c>
      <c r="I29" t="s">
        <v>740</v>
      </c>
      <c r="J29" t="s">
        <v>741</v>
      </c>
      <c r="K29" t="s">
        <v>74</v>
      </c>
      <c r="L29" t="s">
        <v>74</v>
      </c>
      <c r="M29" t="s">
        <v>78</v>
      </c>
      <c r="N29" t="s">
        <v>79</v>
      </c>
      <c r="O29" t="s">
        <v>74</v>
      </c>
      <c r="P29" t="s">
        <v>74</v>
      </c>
      <c r="Q29" t="s">
        <v>74</v>
      </c>
      <c r="R29" t="s">
        <v>74</v>
      </c>
      <c r="S29" t="s">
        <v>74</v>
      </c>
      <c r="T29" t="s">
        <v>742</v>
      </c>
      <c r="U29" t="s">
        <v>743</v>
      </c>
      <c r="V29" t="s">
        <v>744</v>
      </c>
      <c r="W29" t="s">
        <v>745</v>
      </c>
      <c r="X29" t="s">
        <v>746</v>
      </c>
      <c r="Y29" t="s">
        <v>747</v>
      </c>
      <c r="Z29" t="s">
        <v>748</v>
      </c>
      <c r="AA29" t="s">
        <v>749</v>
      </c>
      <c r="AB29" t="s">
        <v>750</v>
      </c>
      <c r="AC29" t="s">
        <v>751</v>
      </c>
      <c r="AD29" t="s">
        <v>752</v>
      </c>
      <c r="AE29" t="s">
        <v>753</v>
      </c>
      <c r="AF29" t="s">
        <v>74</v>
      </c>
      <c r="AG29">
        <v>110</v>
      </c>
      <c r="AH29">
        <v>3</v>
      </c>
      <c r="AI29">
        <v>4</v>
      </c>
      <c r="AJ29">
        <v>3</v>
      </c>
      <c r="AK29">
        <v>11</v>
      </c>
      <c r="AL29" t="s">
        <v>754</v>
      </c>
      <c r="AM29" t="s">
        <v>755</v>
      </c>
      <c r="AN29" t="s">
        <v>756</v>
      </c>
      <c r="AO29" t="s">
        <v>74</v>
      </c>
      <c r="AP29" t="s">
        <v>757</v>
      </c>
      <c r="AQ29" t="s">
        <v>74</v>
      </c>
      <c r="AR29" t="s">
        <v>741</v>
      </c>
      <c r="AS29" t="s">
        <v>758</v>
      </c>
      <c r="AT29" t="s">
        <v>428</v>
      </c>
      <c r="AU29">
        <v>2022</v>
      </c>
      <c r="AV29">
        <v>11</v>
      </c>
      <c r="AW29">
        <v>10</v>
      </c>
      <c r="AX29" t="s">
        <v>74</v>
      </c>
      <c r="AY29" t="s">
        <v>74</v>
      </c>
      <c r="AZ29" t="s">
        <v>74</v>
      </c>
      <c r="BA29" t="s">
        <v>74</v>
      </c>
      <c r="BB29" t="s">
        <v>74</v>
      </c>
      <c r="BC29" t="s">
        <v>74</v>
      </c>
      <c r="BD29">
        <v>1440</v>
      </c>
      <c r="BE29" t="s">
        <v>759</v>
      </c>
      <c r="BF29" t="str">
        <f>HYPERLINK("http://dx.doi.org/10.3390/biology11101440","http://dx.doi.org/10.3390/biology11101440")</f>
        <v>http://dx.doi.org/10.3390/biology11101440</v>
      </c>
      <c r="BG29" t="s">
        <v>74</v>
      </c>
      <c r="BH29" t="s">
        <v>74</v>
      </c>
      <c r="BI29">
        <v>24</v>
      </c>
      <c r="BJ29" t="s">
        <v>760</v>
      </c>
      <c r="BK29" t="s">
        <v>100</v>
      </c>
      <c r="BL29" t="s">
        <v>761</v>
      </c>
      <c r="BM29" t="s">
        <v>762</v>
      </c>
      <c r="BN29">
        <v>36290344</v>
      </c>
      <c r="BO29" t="s">
        <v>763</v>
      </c>
      <c r="BP29" t="s">
        <v>74</v>
      </c>
      <c r="BQ29" t="s">
        <v>74</v>
      </c>
      <c r="BR29" t="s">
        <v>103</v>
      </c>
      <c r="BS29" t="s">
        <v>764</v>
      </c>
      <c r="BT29" t="str">
        <f>HYPERLINK("https%3A%2F%2Fwww.webofscience.com%2Fwos%2Fwoscc%2Ffull-record%2FWOS:000872183000001","View Full Record in Web of Science")</f>
        <v>View Full Record in Web of Science</v>
      </c>
    </row>
    <row r="30" spans="1:72" x14ac:dyDescent="0.15">
      <c r="A30" t="s">
        <v>72</v>
      </c>
      <c r="B30" t="s">
        <v>765</v>
      </c>
      <c r="C30" t="s">
        <v>74</v>
      </c>
      <c r="D30" t="s">
        <v>74</v>
      </c>
      <c r="E30" t="s">
        <v>74</v>
      </c>
      <c r="F30" t="s">
        <v>766</v>
      </c>
      <c r="G30" t="s">
        <v>74</v>
      </c>
      <c r="H30" t="s">
        <v>74</v>
      </c>
      <c r="I30" t="s">
        <v>767</v>
      </c>
      <c r="J30" t="s">
        <v>768</v>
      </c>
      <c r="K30" t="s">
        <v>74</v>
      </c>
      <c r="L30" t="s">
        <v>74</v>
      </c>
      <c r="M30" t="s">
        <v>78</v>
      </c>
      <c r="N30" t="s">
        <v>165</v>
      </c>
      <c r="O30" t="s">
        <v>74</v>
      </c>
      <c r="P30" t="s">
        <v>74</v>
      </c>
      <c r="Q30" t="s">
        <v>74</v>
      </c>
      <c r="R30" t="s">
        <v>74</v>
      </c>
      <c r="S30" t="s">
        <v>74</v>
      </c>
      <c r="T30" t="s">
        <v>769</v>
      </c>
      <c r="U30" t="s">
        <v>770</v>
      </c>
      <c r="V30" t="s">
        <v>771</v>
      </c>
      <c r="W30" t="s">
        <v>772</v>
      </c>
      <c r="X30" t="s">
        <v>773</v>
      </c>
      <c r="Y30" t="s">
        <v>774</v>
      </c>
      <c r="Z30" t="s">
        <v>775</v>
      </c>
      <c r="AA30" t="s">
        <v>776</v>
      </c>
      <c r="AB30" t="s">
        <v>777</v>
      </c>
      <c r="AC30" t="s">
        <v>778</v>
      </c>
      <c r="AD30" t="s">
        <v>779</v>
      </c>
      <c r="AE30" t="s">
        <v>780</v>
      </c>
      <c r="AF30" t="s">
        <v>74</v>
      </c>
      <c r="AG30">
        <v>82</v>
      </c>
      <c r="AH30">
        <v>2</v>
      </c>
      <c r="AI30">
        <v>2</v>
      </c>
      <c r="AJ30">
        <v>5</v>
      </c>
      <c r="AK30">
        <v>26</v>
      </c>
      <c r="AL30" t="s">
        <v>754</v>
      </c>
      <c r="AM30" t="s">
        <v>755</v>
      </c>
      <c r="AN30" t="s">
        <v>756</v>
      </c>
      <c r="AO30" t="s">
        <v>74</v>
      </c>
      <c r="AP30" t="s">
        <v>781</v>
      </c>
      <c r="AQ30" t="s">
        <v>74</v>
      </c>
      <c r="AR30" t="s">
        <v>768</v>
      </c>
      <c r="AS30" t="s">
        <v>782</v>
      </c>
      <c r="AT30" t="s">
        <v>428</v>
      </c>
      <c r="AU30">
        <v>2022</v>
      </c>
      <c r="AV30">
        <v>14</v>
      </c>
      <c r="AW30">
        <v>20</v>
      </c>
      <c r="AX30" t="s">
        <v>74</v>
      </c>
      <c r="AY30" t="s">
        <v>74</v>
      </c>
      <c r="AZ30" t="s">
        <v>74</v>
      </c>
      <c r="BA30" t="s">
        <v>74</v>
      </c>
      <c r="BB30" t="s">
        <v>74</v>
      </c>
      <c r="BC30" t="s">
        <v>74</v>
      </c>
      <c r="BD30">
        <v>4275</v>
      </c>
      <c r="BE30" t="s">
        <v>783</v>
      </c>
      <c r="BF30" t="str">
        <f>HYPERLINK("http://dx.doi.org/10.3390/nu14204275","http://dx.doi.org/10.3390/nu14204275")</f>
        <v>http://dx.doi.org/10.3390/nu14204275</v>
      </c>
      <c r="BG30" t="s">
        <v>74</v>
      </c>
      <c r="BH30" t="s">
        <v>74</v>
      </c>
      <c r="BI30">
        <v>19</v>
      </c>
      <c r="BJ30" t="s">
        <v>784</v>
      </c>
      <c r="BK30" t="s">
        <v>100</v>
      </c>
      <c r="BL30" t="s">
        <v>784</v>
      </c>
      <c r="BM30" t="s">
        <v>785</v>
      </c>
      <c r="BN30">
        <v>36296965</v>
      </c>
      <c r="BO30" t="s">
        <v>132</v>
      </c>
      <c r="BP30" t="s">
        <v>74</v>
      </c>
      <c r="BQ30" t="s">
        <v>74</v>
      </c>
      <c r="BR30" t="s">
        <v>103</v>
      </c>
      <c r="BS30" t="s">
        <v>786</v>
      </c>
      <c r="BT30" t="str">
        <f>HYPERLINK("https%3A%2F%2Fwww.webofscience.com%2Fwos%2Fwoscc%2Ffull-record%2FWOS:000875958400001","View Full Record in Web of Science")</f>
        <v>View Full Record in Web of Science</v>
      </c>
    </row>
    <row r="31" spans="1:72" x14ac:dyDescent="0.15">
      <c r="A31" t="s">
        <v>72</v>
      </c>
      <c r="B31" t="s">
        <v>787</v>
      </c>
      <c r="C31" t="s">
        <v>74</v>
      </c>
      <c r="D31" t="s">
        <v>74</v>
      </c>
      <c r="E31" t="s">
        <v>74</v>
      </c>
      <c r="F31" t="s">
        <v>788</v>
      </c>
      <c r="G31" t="s">
        <v>74</v>
      </c>
      <c r="H31" t="s">
        <v>74</v>
      </c>
      <c r="I31" t="s">
        <v>789</v>
      </c>
      <c r="J31" t="s">
        <v>790</v>
      </c>
      <c r="K31" t="s">
        <v>74</v>
      </c>
      <c r="L31" t="s">
        <v>74</v>
      </c>
      <c r="M31" t="s">
        <v>78</v>
      </c>
      <c r="N31" t="s">
        <v>79</v>
      </c>
      <c r="O31" t="s">
        <v>74</v>
      </c>
      <c r="P31" t="s">
        <v>74</v>
      </c>
      <c r="Q31" t="s">
        <v>74</v>
      </c>
      <c r="R31" t="s">
        <v>74</v>
      </c>
      <c r="S31" t="s">
        <v>74</v>
      </c>
      <c r="T31" t="s">
        <v>791</v>
      </c>
      <c r="U31" t="s">
        <v>792</v>
      </c>
      <c r="V31" t="s">
        <v>793</v>
      </c>
      <c r="W31" t="s">
        <v>794</v>
      </c>
      <c r="X31" t="s">
        <v>795</v>
      </c>
      <c r="Y31" t="s">
        <v>796</v>
      </c>
      <c r="Z31" t="s">
        <v>797</v>
      </c>
      <c r="AA31" t="s">
        <v>798</v>
      </c>
      <c r="AB31" t="s">
        <v>799</v>
      </c>
      <c r="AC31" t="s">
        <v>800</v>
      </c>
      <c r="AD31" t="s">
        <v>801</v>
      </c>
      <c r="AE31" t="s">
        <v>802</v>
      </c>
      <c r="AF31" t="s">
        <v>74</v>
      </c>
      <c r="AG31">
        <v>118</v>
      </c>
      <c r="AH31">
        <v>3</v>
      </c>
      <c r="AI31">
        <v>3</v>
      </c>
      <c r="AJ31">
        <v>2</v>
      </c>
      <c r="AK31">
        <v>4</v>
      </c>
      <c r="AL31" t="s">
        <v>754</v>
      </c>
      <c r="AM31" t="s">
        <v>755</v>
      </c>
      <c r="AN31" t="s">
        <v>756</v>
      </c>
      <c r="AO31" t="s">
        <v>74</v>
      </c>
      <c r="AP31" t="s">
        <v>803</v>
      </c>
      <c r="AQ31" t="s">
        <v>74</v>
      </c>
      <c r="AR31" t="s">
        <v>790</v>
      </c>
      <c r="AS31" t="s">
        <v>804</v>
      </c>
      <c r="AT31" t="s">
        <v>428</v>
      </c>
      <c r="AU31">
        <v>2022</v>
      </c>
      <c r="AV31">
        <v>10</v>
      </c>
      <c r="AW31">
        <v>10</v>
      </c>
      <c r="AX31" t="s">
        <v>74</v>
      </c>
      <c r="AY31" t="s">
        <v>74</v>
      </c>
      <c r="AZ31" t="s">
        <v>74</v>
      </c>
      <c r="BA31" t="s">
        <v>74</v>
      </c>
      <c r="BB31" t="s">
        <v>74</v>
      </c>
      <c r="BC31" t="s">
        <v>74</v>
      </c>
      <c r="BD31">
        <v>1967</v>
      </c>
      <c r="BE31" t="s">
        <v>805</v>
      </c>
      <c r="BF31" t="str">
        <f>HYPERLINK("http://dx.doi.org/10.3390/microorganisms10101967","http://dx.doi.org/10.3390/microorganisms10101967")</f>
        <v>http://dx.doi.org/10.3390/microorganisms10101967</v>
      </c>
      <c r="BG31" t="s">
        <v>74</v>
      </c>
      <c r="BH31" t="s">
        <v>74</v>
      </c>
      <c r="BI31">
        <v>19</v>
      </c>
      <c r="BJ31" t="s">
        <v>214</v>
      </c>
      <c r="BK31" t="s">
        <v>100</v>
      </c>
      <c r="BL31" t="s">
        <v>214</v>
      </c>
      <c r="BM31" t="s">
        <v>806</v>
      </c>
      <c r="BN31">
        <v>36296243</v>
      </c>
      <c r="BO31" t="s">
        <v>132</v>
      </c>
      <c r="BP31" t="s">
        <v>74</v>
      </c>
      <c r="BQ31" t="s">
        <v>74</v>
      </c>
      <c r="BR31" t="s">
        <v>103</v>
      </c>
      <c r="BS31" t="s">
        <v>807</v>
      </c>
      <c r="BT31" t="str">
        <f>HYPERLINK("https%3A%2F%2Fwww.webofscience.com%2Fwos%2Fwoscc%2Ffull-record%2FWOS:000872829900001","View Full Record in Web of Science")</f>
        <v>View Full Record in Web of Science</v>
      </c>
    </row>
    <row r="32" spans="1:72" x14ac:dyDescent="0.15">
      <c r="A32" t="s">
        <v>72</v>
      </c>
      <c r="B32" t="s">
        <v>808</v>
      </c>
      <c r="C32" t="s">
        <v>74</v>
      </c>
      <c r="D32" t="s">
        <v>74</v>
      </c>
      <c r="E32" t="s">
        <v>74</v>
      </c>
      <c r="F32" t="s">
        <v>809</v>
      </c>
      <c r="G32" t="s">
        <v>74</v>
      </c>
      <c r="H32" t="s">
        <v>74</v>
      </c>
      <c r="I32" t="s">
        <v>810</v>
      </c>
      <c r="J32" t="s">
        <v>811</v>
      </c>
      <c r="K32" t="s">
        <v>74</v>
      </c>
      <c r="L32" t="s">
        <v>74</v>
      </c>
      <c r="M32" t="s">
        <v>78</v>
      </c>
      <c r="N32" t="s">
        <v>79</v>
      </c>
      <c r="O32" t="s">
        <v>74</v>
      </c>
      <c r="P32" t="s">
        <v>74</v>
      </c>
      <c r="Q32" t="s">
        <v>74</v>
      </c>
      <c r="R32" t="s">
        <v>74</v>
      </c>
      <c r="S32" t="s">
        <v>74</v>
      </c>
      <c r="T32" t="s">
        <v>812</v>
      </c>
      <c r="U32" t="s">
        <v>813</v>
      </c>
      <c r="V32" t="s">
        <v>814</v>
      </c>
      <c r="W32" t="s">
        <v>815</v>
      </c>
      <c r="X32" t="s">
        <v>816</v>
      </c>
      <c r="Y32" t="s">
        <v>817</v>
      </c>
      <c r="Z32" t="s">
        <v>818</v>
      </c>
      <c r="AA32" t="s">
        <v>819</v>
      </c>
      <c r="AB32" t="s">
        <v>820</v>
      </c>
      <c r="AC32" t="s">
        <v>74</v>
      </c>
      <c r="AD32" t="s">
        <v>74</v>
      </c>
      <c r="AE32" t="s">
        <v>74</v>
      </c>
      <c r="AF32" t="s">
        <v>74</v>
      </c>
      <c r="AG32">
        <v>48</v>
      </c>
      <c r="AH32">
        <v>3</v>
      </c>
      <c r="AI32">
        <v>3</v>
      </c>
      <c r="AJ32">
        <v>2</v>
      </c>
      <c r="AK32">
        <v>9</v>
      </c>
      <c r="AL32" t="s">
        <v>345</v>
      </c>
      <c r="AM32" t="s">
        <v>450</v>
      </c>
      <c r="AN32" t="s">
        <v>821</v>
      </c>
      <c r="AO32" t="s">
        <v>822</v>
      </c>
      <c r="AP32" t="s">
        <v>823</v>
      </c>
      <c r="AQ32" t="s">
        <v>74</v>
      </c>
      <c r="AR32" t="s">
        <v>824</v>
      </c>
      <c r="AS32" t="s">
        <v>825</v>
      </c>
      <c r="AT32" t="s">
        <v>428</v>
      </c>
      <c r="AU32">
        <v>2022</v>
      </c>
      <c r="AV32">
        <v>34</v>
      </c>
      <c r="AW32">
        <v>5</v>
      </c>
      <c r="AX32" t="s">
        <v>74</v>
      </c>
      <c r="AY32" t="s">
        <v>74</v>
      </c>
      <c r="AZ32" t="s">
        <v>74</v>
      </c>
      <c r="BA32" t="s">
        <v>74</v>
      </c>
      <c r="BB32">
        <v>374</v>
      </c>
      <c r="BC32">
        <v>388</v>
      </c>
      <c r="BD32" t="s">
        <v>826</v>
      </c>
      <c r="BE32" t="s">
        <v>827</v>
      </c>
      <c r="BF32" t="str">
        <f>HYPERLINK("http://dx.doi.org/10.1017/S095410202200030X","http://dx.doi.org/10.1017/S095410202200030X")</f>
        <v>http://dx.doi.org/10.1017/S095410202200030X</v>
      </c>
      <c r="BG32" t="s">
        <v>74</v>
      </c>
      <c r="BH32" t="s">
        <v>74</v>
      </c>
      <c r="BI32">
        <v>15</v>
      </c>
      <c r="BJ32" t="s">
        <v>828</v>
      </c>
      <c r="BK32" t="s">
        <v>100</v>
      </c>
      <c r="BL32" t="s">
        <v>829</v>
      </c>
      <c r="BM32" t="s">
        <v>830</v>
      </c>
      <c r="BN32" t="s">
        <v>74</v>
      </c>
      <c r="BO32" t="s">
        <v>831</v>
      </c>
      <c r="BP32" t="s">
        <v>74</v>
      </c>
      <c r="BQ32" t="s">
        <v>74</v>
      </c>
      <c r="BR32" t="s">
        <v>103</v>
      </c>
      <c r="BS32" t="s">
        <v>832</v>
      </c>
      <c r="BT32" t="str">
        <f>HYPERLINK("https%3A%2F%2Fwww.webofscience.com%2Fwos%2Fwoscc%2Ffull-record%2FWOS:000876984000006","View Full Record in Web of Science")</f>
        <v>View Full Record in Web of Science</v>
      </c>
    </row>
    <row r="33" spans="1:72" x14ac:dyDescent="0.15">
      <c r="A33" t="s">
        <v>72</v>
      </c>
      <c r="B33" t="s">
        <v>833</v>
      </c>
      <c r="C33" t="s">
        <v>74</v>
      </c>
      <c r="D33" t="s">
        <v>74</v>
      </c>
      <c r="E33" t="s">
        <v>74</v>
      </c>
      <c r="F33" t="s">
        <v>834</v>
      </c>
      <c r="G33" t="s">
        <v>74</v>
      </c>
      <c r="H33" t="s">
        <v>74</v>
      </c>
      <c r="I33" t="s">
        <v>835</v>
      </c>
      <c r="J33" t="s">
        <v>811</v>
      </c>
      <c r="K33" t="s">
        <v>74</v>
      </c>
      <c r="L33" t="s">
        <v>74</v>
      </c>
      <c r="M33" t="s">
        <v>78</v>
      </c>
      <c r="N33" t="s">
        <v>79</v>
      </c>
      <c r="O33" t="s">
        <v>74</v>
      </c>
      <c r="P33" t="s">
        <v>74</v>
      </c>
      <c r="Q33" t="s">
        <v>74</v>
      </c>
      <c r="R33" t="s">
        <v>74</v>
      </c>
      <c r="S33" t="s">
        <v>74</v>
      </c>
      <c r="T33" t="s">
        <v>836</v>
      </c>
      <c r="U33" t="s">
        <v>837</v>
      </c>
      <c r="V33" t="s">
        <v>838</v>
      </c>
      <c r="W33" t="s">
        <v>839</v>
      </c>
      <c r="X33" t="s">
        <v>840</v>
      </c>
      <c r="Y33" t="s">
        <v>841</v>
      </c>
      <c r="Z33" t="s">
        <v>842</v>
      </c>
      <c r="AA33" t="s">
        <v>843</v>
      </c>
      <c r="AB33" t="s">
        <v>844</v>
      </c>
      <c r="AC33" t="s">
        <v>845</v>
      </c>
      <c r="AD33" t="s">
        <v>846</v>
      </c>
      <c r="AE33" t="s">
        <v>847</v>
      </c>
      <c r="AF33" t="s">
        <v>74</v>
      </c>
      <c r="AG33">
        <v>50</v>
      </c>
      <c r="AH33">
        <v>2</v>
      </c>
      <c r="AI33">
        <v>2</v>
      </c>
      <c r="AJ33">
        <v>1</v>
      </c>
      <c r="AK33">
        <v>10</v>
      </c>
      <c r="AL33" t="s">
        <v>345</v>
      </c>
      <c r="AM33" t="s">
        <v>450</v>
      </c>
      <c r="AN33" t="s">
        <v>821</v>
      </c>
      <c r="AO33" t="s">
        <v>822</v>
      </c>
      <c r="AP33" t="s">
        <v>823</v>
      </c>
      <c r="AQ33" t="s">
        <v>74</v>
      </c>
      <c r="AR33" t="s">
        <v>824</v>
      </c>
      <c r="AS33" t="s">
        <v>825</v>
      </c>
      <c r="AT33" t="s">
        <v>428</v>
      </c>
      <c r="AU33">
        <v>2022</v>
      </c>
      <c r="AV33">
        <v>34</v>
      </c>
      <c r="AW33">
        <v>5</v>
      </c>
      <c r="AX33" t="s">
        <v>74</v>
      </c>
      <c r="AY33" t="s">
        <v>74</v>
      </c>
      <c r="AZ33" t="s">
        <v>74</v>
      </c>
      <c r="BA33" t="s">
        <v>74</v>
      </c>
      <c r="BB33">
        <v>389</v>
      </c>
      <c r="BC33">
        <v>400</v>
      </c>
      <c r="BD33" t="s">
        <v>848</v>
      </c>
      <c r="BE33" t="s">
        <v>849</v>
      </c>
      <c r="BF33" t="str">
        <f>HYPERLINK("http://dx.doi.org/10.1017/S0954102022000335","http://dx.doi.org/10.1017/S0954102022000335")</f>
        <v>http://dx.doi.org/10.1017/S0954102022000335</v>
      </c>
      <c r="BG33" t="s">
        <v>74</v>
      </c>
      <c r="BH33" t="s">
        <v>74</v>
      </c>
      <c r="BI33">
        <v>12</v>
      </c>
      <c r="BJ33" t="s">
        <v>828</v>
      </c>
      <c r="BK33" t="s">
        <v>100</v>
      </c>
      <c r="BL33" t="s">
        <v>829</v>
      </c>
      <c r="BM33" t="s">
        <v>830</v>
      </c>
      <c r="BN33" t="s">
        <v>74</v>
      </c>
      <c r="BO33" t="s">
        <v>74</v>
      </c>
      <c r="BP33" t="s">
        <v>74</v>
      </c>
      <c r="BQ33" t="s">
        <v>74</v>
      </c>
      <c r="BR33" t="s">
        <v>103</v>
      </c>
      <c r="BS33" t="s">
        <v>850</v>
      </c>
      <c r="BT33" t="str">
        <f>HYPERLINK("https%3A%2F%2Fwww.webofscience.com%2Fwos%2Fwoscc%2Ffull-record%2FWOS:000876984000007","View Full Record in Web of Science")</f>
        <v>View Full Record in Web of Science</v>
      </c>
    </row>
    <row r="34" spans="1:72" x14ac:dyDescent="0.15">
      <c r="A34" t="s">
        <v>72</v>
      </c>
      <c r="B34" t="s">
        <v>851</v>
      </c>
      <c r="C34" t="s">
        <v>74</v>
      </c>
      <c r="D34" t="s">
        <v>74</v>
      </c>
      <c r="E34" t="s">
        <v>74</v>
      </c>
      <c r="F34" t="s">
        <v>852</v>
      </c>
      <c r="G34" t="s">
        <v>74</v>
      </c>
      <c r="H34" t="s">
        <v>74</v>
      </c>
      <c r="I34" t="s">
        <v>853</v>
      </c>
      <c r="J34" t="s">
        <v>811</v>
      </c>
      <c r="K34" t="s">
        <v>74</v>
      </c>
      <c r="L34" t="s">
        <v>74</v>
      </c>
      <c r="M34" t="s">
        <v>78</v>
      </c>
      <c r="N34" t="s">
        <v>854</v>
      </c>
      <c r="O34" t="s">
        <v>74</v>
      </c>
      <c r="P34" t="s">
        <v>74</v>
      </c>
      <c r="Q34" t="s">
        <v>74</v>
      </c>
      <c r="R34" t="s">
        <v>74</v>
      </c>
      <c r="S34" t="s">
        <v>74</v>
      </c>
      <c r="T34" t="s">
        <v>74</v>
      </c>
      <c r="U34" t="s">
        <v>74</v>
      </c>
      <c r="V34" t="s">
        <v>74</v>
      </c>
      <c r="W34" t="s">
        <v>855</v>
      </c>
      <c r="X34" t="s">
        <v>856</v>
      </c>
      <c r="Y34" t="s">
        <v>857</v>
      </c>
      <c r="Z34" t="s">
        <v>858</v>
      </c>
      <c r="AA34" t="s">
        <v>74</v>
      </c>
      <c r="AB34" t="s">
        <v>859</v>
      </c>
      <c r="AC34" t="s">
        <v>74</v>
      </c>
      <c r="AD34" t="s">
        <v>74</v>
      </c>
      <c r="AE34" t="s">
        <v>74</v>
      </c>
      <c r="AF34" t="s">
        <v>74</v>
      </c>
      <c r="AG34">
        <v>1</v>
      </c>
      <c r="AH34">
        <v>0</v>
      </c>
      <c r="AI34">
        <v>0</v>
      </c>
      <c r="AJ34">
        <v>0</v>
      </c>
      <c r="AK34">
        <v>0</v>
      </c>
      <c r="AL34" t="s">
        <v>345</v>
      </c>
      <c r="AM34" t="s">
        <v>450</v>
      </c>
      <c r="AN34" t="s">
        <v>821</v>
      </c>
      <c r="AO34" t="s">
        <v>822</v>
      </c>
      <c r="AP34" t="s">
        <v>823</v>
      </c>
      <c r="AQ34" t="s">
        <v>74</v>
      </c>
      <c r="AR34" t="s">
        <v>824</v>
      </c>
      <c r="AS34" t="s">
        <v>825</v>
      </c>
      <c r="AT34" t="s">
        <v>428</v>
      </c>
      <c r="AU34">
        <v>2022</v>
      </c>
      <c r="AV34">
        <v>34</v>
      </c>
      <c r="AW34">
        <v>5</v>
      </c>
      <c r="AX34" t="s">
        <v>74</v>
      </c>
      <c r="AY34" t="s">
        <v>74</v>
      </c>
      <c r="AZ34" t="s">
        <v>74</v>
      </c>
      <c r="BA34" t="s">
        <v>74</v>
      </c>
      <c r="BB34">
        <v>401</v>
      </c>
      <c r="BC34">
        <v>402</v>
      </c>
      <c r="BD34" t="s">
        <v>74</v>
      </c>
      <c r="BE34" t="s">
        <v>860</v>
      </c>
      <c r="BF34" t="str">
        <f>HYPERLINK("http://dx.doi.org/10.1017/S0954102022000311","http://dx.doi.org/10.1017/S0954102022000311")</f>
        <v>http://dx.doi.org/10.1017/S0954102022000311</v>
      </c>
      <c r="BG34" t="s">
        <v>74</v>
      </c>
      <c r="BH34" t="s">
        <v>74</v>
      </c>
      <c r="BI34">
        <v>2</v>
      </c>
      <c r="BJ34" t="s">
        <v>828</v>
      </c>
      <c r="BK34" t="s">
        <v>100</v>
      </c>
      <c r="BL34" t="s">
        <v>829</v>
      </c>
      <c r="BM34" t="s">
        <v>830</v>
      </c>
      <c r="BN34" t="s">
        <v>74</v>
      </c>
      <c r="BO34" t="s">
        <v>74</v>
      </c>
      <c r="BP34" t="s">
        <v>74</v>
      </c>
      <c r="BQ34" t="s">
        <v>74</v>
      </c>
      <c r="BR34" t="s">
        <v>103</v>
      </c>
      <c r="BS34" t="s">
        <v>861</v>
      </c>
      <c r="BT34" t="str">
        <f>HYPERLINK("https%3A%2F%2Fwww.webofscience.com%2Fwos%2Fwoscc%2Ffull-record%2FWOS:000876984000008","View Full Record in Web of Science")</f>
        <v>View Full Record in Web of Science</v>
      </c>
    </row>
    <row r="35" spans="1:72" x14ac:dyDescent="0.15">
      <c r="A35" t="s">
        <v>72</v>
      </c>
      <c r="B35" t="s">
        <v>862</v>
      </c>
      <c r="C35" t="s">
        <v>74</v>
      </c>
      <c r="D35" t="s">
        <v>74</v>
      </c>
      <c r="E35" t="s">
        <v>74</v>
      </c>
      <c r="F35" t="s">
        <v>863</v>
      </c>
      <c r="G35" t="s">
        <v>74</v>
      </c>
      <c r="H35" t="s">
        <v>74</v>
      </c>
      <c r="I35" t="s">
        <v>864</v>
      </c>
      <c r="J35" t="s">
        <v>865</v>
      </c>
      <c r="K35" t="s">
        <v>74</v>
      </c>
      <c r="L35" t="s">
        <v>74</v>
      </c>
      <c r="M35" t="s">
        <v>78</v>
      </c>
      <c r="N35" t="s">
        <v>79</v>
      </c>
      <c r="O35" t="s">
        <v>74</v>
      </c>
      <c r="P35" t="s">
        <v>74</v>
      </c>
      <c r="Q35" t="s">
        <v>74</v>
      </c>
      <c r="R35" t="s">
        <v>74</v>
      </c>
      <c r="S35" t="s">
        <v>74</v>
      </c>
      <c r="T35" t="s">
        <v>866</v>
      </c>
      <c r="U35" t="s">
        <v>867</v>
      </c>
      <c r="V35" t="s">
        <v>868</v>
      </c>
      <c r="W35" t="s">
        <v>869</v>
      </c>
      <c r="X35" t="s">
        <v>870</v>
      </c>
      <c r="Y35" t="s">
        <v>871</v>
      </c>
      <c r="Z35" t="s">
        <v>872</v>
      </c>
      <c r="AA35" t="s">
        <v>873</v>
      </c>
      <c r="AB35" t="s">
        <v>874</v>
      </c>
      <c r="AC35" t="s">
        <v>875</v>
      </c>
      <c r="AD35" t="s">
        <v>876</v>
      </c>
      <c r="AE35" t="s">
        <v>877</v>
      </c>
      <c r="AF35" t="s">
        <v>74</v>
      </c>
      <c r="AG35">
        <v>82</v>
      </c>
      <c r="AH35">
        <v>1</v>
      </c>
      <c r="AI35">
        <v>1</v>
      </c>
      <c r="AJ35">
        <v>1</v>
      </c>
      <c r="AK35">
        <v>5</v>
      </c>
      <c r="AL35" t="s">
        <v>754</v>
      </c>
      <c r="AM35" t="s">
        <v>755</v>
      </c>
      <c r="AN35" t="s">
        <v>756</v>
      </c>
      <c r="AO35" t="s">
        <v>74</v>
      </c>
      <c r="AP35" t="s">
        <v>878</v>
      </c>
      <c r="AQ35" t="s">
        <v>74</v>
      </c>
      <c r="AR35" t="s">
        <v>865</v>
      </c>
      <c r="AS35" t="s">
        <v>879</v>
      </c>
      <c r="AT35" t="s">
        <v>428</v>
      </c>
      <c r="AU35">
        <v>2022</v>
      </c>
      <c r="AV35">
        <v>12</v>
      </c>
      <c r="AW35">
        <v>10</v>
      </c>
      <c r="AX35" t="s">
        <v>74</v>
      </c>
      <c r="AY35" t="s">
        <v>74</v>
      </c>
      <c r="AZ35" t="s">
        <v>74</v>
      </c>
      <c r="BA35" t="s">
        <v>74</v>
      </c>
      <c r="BB35" t="s">
        <v>74</v>
      </c>
      <c r="BC35" t="s">
        <v>74</v>
      </c>
      <c r="BD35">
        <v>1501</v>
      </c>
      <c r="BE35" t="s">
        <v>880</v>
      </c>
      <c r="BF35" t="str">
        <f>HYPERLINK("http://dx.doi.org/10.3390/life12101501","http://dx.doi.org/10.3390/life12101501")</f>
        <v>http://dx.doi.org/10.3390/life12101501</v>
      </c>
      <c r="BG35" t="s">
        <v>74</v>
      </c>
      <c r="BH35" t="s">
        <v>74</v>
      </c>
      <c r="BI35">
        <v>21</v>
      </c>
      <c r="BJ35" t="s">
        <v>881</v>
      </c>
      <c r="BK35" t="s">
        <v>100</v>
      </c>
      <c r="BL35" t="s">
        <v>882</v>
      </c>
      <c r="BM35" t="s">
        <v>883</v>
      </c>
      <c r="BN35">
        <v>36294942</v>
      </c>
      <c r="BO35" t="s">
        <v>884</v>
      </c>
      <c r="BP35" t="s">
        <v>74</v>
      </c>
      <c r="BQ35" t="s">
        <v>74</v>
      </c>
      <c r="BR35" t="s">
        <v>103</v>
      </c>
      <c r="BS35" t="s">
        <v>885</v>
      </c>
      <c r="BT35" t="str">
        <f>HYPERLINK("https%3A%2F%2Fwww.webofscience.com%2Fwos%2Fwoscc%2Ffull-record%2FWOS:000874253400001","View Full Record in Web of Science")</f>
        <v>View Full Record in Web of Science</v>
      </c>
    </row>
    <row r="36" spans="1:72" x14ac:dyDescent="0.15">
      <c r="A36" t="s">
        <v>72</v>
      </c>
      <c r="B36" t="s">
        <v>886</v>
      </c>
      <c r="C36" t="s">
        <v>74</v>
      </c>
      <c r="D36" t="s">
        <v>74</v>
      </c>
      <c r="E36" t="s">
        <v>74</v>
      </c>
      <c r="F36" t="s">
        <v>887</v>
      </c>
      <c r="G36" t="s">
        <v>74</v>
      </c>
      <c r="H36" t="s">
        <v>74</v>
      </c>
      <c r="I36" t="s">
        <v>888</v>
      </c>
      <c r="J36" t="s">
        <v>889</v>
      </c>
      <c r="K36" t="s">
        <v>74</v>
      </c>
      <c r="L36" t="s">
        <v>74</v>
      </c>
      <c r="M36" t="s">
        <v>78</v>
      </c>
      <c r="N36" t="s">
        <v>79</v>
      </c>
      <c r="O36" t="s">
        <v>74</v>
      </c>
      <c r="P36" t="s">
        <v>74</v>
      </c>
      <c r="Q36" t="s">
        <v>74</v>
      </c>
      <c r="R36" t="s">
        <v>74</v>
      </c>
      <c r="S36" t="s">
        <v>74</v>
      </c>
      <c r="T36" t="s">
        <v>890</v>
      </c>
      <c r="U36" t="s">
        <v>891</v>
      </c>
      <c r="V36" t="s">
        <v>892</v>
      </c>
      <c r="W36" t="s">
        <v>893</v>
      </c>
      <c r="X36" t="s">
        <v>894</v>
      </c>
      <c r="Y36" t="s">
        <v>895</v>
      </c>
      <c r="Z36" t="s">
        <v>896</v>
      </c>
      <c r="AA36" t="s">
        <v>897</v>
      </c>
      <c r="AB36" t="s">
        <v>898</v>
      </c>
      <c r="AC36" t="s">
        <v>74</v>
      </c>
      <c r="AD36" t="s">
        <v>74</v>
      </c>
      <c r="AE36" t="s">
        <v>74</v>
      </c>
      <c r="AF36" t="s">
        <v>74</v>
      </c>
      <c r="AG36">
        <v>91</v>
      </c>
      <c r="AH36">
        <v>1</v>
      </c>
      <c r="AI36">
        <v>1</v>
      </c>
      <c r="AJ36">
        <v>0</v>
      </c>
      <c r="AK36">
        <v>5</v>
      </c>
      <c r="AL36" t="s">
        <v>754</v>
      </c>
      <c r="AM36" t="s">
        <v>755</v>
      </c>
      <c r="AN36" t="s">
        <v>756</v>
      </c>
      <c r="AO36" t="s">
        <v>74</v>
      </c>
      <c r="AP36" t="s">
        <v>899</v>
      </c>
      <c r="AQ36" t="s">
        <v>74</v>
      </c>
      <c r="AR36" t="s">
        <v>900</v>
      </c>
      <c r="AS36" t="s">
        <v>901</v>
      </c>
      <c r="AT36" t="s">
        <v>428</v>
      </c>
      <c r="AU36">
        <v>2022</v>
      </c>
      <c r="AV36">
        <v>20</v>
      </c>
      <c r="AW36">
        <v>10</v>
      </c>
      <c r="AX36" t="s">
        <v>74</v>
      </c>
      <c r="AY36" t="s">
        <v>74</v>
      </c>
      <c r="AZ36" t="s">
        <v>74</v>
      </c>
      <c r="BA36" t="s">
        <v>74</v>
      </c>
      <c r="BB36" t="s">
        <v>74</v>
      </c>
      <c r="BC36" t="s">
        <v>74</v>
      </c>
      <c r="BD36">
        <v>648</v>
      </c>
      <c r="BE36" t="s">
        <v>902</v>
      </c>
      <c r="BF36" t="str">
        <f>HYPERLINK("http://dx.doi.org/10.3390/md20100648","http://dx.doi.org/10.3390/md20100648")</f>
        <v>http://dx.doi.org/10.3390/md20100648</v>
      </c>
      <c r="BG36" t="s">
        <v>74</v>
      </c>
      <c r="BH36" t="s">
        <v>74</v>
      </c>
      <c r="BI36">
        <v>16</v>
      </c>
      <c r="BJ36" t="s">
        <v>903</v>
      </c>
      <c r="BK36" t="s">
        <v>100</v>
      </c>
      <c r="BL36" t="s">
        <v>904</v>
      </c>
      <c r="BM36" t="s">
        <v>905</v>
      </c>
      <c r="BN36">
        <v>36286471</v>
      </c>
      <c r="BO36" t="s">
        <v>132</v>
      </c>
      <c r="BP36" t="s">
        <v>74</v>
      </c>
      <c r="BQ36" t="s">
        <v>74</v>
      </c>
      <c r="BR36" t="s">
        <v>103</v>
      </c>
      <c r="BS36" t="s">
        <v>906</v>
      </c>
      <c r="BT36" t="str">
        <f>HYPERLINK("https%3A%2F%2Fwww.webofscience.com%2Fwos%2Fwoscc%2Ffull-record%2FWOS:000875421900001","View Full Record in Web of Science")</f>
        <v>View Full Record in Web of Science</v>
      </c>
    </row>
    <row r="37" spans="1:72" x14ac:dyDescent="0.15">
      <c r="A37" t="s">
        <v>72</v>
      </c>
      <c r="B37" t="s">
        <v>907</v>
      </c>
      <c r="C37" t="s">
        <v>74</v>
      </c>
      <c r="D37" t="s">
        <v>74</v>
      </c>
      <c r="E37" t="s">
        <v>74</v>
      </c>
      <c r="F37" t="s">
        <v>908</v>
      </c>
      <c r="G37" t="s">
        <v>74</v>
      </c>
      <c r="H37" t="s">
        <v>74</v>
      </c>
      <c r="I37" t="s">
        <v>909</v>
      </c>
      <c r="J37" t="s">
        <v>910</v>
      </c>
      <c r="K37" t="s">
        <v>74</v>
      </c>
      <c r="L37" t="s">
        <v>74</v>
      </c>
      <c r="M37" t="s">
        <v>78</v>
      </c>
      <c r="N37" t="s">
        <v>79</v>
      </c>
      <c r="O37" t="s">
        <v>74</v>
      </c>
      <c r="P37" t="s">
        <v>74</v>
      </c>
      <c r="Q37" t="s">
        <v>74</v>
      </c>
      <c r="R37" t="s">
        <v>74</v>
      </c>
      <c r="S37" t="s">
        <v>74</v>
      </c>
      <c r="T37" t="s">
        <v>911</v>
      </c>
      <c r="U37" t="s">
        <v>912</v>
      </c>
      <c r="V37" t="s">
        <v>913</v>
      </c>
      <c r="W37" t="s">
        <v>914</v>
      </c>
      <c r="X37" t="s">
        <v>915</v>
      </c>
      <c r="Y37" t="s">
        <v>916</v>
      </c>
      <c r="Z37" t="s">
        <v>917</v>
      </c>
      <c r="AA37" t="s">
        <v>74</v>
      </c>
      <c r="AB37" t="s">
        <v>918</v>
      </c>
      <c r="AC37" t="s">
        <v>919</v>
      </c>
      <c r="AD37" t="s">
        <v>920</v>
      </c>
      <c r="AE37" t="s">
        <v>921</v>
      </c>
      <c r="AF37" t="s">
        <v>74</v>
      </c>
      <c r="AG37">
        <v>50</v>
      </c>
      <c r="AH37">
        <v>2</v>
      </c>
      <c r="AI37">
        <v>2</v>
      </c>
      <c r="AJ37">
        <v>0</v>
      </c>
      <c r="AK37">
        <v>1</v>
      </c>
      <c r="AL37" t="s">
        <v>754</v>
      </c>
      <c r="AM37" t="s">
        <v>755</v>
      </c>
      <c r="AN37" t="s">
        <v>756</v>
      </c>
      <c r="AO37" t="s">
        <v>74</v>
      </c>
      <c r="AP37" t="s">
        <v>922</v>
      </c>
      <c r="AQ37" t="s">
        <v>74</v>
      </c>
      <c r="AR37" t="s">
        <v>923</v>
      </c>
      <c r="AS37" t="s">
        <v>924</v>
      </c>
      <c r="AT37" t="s">
        <v>428</v>
      </c>
      <c r="AU37">
        <v>2022</v>
      </c>
      <c r="AV37">
        <v>14</v>
      </c>
      <c r="AW37">
        <v>20</v>
      </c>
      <c r="AX37" t="s">
        <v>74</v>
      </c>
      <c r="AY37" t="s">
        <v>74</v>
      </c>
      <c r="AZ37" t="s">
        <v>74</v>
      </c>
      <c r="BA37" t="s">
        <v>74</v>
      </c>
      <c r="BB37" t="s">
        <v>74</v>
      </c>
      <c r="BC37" t="s">
        <v>74</v>
      </c>
      <c r="BD37">
        <v>3311</v>
      </c>
      <c r="BE37" t="s">
        <v>925</v>
      </c>
      <c r="BF37" t="str">
        <f>HYPERLINK("http://dx.doi.org/10.3390/w14203311","http://dx.doi.org/10.3390/w14203311")</f>
        <v>http://dx.doi.org/10.3390/w14203311</v>
      </c>
      <c r="BG37" t="s">
        <v>74</v>
      </c>
      <c r="BH37" t="s">
        <v>74</v>
      </c>
      <c r="BI37">
        <v>17</v>
      </c>
      <c r="BJ37" t="s">
        <v>926</v>
      </c>
      <c r="BK37" t="s">
        <v>100</v>
      </c>
      <c r="BL37" t="s">
        <v>927</v>
      </c>
      <c r="BM37" t="s">
        <v>928</v>
      </c>
      <c r="BN37" t="s">
        <v>74</v>
      </c>
      <c r="BO37" t="s">
        <v>266</v>
      </c>
      <c r="BP37" t="s">
        <v>74</v>
      </c>
      <c r="BQ37" t="s">
        <v>74</v>
      </c>
      <c r="BR37" t="s">
        <v>103</v>
      </c>
      <c r="BS37" t="s">
        <v>929</v>
      </c>
      <c r="BT37" t="str">
        <f>HYPERLINK("https%3A%2F%2Fwww.webofscience.com%2Fwos%2Fwoscc%2Ffull-record%2FWOS:000875007300001","View Full Record in Web of Science")</f>
        <v>View Full Record in Web of Science</v>
      </c>
    </row>
    <row r="38" spans="1:72" x14ac:dyDescent="0.15">
      <c r="A38" t="s">
        <v>72</v>
      </c>
      <c r="B38" t="s">
        <v>930</v>
      </c>
      <c r="C38" t="s">
        <v>74</v>
      </c>
      <c r="D38" t="s">
        <v>74</v>
      </c>
      <c r="E38" t="s">
        <v>74</v>
      </c>
      <c r="F38" t="s">
        <v>931</v>
      </c>
      <c r="G38" t="s">
        <v>74</v>
      </c>
      <c r="H38" t="s">
        <v>74</v>
      </c>
      <c r="I38" t="s">
        <v>932</v>
      </c>
      <c r="J38" t="s">
        <v>933</v>
      </c>
      <c r="K38" t="s">
        <v>74</v>
      </c>
      <c r="L38" t="s">
        <v>74</v>
      </c>
      <c r="M38" t="s">
        <v>78</v>
      </c>
      <c r="N38" t="s">
        <v>79</v>
      </c>
      <c r="O38" t="s">
        <v>74</v>
      </c>
      <c r="P38" t="s">
        <v>74</v>
      </c>
      <c r="Q38" t="s">
        <v>74</v>
      </c>
      <c r="R38" t="s">
        <v>74</v>
      </c>
      <c r="S38" t="s">
        <v>74</v>
      </c>
      <c r="T38" t="s">
        <v>934</v>
      </c>
      <c r="U38" t="s">
        <v>935</v>
      </c>
      <c r="V38" t="s">
        <v>936</v>
      </c>
      <c r="W38" t="s">
        <v>937</v>
      </c>
      <c r="X38" t="s">
        <v>938</v>
      </c>
      <c r="Y38" t="s">
        <v>939</v>
      </c>
      <c r="Z38" t="s">
        <v>940</v>
      </c>
      <c r="AA38" t="s">
        <v>941</v>
      </c>
      <c r="AB38" t="s">
        <v>942</v>
      </c>
      <c r="AC38" t="s">
        <v>943</v>
      </c>
      <c r="AD38" t="s">
        <v>944</v>
      </c>
      <c r="AE38" t="s">
        <v>945</v>
      </c>
      <c r="AF38" t="s">
        <v>74</v>
      </c>
      <c r="AG38">
        <v>37</v>
      </c>
      <c r="AH38">
        <v>1</v>
      </c>
      <c r="AI38">
        <v>1</v>
      </c>
      <c r="AJ38">
        <v>1</v>
      </c>
      <c r="AK38">
        <v>2</v>
      </c>
      <c r="AL38" t="s">
        <v>946</v>
      </c>
      <c r="AM38" t="s">
        <v>207</v>
      </c>
      <c r="AN38" t="s">
        <v>947</v>
      </c>
      <c r="AO38" t="s">
        <v>948</v>
      </c>
      <c r="AP38" t="s">
        <v>949</v>
      </c>
      <c r="AQ38" t="s">
        <v>74</v>
      </c>
      <c r="AR38" t="s">
        <v>950</v>
      </c>
      <c r="AS38" t="s">
        <v>951</v>
      </c>
      <c r="AT38" t="s">
        <v>428</v>
      </c>
      <c r="AU38">
        <v>2022</v>
      </c>
      <c r="AV38">
        <v>127</v>
      </c>
      <c r="AW38">
        <v>10</v>
      </c>
      <c r="AX38" t="s">
        <v>74</v>
      </c>
      <c r="AY38" t="s">
        <v>74</v>
      </c>
      <c r="AZ38" t="s">
        <v>74</v>
      </c>
      <c r="BA38" t="s">
        <v>74</v>
      </c>
      <c r="BB38" t="s">
        <v>74</v>
      </c>
      <c r="BC38" t="s">
        <v>74</v>
      </c>
      <c r="BD38" t="s">
        <v>952</v>
      </c>
      <c r="BE38" t="s">
        <v>953</v>
      </c>
      <c r="BF38" t="str">
        <f>HYPERLINK("http://dx.doi.org/10.1029/2022JA030600","http://dx.doi.org/10.1029/2022JA030600")</f>
        <v>http://dx.doi.org/10.1029/2022JA030600</v>
      </c>
      <c r="BG38" t="s">
        <v>74</v>
      </c>
      <c r="BH38" t="s">
        <v>74</v>
      </c>
      <c r="BI38">
        <v>16</v>
      </c>
      <c r="BJ38" t="s">
        <v>954</v>
      </c>
      <c r="BK38" t="s">
        <v>100</v>
      </c>
      <c r="BL38" t="s">
        <v>954</v>
      </c>
      <c r="BM38" t="s">
        <v>955</v>
      </c>
      <c r="BN38" t="s">
        <v>74</v>
      </c>
      <c r="BO38" t="s">
        <v>404</v>
      </c>
      <c r="BP38" t="s">
        <v>74</v>
      </c>
      <c r="BQ38" t="s">
        <v>74</v>
      </c>
      <c r="BR38" t="s">
        <v>103</v>
      </c>
      <c r="BS38" t="s">
        <v>956</v>
      </c>
      <c r="BT38" t="str">
        <f>HYPERLINK("https%3A%2F%2Fwww.webofscience.com%2Fwos%2Fwoscc%2Ffull-record%2FWOS:000874111700001","View Full Record in Web of Science")</f>
        <v>View Full Record in Web of Science</v>
      </c>
    </row>
    <row r="39" spans="1:72" x14ac:dyDescent="0.15">
      <c r="A39" t="s">
        <v>72</v>
      </c>
      <c r="B39" t="s">
        <v>957</v>
      </c>
      <c r="C39" t="s">
        <v>74</v>
      </c>
      <c r="D39" t="s">
        <v>74</v>
      </c>
      <c r="E39" t="s">
        <v>74</v>
      </c>
      <c r="F39" t="s">
        <v>958</v>
      </c>
      <c r="G39" t="s">
        <v>74</v>
      </c>
      <c r="H39" t="s">
        <v>74</v>
      </c>
      <c r="I39" t="s">
        <v>959</v>
      </c>
      <c r="J39" t="s">
        <v>960</v>
      </c>
      <c r="K39" t="s">
        <v>74</v>
      </c>
      <c r="L39" t="s">
        <v>74</v>
      </c>
      <c r="M39" t="s">
        <v>78</v>
      </c>
      <c r="N39" t="s">
        <v>52</v>
      </c>
      <c r="O39" t="s">
        <v>74</v>
      </c>
      <c r="P39" t="s">
        <v>74</v>
      </c>
      <c r="Q39" t="s">
        <v>74</v>
      </c>
      <c r="R39" t="s">
        <v>74</v>
      </c>
      <c r="S39" t="s">
        <v>74</v>
      </c>
      <c r="T39" t="s">
        <v>74</v>
      </c>
      <c r="U39" t="s">
        <v>74</v>
      </c>
      <c r="V39" t="s">
        <v>74</v>
      </c>
      <c r="W39" t="s">
        <v>961</v>
      </c>
      <c r="X39" t="s">
        <v>962</v>
      </c>
      <c r="Y39" t="s">
        <v>74</v>
      </c>
      <c r="Z39" t="s">
        <v>74</v>
      </c>
      <c r="AA39" t="s">
        <v>74</v>
      </c>
      <c r="AB39" t="s">
        <v>74</v>
      </c>
      <c r="AC39" t="s">
        <v>74</v>
      </c>
      <c r="AD39" t="s">
        <v>74</v>
      </c>
      <c r="AE39" t="s">
        <v>74</v>
      </c>
      <c r="AF39" t="s">
        <v>74</v>
      </c>
      <c r="AG39">
        <v>0</v>
      </c>
      <c r="AH39">
        <v>0</v>
      </c>
      <c r="AI39">
        <v>0</v>
      </c>
      <c r="AJ39">
        <v>1</v>
      </c>
      <c r="AK39">
        <v>1</v>
      </c>
      <c r="AL39" t="s">
        <v>231</v>
      </c>
      <c r="AM39" t="s">
        <v>232</v>
      </c>
      <c r="AN39" t="s">
        <v>233</v>
      </c>
      <c r="AO39" t="s">
        <v>963</v>
      </c>
      <c r="AP39" t="s">
        <v>964</v>
      </c>
      <c r="AQ39" t="s">
        <v>74</v>
      </c>
      <c r="AR39" t="s">
        <v>965</v>
      </c>
      <c r="AS39" t="s">
        <v>966</v>
      </c>
      <c r="AT39" t="s">
        <v>428</v>
      </c>
      <c r="AU39">
        <v>2022</v>
      </c>
      <c r="AV39">
        <v>31</v>
      </c>
      <c r="AW39" t="s">
        <v>74</v>
      </c>
      <c r="AX39" t="s">
        <v>74</v>
      </c>
      <c r="AY39">
        <v>1</v>
      </c>
      <c r="AZ39" t="s">
        <v>186</v>
      </c>
      <c r="BA39" t="s">
        <v>967</v>
      </c>
      <c r="BB39" t="s">
        <v>74</v>
      </c>
      <c r="BC39" t="s">
        <v>74</v>
      </c>
      <c r="BD39" t="s">
        <v>74</v>
      </c>
      <c r="BE39" t="s">
        <v>74</v>
      </c>
      <c r="BF39" t="s">
        <v>74</v>
      </c>
      <c r="BG39" t="s">
        <v>74</v>
      </c>
      <c r="BH39" t="s">
        <v>74</v>
      </c>
      <c r="BI39">
        <v>1</v>
      </c>
      <c r="BJ39" t="s">
        <v>968</v>
      </c>
      <c r="BK39" t="s">
        <v>100</v>
      </c>
      <c r="BL39" t="s">
        <v>969</v>
      </c>
      <c r="BM39" t="s">
        <v>970</v>
      </c>
      <c r="BN39" t="s">
        <v>74</v>
      </c>
      <c r="BO39" t="s">
        <v>74</v>
      </c>
      <c r="BP39" t="s">
        <v>74</v>
      </c>
      <c r="BQ39" t="s">
        <v>74</v>
      </c>
      <c r="BR39" t="s">
        <v>103</v>
      </c>
      <c r="BS39" t="s">
        <v>971</v>
      </c>
      <c r="BT39" t="str">
        <f>HYPERLINK("https%3A%2F%2Fwww.webofscience.com%2Fwos%2Fwoscc%2Ffull-record%2FWOS:000870433500564","View Full Record in Web of Science")</f>
        <v>View Full Record in Web of Science</v>
      </c>
    </row>
    <row r="40" spans="1:72" x14ac:dyDescent="0.15">
      <c r="A40" t="s">
        <v>72</v>
      </c>
      <c r="B40" t="s">
        <v>972</v>
      </c>
      <c r="C40" t="s">
        <v>74</v>
      </c>
      <c r="D40" t="s">
        <v>74</v>
      </c>
      <c r="E40" t="s">
        <v>74</v>
      </c>
      <c r="F40" t="s">
        <v>973</v>
      </c>
      <c r="G40" t="s">
        <v>74</v>
      </c>
      <c r="H40" t="s">
        <v>74</v>
      </c>
      <c r="I40" t="s">
        <v>974</v>
      </c>
      <c r="J40" t="s">
        <v>910</v>
      </c>
      <c r="K40" t="s">
        <v>74</v>
      </c>
      <c r="L40" t="s">
        <v>74</v>
      </c>
      <c r="M40" t="s">
        <v>78</v>
      </c>
      <c r="N40" t="s">
        <v>79</v>
      </c>
      <c r="O40" t="s">
        <v>74</v>
      </c>
      <c r="P40" t="s">
        <v>74</v>
      </c>
      <c r="Q40" t="s">
        <v>74</v>
      </c>
      <c r="R40" t="s">
        <v>74</v>
      </c>
      <c r="S40" t="s">
        <v>74</v>
      </c>
      <c r="T40" t="s">
        <v>975</v>
      </c>
      <c r="U40" t="s">
        <v>976</v>
      </c>
      <c r="V40" t="s">
        <v>977</v>
      </c>
      <c r="W40" t="s">
        <v>978</v>
      </c>
      <c r="X40" t="s">
        <v>979</v>
      </c>
      <c r="Y40" t="s">
        <v>980</v>
      </c>
      <c r="Z40" t="s">
        <v>981</v>
      </c>
      <c r="AA40" t="s">
        <v>982</v>
      </c>
      <c r="AB40" t="s">
        <v>983</v>
      </c>
      <c r="AC40" t="s">
        <v>984</v>
      </c>
      <c r="AD40" t="s">
        <v>985</v>
      </c>
      <c r="AE40" t="s">
        <v>986</v>
      </c>
      <c r="AF40" t="s">
        <v>74</v>
      </c>
      <c r="AG40">
        <v>45</v>
      </c>
      <c r="AH40">
        <v>13</v>
      </c>
      <c r="AI40">
        <v>13</v>
      </c>
      <c r="AJ40">
        <v>0</v>
      </c>
      <c r="AK40">
        <v>3</v>
      </c>
      <c r="AL40" t="s">
        <v>754</v>
      </c>
      <c r="AM40" t="s">
        <v>755</v>
      </c>
      <c r="AN40" t="s">
        <v>756</v>
      </c>
      <c r="AO40" t="s">
        <v>74</v>
      </c>
      <c r="AP40" t="s">
        <v>922</v>
      </c>
      <c r="AQ40" t="s">
        <v>74</v>
      </c>
      <c r="AR40" t="s">
        <v>923</v>
      </c>
      <c r="AS40" t="s">
        <v>924</v>
      </c>
      <c r="AT40" t="s">
        <v>428</v>
      </c>
      <c r="AU40">
        <v>2022</v>
      </c>
      <c r="AV40">
        <v>14</v>
      </c>
      <c r="AW40">
        <v>20</v>
      </c>
      <c r="AX40" t="s">
        <v>74</v>
      </c>
      <c r="AY40" t="s">
        <v>74</v>
      </c>
      <c r="AZ40" t="s">
        <v>74</v>
      </c>
      <c r="BA40" t="s">
        <v>74</v>
      </c>
      <c r="BB40" t="s">
        <v>74</v>
      </c>
      <c r="BC40" t="s">
        <v>74</v>
      </c>
      <c r="BD40">
        <v>3193</v>
      </c>
      <c r="BE40" t="s">
        <v>987</v>
      </c>
      <c r="BF40" t="str">
        <f>HYPERLINK("http://dx.doi.org/10.3390/w14203193","http://dx.doi.org/10.3390/w14203193")</f>
        <v>http://dx.doi.org/10.3390/w14203193</v>
      </c>
      <c r="BG40" t="s">
        <v>74</v>
      </c>
      <c r="BH40" t="s">
        <v>74</v>
      </c>
      <c r="BI40">
        <v>16</v>
      </c>
      <c r="BJ40" t="s">
        <v>926</v>
      </c>
      <c r="BK40" t="s">
        <v>100</v>
      </c>
      <c r="BL40" t="s">
        <v>927</v>
      </c>
      <c r="BM40" t="s">
        <v>988</v>
      </c>
      <c r="BN40" t="s">
        <v>74</v>
      </c>
      <c r="BO40" t="s">
        <v>266</v>
      </c>
      <c r="BP40" t="s">
        <v>74</v>
      </c>
      <c r="BQ40" t="s">
        <v>74</v>
      </c>
      <c r="BR40" t="s">
        <v>103</v>
      </c>
      <c r="BS40" t="s">
        <v>989</v>
      </c>
      <c r="BT40" t="str">
        <f>HYPERLINK("https%3A%2F%2Fwww.webofscience.com%2Fwos%2Fwoscc%2Ffull-record%2FWOS:000875222100001","View Full Record in Web of Science")</f>
        <v>View Full Record in Web of Science</v>
      </c>
    </row>
    <row r="41" spans="1:72" x14ac:dyDescent="0.15">
      <c r="A41" t="s">
        <v>72</v>
      </c>
      <c r="B41" t="s">
        <v>990</v>
      </c>
      <c r="C41" t="s">
        <v>74</v>
      </c>
      <c r="D41" t="s">
        <v>74</v>
      </c>
      <c r="E41" t="s">
        <v>74</v>
      </c>
      <c r="F41" t="s">
        <v>991</v>
      </c>
      <c r="G41" t="s">
        <v>74</v>
      </c>
      <c r="H41" t="s">
        <v>74</v>
      </c>
      <c r="I41" t="s">
        <v>992</v>
      </c>
      <c r="J41" t="s">
        <v>993</v>
      </c>
      <c r="K41" t="s">
        <v>74</v>
      </c>
      <c r="L41" t="s">
        <v>74</v>
      </c>
      <c r="M41" t="s">
        <v>78</v>
      </c>
      <c r="N41" t="s">
        <v>79</v>
      </c>
      <c r="O41" t="s">
        <v>74</v>
      </c>
      <c r="P41" t="s">
        <v>74</v>
      </c>
      <c r="Q41" t="s">
        <v>74</v>
      </c>
      <c r="R41" t="s">
        <v>74</v>
      </c>
      <c r="S41" t="s">
        <v>74</v>
      </c>
      <c r="T41" t="s">
        <v>994</v>
      </c>
      <c r="U41" t="s">
        <v>995</v>
      </c>
      <c r="V41" t="s">
        <v>996</v>
      </c>
      <c r="W41" t="s">
        <v>997</v>
      </c>
      <c r="X41" t="s">
        <v>998</v>
      </c>
      <c r="Y41" t="s">
        <v>999</v>
      </c>
      <c r="Z41" t="s">
        <v>1000</v>
      </c>
      <c r="AA41" t="s">
        <v>1001</v>
      </c>
      <c r="AB41" t="s">
        <v>1002</v>
      </c>
      <c r="AC41" t="s">
        <v>1003</v>
      </c>
      <c r="AD41" t="s">
        <v>1004</v>
      </c>
      <c r="AE41" t="s">
        <v>1005</v>
      </c>
      <c r="AF41" t="s">
        <v>74</v>
      </c>
      <c r="AG41">
        <v>64</v>
      </c>
      <c r="AH41">
        <v>2</v>
      </c>
      <c r="AI41">
        <v>2</v>
      </c>
      <c r="AJ41">
        <v>2</v>
      </c>
      <c r="AK41">
        <v>8</v>
      </c>
      <c r="AL41" t="s">
        <v>946</v>
      </c>
      <c r="AM41" t="s">
        <v>207</v>
      </c>
      <c r="AN41" t="s">
        <v>947</v>
      </c>
      <c r="AO41" t="s">
        <v>74</v>
      </c>
      <c r="AP41" t="s">
        <v>1006</v>
      </c>
      <c r="AQ41" t="s">
        <v>74</v>
      </c>
      <c r="AR41" t="s">
        <v>993</v>
      </c>
      <c r="AS41" t="s">
        <v>1007</v>
      </c>
      <c r="AT41" t="s">
        <v>428</v>
      </c>
      <c r="AU41">
        <v>2022</v>
      </c>
      <c r="AV41">
        <v>10</v>
      </c>
      <c r="AW41">
        <v>10</v>
      </c>
      <c r="AX41" t="s">
        <v>74</v>
      </c>
      <c r="AY41" t="s">
        <v>74</v>
      </c>
      <c r="AZ41" t="s">
        <v>74</v>
      </c>
      <c r="BA41" t="s">
        <v>74</v>
      </c>
      <c r="BB41" t="s">
        <v>74</v>
      </c>
      <c r="BC41" t="s">
        <v>74</v>
      </c>
      <c r="BD41" t="s">
        <v>1008</v>
      </c>
      <c r="BE41" t="s">
        <v>1009</v>
      </c>
      <c r="BF41" t="str">
        <f>HYPERLINK("http://dx.doi.org/10.1029/2022EF002696","http://dx.doi.org/10.1029/2022EF002696")</f>
        <v>http://dx.doi.org/10.1029/2022EF002696</v>
      </c>
      <c r="BG41" t="s">
        <v>74</v>
      </c>
      <c r="BH41" t="s">
        <v>74</v>
      </c>
      <c r="BI41">
        <v>15</v>
      </c>
      <c r="BJ41" t="s">
        <v>1010</v>
      </c>
      <c r="BK41" t="s">
        <v>100</v>
      </c>
      <c r="BL41" t="s">
        <v>1011</v>
      </c>
      <c r="BM41" t="s">
        <v>1012</v>
      </c>
      <c r="BN41">
        <v>36582516</v>
      </c>
      <c r="BO41" t="s">
        <v>1013</v>
      </c>
      <c r="BP41" t="s">
        <v>74</v>
      </c>
      <c r="BQ41" t="s">
        <v>74</v>
      </c>
      <c r="BR41" t="s">
        <v>103</v>
      </c>
      <c r="BS41" t="s">
        <v>1014</v>
      </c>
      <c r="BT41" t="str">
        <f>HYPERLINK("https%3A%2F%2Fwww.webofscience.com%2Fwos%2Fwoscc%2Ffull-record%2FWOS:000873395800001","View Full Record in Web of Science")</f>
        <v>View Full Record in Web of Science</v>
      </c>
    </row>
    <row r="42" spans="1:72" x14ac:dyDescent="0.15">
      <c r="A42" t="s">
        <v>72</v>
      </c>
      <c r="B42" t="s">
        <v>1015</v>
      </c>
      <c r="C42" t="s">
        <v>74</v>
      </c>
      <c r="D42" t="s">
        <v>74</v>
      </c>
      <c r="E42" t="s">
        <v>74</v>
      </c>
      <c r="F42" t="s">
        <v>1016</v>
      </c>
      <c r="G42" t="s">
        <v>74</v>
      </c>
      <c r="H42" t="s">
        <v>74</v>
      </c>
      <c r="I42" t="s">
        <v>1017</v>
      </c>
      <c r="J42" t="s">
        <v>1018</v>
      </c>
      <c r="K42" t="s">
        <v>74</v>
      </c>
      <c r="L42" t="s">
        <v>74</v>
      </c>
      <c r="M42" t="s">
        <v>78</v>
      </c>
      <c r="N42" t="s">
        <v>79</v>
      </c>
      <c r="O42" t="s">
        <v>74</v>
      </c>
      <c r="P42" t="s">
        <v>74</v>
      </c>
      <c r="Q42" t="s">
        <v>74</v>
      </c>
      <c r="R42" t="s">
        <v>74</v>
      </c>
      <c r="S42" t="s">
        <v>74</v>
      </c>
      <c r="T42" t="s">
        <v>1019</v>
      </c>
      <c r="U42" t="s">
        <v>1020</v>
      </c>
      <c r="V42" t="s">
        <v>1021</v>
      </c>
      <c r="W42" t="s">
        <v>1022</v>
      </c>
      <c r="X42" t="s">
        <v>1023</v>
      </c>
      <c r="Y42" t="s">
        <v>1024</v>
      </c>
      <c r="Z42" t="s">
        <v>1025</v>
      </c>
      <c r="AA42" t="s">
        <v>74</v>
      </c>
      <c r="AB42" t="s">
        <v>74</v>
      </c>
      <c r="AC42" t="s">
        <v>1026</v>
      </c>
      <c r="AD42" t="s">
        <v>447</v>
      </c>
      <c r="AE42" t="s">
        <v>1027</v>
      </c>
      <c r="AF42" t="s">
        <v>74</v>
      </c>
      <c r="AG42">
        <v>19</v>
      </c>
      <c r="AH42">
        <v>1</v>
      </c>
      <c r="AI42">
        <v>1</v>
      </c>
      <c r="AJ42">
        <v>0</v>
      </c>
      <c r="AK42">
        <v>1</v>
      </c>
      <c r="AL42" t="s">
        <v>577</v>
      </c>
      <c r="AM42" t="s">
        <v>450</v>
      </c>
      <c r="AN42" t="s">
        <v>578</v>
      </c>
      <c r="AO42" t="s">
        <v>1028</v>
      </c>
      <c r="AP42" t="s">
        <v>1029</v>
      </c>
      <c r="AQ42" t="s">
        <v>74</v>
      </c>
      <c r="AR42" t="s">
        <v>1030</v>
      </c>
      <c r="AS42" t="s">
        <v>1031</v>
      </c>
      <c r="AT42" t="s">
        <v>428</v>
      </c>
      <c r="AU42">
        <v>2022</v>
      </c>
      <c r="AV42">
        <v>58</v>
      </c>
      <c r="AW42">
        <v>5</v>
      </c>
      <c r="AX42" t="s">
        <v>74</v>
      </c>
      <c r="AY42" t="s">
        <v>74</v>
      </c>
      <c r="AZ42" t="s">
        <v>74</v>
      </c>
      <c r="BA42" t="s">
        <v>74</v>
      </c>
      <c r="BB42">
        <v>423</v>
      </c>
      <c r="BC42">
        <v>432</v>
      </c>
      <c r="BD42" t="s">
        <v>74</v>
      </c>
      <c r="BE42" t="s">
        <v>1032</v>
      </c>
      <c r="BF42" t="str">
        <f>HYPERLINK("http://dx.doi.org/10.1134/S0001433822050139","http://dx.doi.org/10.1134/S0001433822050139")</f>
        <v>http://dx.doi.org/10.1134/S0001433822050139</v>
      </c>
      <c r="BG42" t="s">
        <v>74</v>
      </c>
      <c r="BH42" t="s">
        <v>74</v>
      </c>
      <c r="BI42">
        <v>10</v>
      </c>
      <c r="BJ42" t="s">
        <v>1033</v>
      </c>
      <c r="BK42" t="s">
        <v>100</v>
      </c>
      <c r="BL42" t="s">
        <v>1033</v>
      </c>
      <c r="BM42" t="s">
        <v>1034</v>
      </c>
      <c r="BN42" t="s">
        <v>74</v>
      </c>
      <c r="BO42" t="s">
        <v>74</v>
      </c>
      <c r="BP42" t="s">
        <v>74</v>
      </c>
      <c r="BQ42" t="s">
        <v>74</v>
      </c>
      <c r="BR42" t="s">
        <v>103</v>
      </c>
      <c r="BS42" t="s">
        <v>1035</v>
      </c>
      <c r="BT42" t="str">
        <f>HYPERLINK("https%3A%2F%2Fwww.webofscience.com%2Fwos%2Fwoscc%2Ffull-record%2FWOS:000873654000001","View Full Record in Web of Science")</f>
        <v>View Full Record in Web of Science</v>
      </c>
    </row>
    <row r="43" spans="1:72" x14ac:dyDescent="0.15">
      <c r="A43" t="s">
        <v>72</v>
      </c>
      <c r="B43" t="s">
        <v>1036</v>
      </c>
      <c r="C43" t="s">
        <v>74</v>
      </c>
      <c r="D43" t="s">
        <v>74</v>
      </c>
      <c r="E43" t="s">
        <v>74</v>
      </c>
      <c r="F43" t="s">
        <v>1037</v>
      </c>
      <c r="G43" t="s">
        <v>74</v>
      </c>
      <c r="H43" t="s">
        <v>74</v>
      </c>
      <c r="I43" t="s">
        <v>1038</v>
      </c>
      <c r="J43" t="s">
        <v>1018</v>
      </c>
      <c r="K43" t="s">
        <v>74</v>
      </c>
      <c r="L43" t="s">
        <v>74</v>
      </c>
      <c r="M43" t="s">
        <v>78</v>
      </c>
      <c r="N43" t="s">
        <v>79</v>
      </c>
      <c r="O43" t="s">
        <v>74</v>
      </c>
      <c r="P43" t="s">
        <v>74</v>
      </c>
      <c r="Q43" t="s">
        <v>74</v>
      </c>
      <c r="R43" t="s">
        <v>74</v>
      </c>
      <c r="S43" t="s">
        <v>74</v>
      </c>
      <c r="T43" t="s">
        <v>1039</v>
      </c>
      <c r="U43" t="s">
        <v>1040</v>
      </c>
      <c r="V43" t="s">
        <v>1041</v>
      </c>
      <c r="W43" t="s">
        <v>1042</v>
      </c>
      <c r="X43" t="s">
        <v>1043</v>
      </c>
      <c r="Y43" t="s">
        <v>1044</v>
      </c>
      <c r="Z43" t="s">
        <v>595</v>
      </c>
      <c r="AA43" t="s">
        <v>596</v>
      </c>
      <c r="AB43" t="s">
        <v>74</v>
      </c>
      <c r="AC43" t="s">
        <v>1045</v>
      </c>
      <c r="AD43" t="s">
        <v>1046</v>
      </c>
      <c r="AE43" t="s">
        <v>1047</v>
      </c>
      <c r="AF43" t="s">
        <v>74</v>
      </c>
      <c r="AG43">
        <v>17</v>
      </c>
      <c r="AH43">
        <v>4</v>
      </c>
      <c r="AI43">
        <v>4</v>
      </c>
      <c r="AJ43">
        <v>0</v>
      </c>
      <c r="AK43">
        <v>0</v>
      </c>
      <c r="AL43" t="s">
        <v>577</v>
      </c>
      <c r="AM43" t="s">
        <v>450</v>
      </c>
      <c r="AN43" t="s">
        <v>578</v>
      </c>
      <c r="AO43" t="s">
        <v>1028</v>
      </c>
      <c r="AP43" t="s">
        <v>1029</v>
      </c>
      <c r="AQ43" t="s">
        <v>74</v>
      </c>
      <c r="AR43" t="s">
        <v>1030</v>
      </c>
      <c r="AS43" t="s">
        <v>1031</v>
      </c>
      <c r="AT43" t="s">
        <v>428</v>
      </c>
      <c r="AU43">
        <v>2022</v>
      </c>
      <c r="AV43">
        <v>58</v>
      </c>
      <c r="AW43">
        <v>5</v>
      </c>
      <c r="AX43" t="s">
        <v>74</v>
      </c>
      <c r="AY43" t="s">
        <v>74</v>
      </c>
      <c r="AZ43" t="s">
        <v>74</v>
      </c>
      <c r="BA43" t="s">
        <v>74</v>
      </c>
      <c r="BB43">
        <v>500</v>
      </c>
      <c r="BC43">
        <v>506</v>
      </c>
      <c r="BD43" t="s">
        <v>74</v>
      </c>
      <c r="BE43" t="s">
        <v>1048</v>
      </c>
      <c r="BF43" t="str">
        <f>HYPERLINK("http://dx.doi.org/10.1134/S0001433822050061","http://dx.doi.org/10.1134/S0001433822050061")</f>
        <v>http://dx.doi.org/10.1134/S0001433822050061</v>
      </c>
      <c r="BG43" t="s">
        <v>74</v>
      </c>
      <c r="BH43" t="s">
        <v>74</v>
      </c>
      <c r="BI43">
        <v>7</v>
      </c>
      <c r="BJ43" t="s">
        <v>1033</v>
      </c>
      <c r="BK43" t="s">
        <v>100</v>
      </c>
      <c r="BL43" t="s">
        <v>1033</v>
      </c>
      <c r="BM43" t="s">
        <v>1034</v>
      </c>
      <c r="BN43" t="s">
        <v>74</v>
      </c>
      <c r="BO43" t="s">
        <v>74</v>
      </c>
      <c r="BP43" t="s">
        <v>74</v>
      </c>
      <c r="BQ43" t="s">
        <v>74</v>
      </c>
      <c r="BR43" t="s">
        <v>103</v>
      </c>
      <c r="BS43" t="s">
        <v>1049</v>
      </c>
      <c r="BT43" t="str">
        <f>HYPERLINK("https%3A%2F%2Fwww.webofscience.com%2Fwos%2Fwoscc%2Ffull-record%2FWOS:000873654000010","View Full Record in Web of Science")</f>
        <v>View Full Record in Web of Science</v>
      </c>
    </row>
    <row r="44" spans="1:72" x14ac:dyDescent="0.15">
      <c r="A44" t="s">
        <v>72</v>
      </c>
      <c r="B44" t="s">
        <v>1050</v>
      </c>
      <c r="C44" t="s">
        <v>74</v>
      </c>
      <c r="D44" t="s">
        <v>74</v>
      </c>
      <c r="E44" t="s">
        <v>74</v>
      </c>
      <c r="F44" t="s">
        <v>1051</v>
      </c>
      <c r="G44" t="s">
        <v>74</v>
      </c>
      <c r="H44" t="s">
        <v>74</v>
      </c>
      <c r="I44" t="s">
        <v>1052</v>
      </c>
      <c r="J44" t="s">
        <v>1053</v>
      </c>
      <c r="K44" t="s">
        <v>74</v>
      </c>
      <c r="L44" t="s">
        <v>74</v>
      </c>
      <c r="M44" t="s">
        <v>78</v>
      </c>
      <c r="N44" t="s">
        <v>79</v>
      </c>
      <c r="O44" t="s">
        <v>74</v>
      </c>
      <c r="P44" t="s">
        <v>74</v>
      </c>
      <c r="Q44" t="s">
        <v>74</v>
      </c>
      <c r="R44" t="s">
        <v>74</v>
      </c>
      <c r="S44" t="s">
        <v>74</v>
      </c>
      <c r="T44" t="s">
        <v>1054</v>
      </c>
      <c r="U44" t="s">
        <v>1055</v>
      </c>
      <c r="V44" t="s">
        <v>1056</v>
      </c>
      <c r="W44" t="s">
        <v>1057</v>
      </c>
      <c r="X44" t="s">
        <v>1058</v>
      </c>
      <c r="Y44" t="s">
        <v>1059</v>
      </c>
      <c r="Z44" t="s">
        <v>1060</v>
      </c>
      <c r="AA44" t="s">
        <v>74</v>
      </c>
      <c r="AB44" t="s">
        <v>1061</v>
      </c>
      <c r="AC44" t="s">
        <v>1062</v>
      </c>
      <c r="AD44" t="s">
        <v>1063</v>
      </c>
      <c r="AE44" t="s">
        <v>1064</v>
      </c>
      <c r="AF44" t="s">
        <v>74</v>
      </c>
      <c r="AG44">
        <v>74</v>
      </c>
      <c r="AH44">
        <v>3</v>
      </c>
      <c r="AI44">
        <v>3</v>
      </c>
      <c r="AJ44">
        <v>3</v>
      </c>
      <c r="AK44">
        <v>10</v>
      </c>
      <c r="AL44" t="s">
        <v>1065</v>
      </c>
      <c r="AM44" t="s">
        <v>1066</v>
      </c>
      <c r="AN44" t="s">
        <v>1067</v>
      </c>
      <c r="AO44" t="s">
        <v>1068</v>
      </c>
      <c r="AP44" t="s">
        <v>1069</v>
      </c>
      <c r="AQ44" t="s">
        <v>74</v>
      </c>
      <c r="AR44" t="s">
        <v>1070</v>
      </c>
      <c r="AS44" t="s">
        <v>1071</v>
      </c>
      <c r="AT44" t="s">
        <v>428</v>
      </c>
      <c r="AU44">
        <v>2022</v>
      </c>
      <c r="AV44">
        <v>52</v>
      </c>
      <c r="AW44">
        <v>10</v>
      </c>
      <c r="AX44" t="s">
        <v>74</v>
      </c>
      <c r="AY44" t="s">
        <v>74</v>
      </c>
      <c r="AZ44" t="s">
        <v>74</v>
      </c>
      <c r="BA44" t="s">
        <v>74</v>
      </c>
      <c r="BB44">
        <v>2463</v>
      </c>
      <c r="BC44">
        <v>2478</v>
      </c>
      <c r="BD44" t="s">
        <v>74</v>
      </c>
      <c r="BE44" t="s">
        <v>1072</v>
      </c>
      <c r="BF44" t="str">
        <f>HYPERLINK("http://dx.doi.org/10.1175/JPO-D-21-0183.1","http://dx.doi.org/10.1175/JPO-D-21-0183.1")</f>
        <v>http://dx.doi.org/10.1175/JPO-D-21-0183.1</v>
      </c>
      <c r="BG44" t="s">
        <v>74</v>
      </c>
      <c r="BH44" t="s">
        <v>74</v>
      </c>
      <c r="BI44">
        <v>16</v>
      </c>
      <c r="BJ44" t="s">
        <v>674</v>
      </c>
      <c r="BK44" t="s">
        <v>100</v>
      </c>
      <c r="BL44" t="s">
        <v>674</v>
      </c>
      <c r="BM44" t="s">
        <v>1073</v>
      </c>
      <c r="BN44" t="s">
        <v>74</v>
      </c>
      <c r="BO44" t="s">
        <v>74</v>
      </c>
      <c r="BP44" t="s">
        <v>74</v>
      </c>
      <c r="BQ44" t="s">
        <v>74</v>
      </c>
      <c r="BR44" t="s">
        <v>103</v>
      </c>
      <c r="BS44" t="s">
        <v>1074</v>
      </c>
      <c r="BT44" t="str">
        <f>HYPERLINK("https%3A%2F%2Fwww.webofscience.com%2Fwos%2Fwoscc%2Ffull-record%2FWOS:000872397000011","View Full Record in Web of Science")</f>
        <v>View Full Record in Web of Science</v>
      </c>
    </row>
    <row r="45" spans="1:72" x14ac:dyDescent="0.15">
      <c r="A45" t="s">
        <v>72</v>
      </c>
      <c r="B45" t="s">
        <v>1075</v>
      </c>
      <c r="C45" t="s">
        <v>74</v>
      </c>
      <c r="D45" t="s">
        <v>74</v>
      </c>
      <c r="E45" t="s">
        <v>74</v>
      </c>
      <c r="F45" t="s">
        <v>1076</v>
      </c>
      <c r="G45" t="s">
        <v>74</v>
      </c>
      <c r="H45" t="s">
        <v>74</v>
      </c>
      <c r="I45" t="s">
        <v>1077</v>
      </c>
      <c r="J45" t="s">
        <v>1053</v>
      </c>
      <c r="K45" t="s">
        <v>74</v>
      </c>
      <c r="L45" t="s">
        <v>74</v>
      </c>
      <c r="M45" t="s">
        <v>78</v>
      </c>
      <c r="N45" t="s">
        <v>79</v>
      </c>
      <c r="O45" t="s">
        <v>74</v>
      </c>
      <c r="P45" t="s">
        <v>74</v>
      </c>
      <c r="Q45" t="s">
        <v>74</v>
      </c>
      <c r="R45" t="s">
        <v>74</v>
      </c>
      <c r="S45" t="s">
        <v>74</v>
      </c>
      <c r="T45" t="s">
        <v>1078</v>
      </c>
      <c r="U45" t="s">
        <v>1079</v>
      </c>
      <c r="V45" t="s">
        <v>1080</v>
      </c>
      <c r="W45" t="s">
        <v>1081</v>
      </c>
      <c r="X45" t="s">
        <v>1082</v>
      </c>
      <c r="Y45" t="s">
        <v>1083</v>
      </c>
      <c r="Z45" t="s">
        <v>1084</v>
      </c>
      <c r="AA45" t="s">
        <v>1085</v>
      </c>
      <c r="AB45" t="s">
        <v>1086</v>
      </c>
      <c r="AC45" t="s">
        <v>1087</v>
      </c>
      <c r="AD45" t="s">
        <v>1088</v>
      </c>
      <c r="AE45" t="s">
        <v>1089</v>
      </c>
      <c r="AF45" t="s">
        <v>74</v>
      </c>
      <c r="AG45">
        <v>63</v>
      </c>
      <c r="AH45">
        <v>7</v>
      </c>
      <c r="AI45">
        <v>7</v>
      </c>
      <c r="AJ45">
        <v>3</v>
      </c>
      <c r="AK45">
        <v>10</v>
      </c>
      <c r="AL45" t="s">
        <v>1065</v>
      </c>
      <c r="AM45" t="s">
        <v>1066</v>
      </c>
      <c r="AN45" t="s">
        <v>1067</v>
      </c>
      <c r="AO45" t="s">
        <v>1068</v>
      </c>
      <c r="AP45" t="s">
        <v>1069</v>
      </c>
      <c r="AQ45" t="s">
        <v>74</v>
      </c>
      <c r="AR45" t="s">
        <v>1070</v>
      </c>
      <c r="AS45" t="s">
        <v>1071</v>
      </c>
      <c r="AT45" t="s">
        <v>428</v>
      </c>
      <c r="AU45">
        <v>2022</v>
      </c>
      <c r="AV45">
        <v>52</v>
      </c>
      <c r="AW45">
        <v>10</v>
      </c>
      <c r="AX45" t="s">
        <v>74</v>
      </c>
      <c r="AY45" t="s">
        <v>74</v>
      </c>
      <c r="AZ45" t="s">
        <v>74</v>
      </c>
      <c r="BA45" t="s">
        <v>74</v>
      </c>
      <c r="BB45">
        <v>2589</v>
      </c>
      <c r="BC45">
        <v>2608</v>
      </c>
      <c r="BD45" t="s">
        <v>74</v>
      </c>
      <c r="BE45" t="s">
        <v>1090</v>
      </c>
      <c r="BF45" t="str">
        <f>HYPERLINK("http://dx.doi.org/10.1175/JPO-D-21-0317.1","http://dx.doi.org/10.1175/JPO-D-21-0317.1")</f>
        <v>http://dx.doi.org/10.1175/JPO-D-21-0317.1</v>
      </c>
      <c r="BG45" t="s">
        <v>74</v>
      </c>
      <c r="BH45" t="s">
        <v>74</v>
      </c>
      <c r="BI45">
        <v>20</v>
      </c>
      <c r="BJ45" t="s">
        <v>674</v>
      </c>
      <c r="BK45" t="s">
        <v>100</v>
      </c>
      <c r="BL45" t="s">
        <v>674</v>
      </c>
      <c r="BM45" t="s">
        <v>1073</v>
      </c>
      <c r="BN45" t="s">
        <v>74</v>
      </c>
      <c r="BO45" t="s">
        <v>74</v>
      </c>
      <c r="BP45" t="s">
        <v>74</v>
      </c>
      <c r="BQ45" t="s">
        <v>74</v>
      </c>
      <c r="BR45" t="s">
        <v>103</v>
      </c>
      <c r="BS45" t="s">
        <v>1091</v>
      </c>
      <c r="BT45" t="str">
        <f>HYPERLINK("https%3A%2F%2Fwww.webofscience.com%2Fwos%2Fwoscc%2Ffull-record%2FWOS:000872397000019","View Full Record in Web of Science")</f>
        <v>View Full Record in Web of Science</v>
      </c>
    </row>
    <row r="46" spans="1:72" x14ac:dyDescent="0.15">
      <c r="A46" t="s">
        <v>72</v>
      </c>
      <c r="B46" t="s">
        <v>1092</v>
      </c>
      <c r="C46" t="s">
        <v>74</v>
      </c>
      <c r="D46" t="s">
        <v>74</v>
      </c>
      <c r="E46" t="s">
        <v>74</v>
      </c>
      <c r="F46" t="s">
        <v>1093</v>
      </c>
      <c r="G46" t="s">
        <v>74</v>
      </c>
      <c r="H46" t="s">
        <v>74</v>
      </c>
      <c r="I46" t="s">
        <v>1094</v>
      </c>
      <c r="J46" t="s">
        <v>910</v>
      </c>
      <c r="K46" t="s">
        <v>74</v>
      </c>
      <c r="L46" t="s">
        <v>74</v>
      </c>
      <c r="M46" t="s">
        <v>78</v>
      </c>
      <c r="N46" t="s">
        <v>79</v>
      </c>
      <c r="O46" t="s">
        <v>74</v>
      </c>
      <c r="P46" t="s">
        <v>74</v>
      </c>
      <c r="Q46" t="s">
        <v>74</v>
      </c>
      <c r="R46" t="s">
        <v>74</v>
      </c>
      <c r="S46" t="s">
        <v>74</v>
      </c>
      <c r="T46" t="s">
        <v>1095</v>
      </c>
      <c r="U46" t="s">
        <v>1096</v>
      </c>
      <c r="V46" t="s">
        <v>1097</v>
      </c>
      <c r="W46" t="s">
        <v>1098</v>
      </c>
      <c r="X46" t="s">
        <v>1099</v>
      </c>
      <c r="Y46" t="s">
        <v>1100</v>
      </c>
      <c r="Z46" t="s">
        <v>1101</v>
      </c>
      <c r="AA46" t="s">
        <v>1102</v>
      </c>
      <c r="AB46" t="s">
        <v>1103</v>
      </c>
      <c r="AC46" t="s">
        <v>1104</v>
      </c>
      <c r="AD46" t="s">
        <v>74</v>
      </c>
      <c r="AE46" t="s">
        <v>1105</v>
      </c>
      <c r="AF46" t="s">
        <v>74</v>
      </c>
      <c r="AG46">
        <v>58</v>
      </c>
      <c r="AH46">
        <v>3</v>
      </c>
      <c r="AI46">
        <v>3</v>
      </c>
      <c r="AJ46">
        <v>2</v>
      </c>
      <c r="AK46">
        <v>7</v>
      </c>
      <c r="AL46" t="s">
        <v>754</v>
      </c>
      <c r="AM46" t="s">
        <v>755</v>
      </c>
      <c r="AN46" t="s">
        <v>756</v>
      </c>
      <c r="AO46" t="s">
        <v>74</v>
      </c>
      <c r="AP46" t="s">
        <v>922</v>
      </c>
      <c r="AQ46" t="s">
        <v>74</v>
      </c>
      <c r="AR46" t="s">
        <v>923</v>
      </c>
      <c r="AS46" t="s">
        <v>924</v>
      </c>
      <c r="AT46" t="s">
        <v>428</v>
      </c>
      <c r="AU46">
        <v>2022</v>
      </c>
      <c r="AV46">
        <v>14</v>
      </c>
      <c r="AW46">
        <v>20</v>
      </c>
      <c r="AX46" t="s">
        <v>74</v>
      </c>
      <c r="AY46" t="s">
        <v>74</v>
      </c>
      <c r="AZ46" t="s">
        <v>74</v>
      </c>
      <c r="BA46" t="s">
        <v>74</v>
      </c>
      <c r="BB46" t="s">
        <v>74</v>
      </c>
      <c r="BC46" t="s">
        <v>74</v>
      </c>
      <c r="BD46">
        <v>3196</v>
      </c>
      <c r="BE46" t="s">
        <v>1106</v>
      </c>
      <c r="BF46" t="str">
        <f>HYPERLINK("http://dx.doi.org/10.3390/w14203196","http://dx.doi.org/10.3390/w14203196")</f>
        <v>http://dx.doi.org/10.3390/w14203196</v>
      </c>
      <c r="BG46" t="s">
        <v>74</v>
      </c>
      <c r="BH46" t="s">
        <v>74</v>
      </c>
      <c r="BI46">
        <v>11</v>
      </c>
      <c r="BJ46" t="s">
        <v>926</v>
      </c>
      <c r="BK46" t="s">
        <v>100</v>
      </c>
      <c r="BL46" t="s">
        <v>927</v>
      </c>
      <c r="BM46" t="s">
        <v>1107</v>
      </c>
      <c r="BN46" t="s">
        <v>74</v>
      </c>
      <c r="BO46" t="s">
        <v>266</v>
      </c>
      <c r="BP46" t="s">
        <v>74</v>
      </c>
      <c r="BQ46" t="s">
        <v>74</v>
      </c>
      <c r="BR46" t="s">
        <v>103</v>
      </c>
      <c r="BS46" t="s">
        <v>1108</v>
      </c>
      <c r="BT46" t="str">
        <f>HYPERLINK("https%3A%2F%2Fwww.webofscience.com%2Fwos%2Fwoscc%2Ffull-record%2FWOS:000873500000001","View Full Record in Web of Science")</f>
        <v>View Full Record in Web of Science</v>
      </c>
    </row>
    <row r="47" spans="1:72" x14ac:dyDescent="0.15">
      <c r="A47" t="s">
        <v>72</v>
      </c>
      <c r="B47" t="s">
        <v>1109</v>
      </c>
      <c r="C47" t="s">
        <v>74</v>
      </c>
      <c r="D47" t="s">
        <v>74</v>
      </c>
      <c r="E47" t="s">
        <v>74</v>
      </c>
      <c r="F47" t="s">
        <v>1110</v>
      </c>
      <c r="G47" t="s">
        <v>74</v>
      </c>
      <c r="H47" t="s">
        <v>74</v>
      </c>
      <c r="I47" t="s">
        <v>1111</v>
      </c>
      <c r="J47" t="s">
        <v>1112</v>
      </c>
      <c r="K47" t="s">
        <v>74</v>
      </c>
      <c r="L47" t="s">
        <v>74</v>
      </c>
      <c r="M47" t="s">
        <v>78</v>
      </c>
      <c r="N47" t="s">
        <v>165</v>
      </c>
      <c r="O47" t="s">
        <v>74</v>
      </c>
      <c r="P47" t="s">
        <v>74</v>
      </c>
      <c r="Q47" t="s">
        <v>74</v>
      </c>
      <c r="R47" t="s">
        <v>74</v>
      </c>
      <c r="S47" t="s">
        <v>74</v>
      </c>
      <c r="T47" t="s">
        <v>1113</v>
      </c>
      <c r="U47" t="s">
        <v>1114</v>
      </c>
      <c r="V47" t="s">
        <v>1115</v>
      </c>
      <c r="W47" t="s">
        <v>1116</v>
      </c>
      <c r="X47" t="s">
        <v>1117</v>
      </c>
      <c r="Y47" t="s">
        <v>1118</v>
      </c>
      <c r="Z47" t="s">
        <v>1119</v>
      </c>
      <c r="AA47" t="s">
        <v>1120</v>
      </c>
      <c r="AB47" t="s">
        <v>1121</v>
      </c>
      <c r="AC47" t="s">
        <v>1122</v>
      </c>
      <c r="AD47" t="s">
        <v>1123</v>
      </c>
      <c r="AE47" t="s">
        <v>1124</v>
      </c>
      <c r="AF47" t="s">
        <v>74</v>
      </c>
      <c r="AG47">
        <v>204</v>
      </c>
      <c r="AH47">
        <v>2</v>
      </c>
      <c r="AI47">
        <v>2</v>
      </c>
      <c r="AJ47">
        <v>13</v>
      </c>
      <c r="AK47">
        <v>46</v>
      </c>
      <c r="AL47" t="s">
        <v>754</v>
      </c>
      <c r="AM47" t="s">
        <v>755</v>
      </c>
      <c r="AN47" t="s">
        <v>756</v>
      </c>
      <c r="AO47" t="s">
        <v>74</v>
      </c>
      <c r="AP47" t="s">
        <v>1125</v>
      </c>
      <c r="AQ47" t="s">
        <v>74</v>
      </c>
      <c r="AR47" t="s">
        <v>1126</v>
      </c>
      <c r="AS47" t="s">
        <v>1127</v>
      </c>
      <c r="AT47" t="s">
        <v>428</v>
      </c>
      <c r="AU47">
        <v>2022</v>
      </c>
      <c r="AV47">
        <v>13</v>
      </c>
      <c r="AW47">
        <v>10</v>
      </c>
      <c r="AX47" t="s">
        <v>74</v>
      </c>
      <c r="AY47" t="s">
        <v>74</v>
      </c>
      <c r="AZ47" t="s">
        <v>74</v>
      </c>
      <c r="BA47" t="s">
        <v>74</v>
      </c>
      <c r="BB47" t="s">
        <v>74</v>
      </c>
      <c r="BC47" t="s">
        <v>74</v>
      </c>
      <c r="BD47">
        <v>1621</v>
      </c>
      <c r="BE47" t="s">
        <v>1128</v>
      </c>
      <c r="BF47" t="str">
        <f>HYPERLINK("http://dx.doi.org/10.3390/atmos13101621","http://dx.doi.org/10.3390/atmos13101621")</f>
        <v>http://dx.doi.org/10.3390/atmos13101621</v>
      </c>
      <c r="BG47" t="s">
        <v>74</v>
      </c>
      <c r="BH47" t="s">
        <v>74</v>
      </c>
      <c r="BI47">
        <v>34</v>
      </c>
      <c r="BJ47" t="s">
        <v>1129</v>
      </c>
      <c r="BK47" t="s">
        <v>100</v>
      </c>
      <c r="BL47" t="s">
        <v>1130</v>
      </c>
      <c r="BM47" t="s">
        <v>1131</v>
      </c>
      <c r="BN47" t="s">
        <v>74</v>
      </c>
      <c r="BO47" t="s">
        <v>132</v>
      </c>
      <c r="BP47" t="s">
        <v>74</v>
      </c>
      <c r="BQ47" t="s">
        <v>74</v>
      </c>
      <c r="BR47" t="s">
        <v>103</v>
      </c>
      <c r="BS47" t="s">
        <v>1132</v>
      </c>
      <c r="BT47" t="str">
        <f>HYPERLINK("https%3A%2F%2Fwww.webofscience.com%2Fwos%2Fwoscc%2Ffull-record%2FWOS:000872298400001","View Full Record in Web of Science")</f>
        <v>View Full Record in Web of Science</v>
      </c>
    </row>
    <row r="48" spans="1:72" x14ac:dyDescent="0.15">
      <c r="A48" t="s">
        <v>72</v>
      </c>
      <c r="B48" t="s">
        <v>1133</v>
      </c>
      <c r="C48" t="s">
        <v>74</v>
      </c>
      <c r="D48" t="s">
        <v>74</v>
      </c>
      <c r="E48" t="s">
        <v>74</v>
      </c>
      <c r="F48" t="s">
        <v>1134</v>
      </c>
      <c r="G48" t="s">
        <v>74</v>
      </c>
      <c r="H48" t="s">
        <v>74</v>
      </c>
      <c r="I48" t="s">
        <v>1135</v>
      </c>
      <c r="J48" t="s">
        <v>741</v>
      </c>
      <c r="K48" t="s">
        <v>74</v>
      </c>
      <c r="L48" t="s">
        <v>74</v>
      </c>
      <c r="M48" t="s">
        <v>78</v>
      </c>
      <c r="N48" t="s">
        <v>79</v>
      </c>
      <c r="O48" t="s">
        <v>74</v>
      </c>
      <c r="P48" t="s">
        <v>74</v>
      </c>
      <c r="Q48" t="s">
        <v>74</v>
      </c>
      <c r="R48" t="s">
        <v>74</v>
      </c>
      <c r="S48" t="s">
        <v>74</v>
      </c>
      <c r="T48" t="s">
        <v>1136</v>
      </c>
      <c r="U48" t="s">
        <v>1137</v>
      </c>
      <c r="V48" t="s">
        <v>1138</v>
      </c>
      <c r="W48" t="s">
        <v>1139</v>
      </c>
      <c r="X48" t="s">
        <v>1140</v>
      </c>
      <c r="Y48" t="s">
        <v>1141</v>
      </c>
      <c r="Z48" t="s">
        <v>1142</v>
      </c>
      <c r="AA48" t="s">
        <v>74</v>
      </c>
      <c r="AB48" t="s">
        <v>1143</v>
      </c>
      <c r="AC48" t="s">
        <v>1144</v>
      </c>
      <c r="AD48" t="s">
        <v>1145</v>
      </c>
      <c r="AE48" t="s">
        <v>1146</v>
      </c>
      <c r="AF48" t="s">
        <v>74</v>
      </c>
      <c r="AG48">
        <v>62</v>
      </c>
      <c r="AH48">
        <v>0</v>
      </c>
      <c r="AI48">
        <v>0</v>
      </c>
      <c r="AJ48">
        <v>0</v>
      </c>
      <c r="AK48">
        <v>11</v>
      </c>
      <c r="AL48" t="s">
        <v>754</v>
      </c>
      <c r="AM48" t="s">
        <v>755</v>
      </c>
      <c r="AN48" t="s">
        <v>756</v>
      </c>
      <c r="AO48" t="s">
        <v>74</v>
      </c>
      <c r="AP48" t="s">
        <v>757</v>
      </c>
      <c r="AQ48" t="s">
        <v>74</v>
      </c>
      <c r="AR48" t="s">
        <v>741</v>
      </c>
      <c r="AS48" t="s">
        <v>758</v>
      </c>
      <c r="AT48" t="s">
        <v>428</v>
      </c>
      <c r="AU48">
        <v>2022</v>
      </c>
      <c r="AV48">
        <v>11</v>
      </c>
      <c r="AW48">
        <v>10</v>
      </c>
      <c r="AX48" t="s">
        <v>74</v>
      </c>
      <c r="AY48" t="s">
        <v>74</v>
      </c>
      <c r="AZ48" t="s">
        <v>74</v>
      </c>
      <c r="BA48" t="s">
        <v>74</v>
      </c>
      <c r="BB48" t="s">
        <v>74</v>
      </c>
      <c r="BC48" t="s">
        <v>74</v>
      </c>
      <c r="BD48">
        <v>1499</v>
      </c>
      <c r="BE48" t="s">
        <v>1147</v>
      </c>
      <c r="BF48" t="str">
        <f>HYPERLINK("http://dx.doi.org/10.3390/biology11101499","http://dx.doi.org/10.3390/biology11101499")</f>
        <v>http://dx.doi.org/10.3390/biology11101499</v>
      </c>
      <c r="BG48" t="s">
        <v>74</v>
      </c>
      <c r="BH48" t="s">
        <v>74</v>
      </c>
      <c r="BI48">
        <v>13</v>
      </c>
      <c r="BJ48" t="s">
        <v>760</v>
      </c>
      <c r="BK48" t="s">
        <v>100</v>
      </c>
      <c r="BL48" t="s">
        <v>761</v>
      </c>
      <c r="BM48" t="s">
        <v>1148</v>
      </c>
      <c r="BN48">
        <v>36290403</v>
      </c>
      <c r="BO48" t="s">
        <v>159</v>
      </c>
      <c r="BP48" t="s">
        <v>74</v>
      </c>
      <c r="BQ48" t="s">
        <v>74</v>
      </c>
      <c r="BR48" t="s">
        <v>103</v>
      </c>
      <c r="BS48" t="s">
        <v>1149</v>
      </c>
      <c r="BT48" t="str">
        <f>HYPERLINK("https%3A%2F%2Fwww.webofscience.com%2Fwos%2Fwoscc%2Ffull-record%2FWOS:000872194100001","View Full Record in Web of Science")</f>
        <v>View Full Record in Web of Science</v>
      </c>
    </row>
    <row r="49" spans="1:72" x14ac:dyDescent="0.15">
      <c r="A49" t="s">
        <v>72</v>
      </c>
      <c r="B49" t="s">
        <v>1150</v>
      </c>
      <c r="C49" t="s">
        <v>74</v>
      </c>
      <c r="D49" t="s">
        <v>74</v>
      </c>
      <c r="E49" t="s">
        <v>74</v>
      </c>
      <c r="F49" t="s">
        <v>1151</v>
      </c>
      <c r="G49" t="s">
        <v>74</v>
      </c>
      <c r="H49" t="s">
        <v>74</v>
      </c>
      <c r="I49" t="s">
        <v>1152</v>
      </c>
      <c r="J49" t="s">
        <v>1153</v>
      </c>
      <c r="K49" t="s">
        <v>74</v>
      </c>
      <c r="L49" t="s">
        <v>74</v>
      </c>
      <c r="M49" t="s">
        <v>78</v>
      </c>
      <c r="N49" t="s">
        <v>79</v>
      </c>
      <c r="O49" t="s">
        <v>74</v>
      </c>
      <c r="P49" t="s">
        <v>74</v>
      </c>
      <c r="Q49" t="s">
        <v>74</v>
      </c>
      <c r="R49" t="s">
        <v>74</v>
      </c>
      <c r="S49" t="s">
        <v>74</v>
      </c>
      <c r="T49" t="s">
        <v>1154</v>
      </c>
      <c r="U49" t="s">
        <v>1155</v>
      </c>
      <c r="V49" t="s">
        <v>1156</v>
      </c>
      <c r="W49" t="s">
        <v>1157</v>
      </c>
      <c r="X49" t="s">
        <v>1158</v>
      </c>
      <c r="Y49" t="s">
        <v>1159</v>
      </c>
      <c r="Z49" t="s">
        <v>1160</v>
      </c>
      <c r="AA49" t="s">
        <v>1161</v>
      </c>
      <c r="AB49" t="s">
        <v>1162</v>
      </c>
      <c r="AC49" t="s">
        <v>1163</v>
      </c>
      <c r="AD49" t="s">
        <v>1164</v>
      </c>
      <c r="AE49" t="s">
        <v>1165</v>
      </c>
      <c r="AF49" t="s">
        <v>74</v>
      </c>
      <c r="AG49">
        <v>145</v>
      </c>
      <c r="AH49">
        <v>1</v>
      </c>
      <c r="AI49">
        <v>1</v>
      </c>
      <c r="AJ49">
        <v>2</v>
      </c>
      <c r="AK49">
        <v>7</v>
      </c>
      <c r="AL49" t="s">
        <v>754</v>
      </c>
      <c r="AM49" t="s">
        <v>755</v>
      </c>
      <c r="AN49" t="s">
        <v>756</v>
      </c>
      <c r="AO49" t="s">
        <v>74</v>
      </c>
      <c r="AP49" t="s">
        <v>1166</v>
      </c>
      <c r="AQ49" t="s">
        <v>74</v>
      </c>
      <c r="AR49" t="s">
        <v>1153</v>
      </c>
      <c r="AS49" t="s">
        <v>1167</v>
      </c>
      <c r="AT49" t="s">
        <v>428</v>
      </c>
      <c r="AU49">
        <v>2022</v>
      </c>
      <c r="AV49">
        <v>14</v>
      </c>
      <c r="AW49">
        <v>10</v>
      </c>
      <c r="AX49" t="s">
        <v>74</v>
      </c>
      <c r="AY49" t="s">
        <v>74</v>
      </c>
      <c r="AZ49" t="s">
        <v>74</v>
      </c>
      <c r="BA49" t="s">
        <v>74</v>
      </c>
      <c r="BB49" t="s">
        <v>74</v>
      </c>
      <c r="BC49" t="s">
        <v>74</v>
      </c>
      <c r="BD49">
        <v>817</v>
      </c>
      <c r="BE49" t="s">
        <v>1168</v>
      </c>
      <c r="BF49" t="str">
        <f>HYPERLINK("http://dx.doi.org/10.3390/d14100817","http://dx.doi.org/10.3390/d14100817")</f>
        <v>http://dx.doi.org/10.3390/d14100817</v>
      </c>
      <c r="BG49" t="s">
        <v>74</v>
      </c>
      <c r="BH49" t="s">
        <v>74</v>
      </c>
      <c r="BI49">
        <v>18</v>
      </c>
      <c r="BJ49" t="s">
        <v>1169</v>
      </c>
      <c r="BK49" t="s">
        <v>100</v>
      </c>
      <c r="BL49" t="s">
        <v>1170</v>
      </c>
      <c r="BM49" t="s">
        <v>1171</v>
      </c>
      <c r="BN49" t="s">
        <v>74</v>
      </c>
      <c r="BO49" t="s">
        <v>266</v>
      </c>
      <c r="BP49" t="s">
        <v>74</v>
      </c>
      <c r="BQ49" t="s">
        <v>74</v>
      </c>
      <c r="BR49" t="s">
        <v>103</v>
      </c>
      <c r="BS49" t="s">
        <v>1172</v>
      </c>
      <c r="BT49" t="str">
        <f>HYPERLINK("https%3A%2F%2Fwww.webofscience.com%2Fwos%2Fwoscc%2Ffull-record%2FWOS:000872737400001","View Full Record in Web of Science")</f>
        <v>View Full Record in Web of Science</v>
      </c>
    </row>
    <row r="50" spans="1:72" x14ac:dyDescent="0.15">
      <c r="A50" t="s">
        <v>72</v>
      </c>
      <c r="B50" t="s">
        <v>1173</v>
      </c>
      <c r="C50" t="s">
        <v>74</v>
      </c>
      <c r="D50" t="s">
        <v>74</v>
      </c>
      <c r="E50" t="s">
        <v>74</v>
      </c>
      <c r="F50" t="s">
        <v>1174</v>
      </c>
      <c r="G50" t="s">
        <v>74</v>
      </c>
      <c r="H50" t="s">
        <v>74</v>
      </c>
      <c r="I50" t="s">
        <v>1175</v>
      </c>
      <c r="J50" t="s">
        <v>1176</v>
      </c>
      <c r="K50" t="s">
        <v>74</v>
      </c>
      <c r="L50" t="s">
        <v>74</v>
      </c>
      <c r="M50" t="s">
        <v>78</v>
      </c>
      <c r="N50" t="s">
        <v>79</v>
      </c>
      <c r="O50" t="s">
        <v>74</v>
      </c>
      <c r="P50" t="s">
        <v>74</v>
      </c>
      <c r="Q50" t="s">
        <v>74</v>
      </c>
      <c r="R50" t="s">
        <v>74</v>
      </c>
      <c r="S50" t="s">
        <v>74</v>
      </c>
      <c r="T50" t="s">
        <v>1177</v>
      </c>
      <c r="U50" t="s">
        <v>1178</v>
      </c>
      <c r="V50" t="s">
        <v>1179</v>
      </c>
      <c r="W50" t="s">
        <v>1180</v>
      </c>
      <c r="X50" t="s">
        <v>1181</v>
      </c>
      <c r="Y50" t="s">
        <v>1182</v>
      </c>
      <c r="Z50" t="s">
        <v>1183</v>
      </c>
      <c r="AA50" t="s">
        <v>1184</v>
      </c>
      <c r="AB50" t="s">
        <v>1185</v>
      </c>
      <c r="AC50" t="s">
        <v>1186</v>
      </c>
      <c r="AD50" t="s">
        <v>1187</v>
      </c>
      <c r="AE50" t="s">
        <v>1188</v>
      </c>
      <c r="AF50" t="s">
        <v>74</v>
      </c>
      <c r="AG50">
        <v>72</v>
      </c>
      <c r="AH50">
        <v>4</v>
      </c>
      <c r="AI50">
        <v>4</v>
      </c>
      <c r="AJ50">
        <v>3</v>
      </c>
      <c r="AK50">
        <v>8</v>
      </c>
      <c r="AL50" t="s">
        <v>754</v>
      </c>
      <c r="AM50" t="s">
        <v>755</v>
      </c>
      <c r="AN50" t="s">
        <v>756</v>
      </c>
      <c r="AO50" t="s">
        <v>74</v>
      </c>
      <c r="AP50" t="s">
        <v>1189</v>
      </c>
      <c r="AQ50" t="s">
        <v>74</v>
      </c>
      <c r="AR50" t="s">
        <v>1190</v>
      </c>
      <c r="AS50" t="s">
        <v>1191</v>
      </c>
      <c r="AT50" t="s">
        <v>428</v>
      </c>
      <c r="AU50">
        <v>2022</v>
      </c>
      <c r="AV50">
        <v>7</v>
      </c>
      <c r="AW50">
        <v>5</v>
      </c>
      <c r="AX50" t="s">
        <v>74</v>
      </c>
      <c r="AY50" t="s">
        <v>74</v>
      </c>
      <c r="AZ50" t="s">
        <v>74</v>
      </c>
      <c r="BA50" t="s">
        <v>74</v>
      </c>
      <c r="BB50" t="s">
        <v>74</v>
      </c>
      <c r="BC50" t="s">
        <v>74</v>
      </c>
      <c r="BD50">
        <v>232</v>
      </c>
      <c r="BE50" t="s">
        <v>1192</v>
      </c>
      <c r="BF50" t="str">
        <f>HYPERLINK("http://dx.doi.org/10.3390/fishes7050232","http://dx.doi.org/10.3390/fishes7050232")</f>
        <v>http://dx.doi.org/10.3390/fishes7050232</v>
      </c>
      <c r="BG50" t="s">
        <v>74</v>
      </c>
      <c r="BH50" t="s">
        <v>74</v>
      </c>
      <c r="BI50">
        <v>17</v>
      </c>
      <c r="BJ50" t="s">
        <v>1193</v>
      </c>
      <c r="BK50" t="s">
        <v>100</v>
      </c>
      <c r="BL50" t="s">
        <v>1193</v>
      </c>
      <c r="BM50" t="s">
        <v>1194</v>
      </c>
      <c r="BN50" t="s">
        <v>74</v>
      </c>
      <c r="BO50" t="s">
        <v>1195</v>
      </c>
      <c r="BP50" t="s">
        <v>74</v>
      </c>
      <c r="BQ50" t="s">
        <v>74</v>
      </c>
      <c r="BR50" t="s">
        <v>103</v>
      </c>
      <c r="BS50" t="s">
        <v>1196</v>
      </c>
      <c r="BT50" t="str">
        <f>HYPERLINK("https%3A%2F%2Fwww.webofscience.com%2Fwos%2Fwoscc%2Ffull-record%2FWOS:000872412000001","View Full Record in Web of Science")</f>
        <v>View Full Record in Web of Science</v>
      </c>
    </row>
    <row r="51" spans="1:72" x14ac:dyDescent="0.15">
      <c r="A51" t="s">
        <v>72</v>
      </c>
      <c r="B51" t="s">
        <v>1197</v>
      </c>
      <c r="C51" t="s">
        <v>74</v>
      </c>
      <c r="D51" t="s">
        <v>74</v>
      </c>
      <c r="E51" t="s">
        <v>74</v>
      </c>
      <c r="F51" t="s">
        <v>1198</v>
      </c>
      <c r="G51" t="s">
        <v>74</v>
      </c>
      <c r="H51" t="s">
        <v>74</v>
      </c>
      <c r="I51" t="s">
        <v>1199</v>
      </c>
      <c r="J51" t="s">
        <v>1200</v>
      </c>
      <c r="K51" t="s">
        <v>74</v>
      </c>
      <c r="L51" t="s">
        <v>74</v>
      </c>
      <c r="M51" t="s">
        <v>78</v>
      </c>
      <c r="N51" t="s">
        <v>79</v>
      </c>
      <c r="O51" t="s">
        <v>74</v>
      </c>
      <c r="P51" t="s">
        <v>74</v>
      </c>
      <c r="Q51" t="s">
        <v>74</v>
      </c>
      <c r="R51" t="s">
        <v>74</v>
      </c>
      <c r="S51" t="s">
        <v>74</v>
      </c>
      <c r="T51" t="s">
        <v>74</v>
      </c>
      <c r="U51" t="s">
        <v>1201</v>
      </c>
      <c r="V51" t="s">
        <v>1202</v>
      </c>
      <c r="W51" t="s">
        <v>1203</v>
      </c>
      <c r="X51" t="s">
        <v>1204</v>
      </c>
      <c r="Y51" t="s">
        <v>1205</v>
      </c>
      <c r="Z51" t="s">
        <v>1206</v>
      </c>
      <c r="AA51" t="s">
        <v>1207</v>
      </c>
      <c r="AB51" t="s">
        <v>1208</v>
      </c>
      <c r="AC51" t="s">
        <v>1209</v>
      </c>
      <c r="AD51" t="s">
        <v>1210</v>
      </c>
      <c r="AE51" t="s">
        <v>1211</v>
      </c>
      <c r="AF51" t="s">
        <v>74</v>
      </c>
      <c r="AG51">
        <v>111</v>
      </c>
      <c r="AH51">
        <v>7</v>
      </c>
      <c r="AI51">
        <v>7</v>
      </c>
      <c r="AJ51">
        <v>6</v>
      </c>
      <c r="AK51">
        <v>29</v>
      </c>
      <c r="AL51" t="s">
        <v>946</v>
      </c>
      <c r="AM51" t="s">
        <v>207</v>
      </c>
      <c r="AN51" t="s">
        <v>947</v>
      </c>
      <c r="AO51" t="s">
        <v>1212</v>
      </c>
      <c r="AP51" t="s">
        <v>1213</v>
      </c>
      <c r="AQ51" t="s">
        <v>74</v>
      </c>
      <c r="AR51" t="s">
        <v>1214</v>
      </c>
      <c r="AS51" t="s">
        <v>1215</v>
      </c>
      <c r="AT51" t="s">
        <v>428</v>
      </c>
      <c r="AU51">
        <v>2022</v>
      </c>
      <c r="AV51">
        <v>127</v>
      </c>
      <c r="AW51">
        <v>10</v>
      </c>
      <c r="AX51" t="s">
        <v>74</v>
      </c>
      <c r="AY51" t="s">
        <v>74</v>
      </c>
      <c r="AZ51" t="s">
        <v>74</v>
      </c>
      <c r="BA51" t="s">
        <v>74</v>
      </c>
      <c r="BB51" t="s">
        <v>74</v>
      </c>
      <c r="BC51" t="s">
        <v>74</v>
      </c>
      <c r="BD51" t="s">
        <v>1216</v>
      </c>
      <c r="BE51" t="s">
        <v>1217</v>
      </c>
      <c r="BF51" t="str">
        <f>HYPERLINK("http://dx.doi.org/10.1029/2022JG006798","http://dx.doi.org/10.1029/2022JG006798")</f>
        <v>http://dx.doi.org/10.1029/2022JG006798</v>
      </c>
      <c r="BG51" t="s">
        <v>74</v>
      </c>
      <c r="BH51" t="s">
        <v>74</v>
      </c>
      <c r="BI51">
        <v>24</v>
      </c>
      <c r="BJ51" t="s">
        <v>1218</v>
      </c>
      <c r="BK51" t="s">
        <v>100</v>
      </c>
      <c r="BL51" t="s">
        <v>1219</v>
      </c>
      <c r="BM51" t="s">
        <v>1220</v>
      </c>
      <c r="BN51" t="s">
        <v>74</v>
      </c>
      <c r="BO51" t="s">
        <v>1221</v>
      </c>
      <c r="BP51" t="s">
        <v>74</v>
      </c>
      <c r="BQ51" t="s">
        <v>74</v>
      </c>
      <c r="BR51" t="s">
        <v>103</v>
      </c>
      <c r="BS51" t="s">
        <v>1222</v>
      </c>
      <c r="BT51" t="str">
        <f>HYPERLINK("https%3A%2F%2Fwww.webofscience.com%2Fwos%2Fwoscc%2Ffull-record%2FWOS:000873395100001","View Full Record in Web of Science")</f>
        <v>View Full Record in Web of Science</v>
      </c>
    </row>
    <row r="52" spans="1:72" x14ac:dyDescent="0.15">
      <c r="A52" t="s">
        <v>72</v>
      </c>
      <c r="B52" t="s">
        <v>1223</v>
      </c>
      <c r="C52" t="s">
        <v>74</v>
      </c>
      <c r="D52" t="s">
        <v>74</v>
      </c>
      <c r="E52" t="s">
        <v>74</v>
      </c>
      <c r="F52" t="s">
        <v>1224</v>
      </c>
      <c r="G52" t="s">
        <v>74</v>
      </c>
      <c r="H52" t="s">
        <v>74</v>
      </c>
      <c r="I52" t="s">
        <v>1225</v>
      </c>
      <c r="J52" t="s">
        <v>1226</v>
      </c>
      <c r="K52" t="s">
        <v>74</v>
      </c>
      <c r="L52" t="s">
        <v>74</v>
      </c>
      <c r="M52" t="s">
        <v>78</v>
      </c>
      <c r="N52" t="s">
        <v>79</v>
      </c>
      <c r="O52" t="s">
        <v>74</v>
      </c>
      <c r="P52" t="s">
        <v>74</v>
      </c>
      <c r="Q52" t="s">
        <v>74</v>
      </c>
      <c r="R52" t="s">
        <v>74</v>
      </c>
      <c r="S52" t="s">
        <v>74</v>
      </c>
      <c r="T52" t="s">
        <v>1227</v>
      </c>
      <c r="U52" t="s">
        <v>1228</v>
      </c>
      <c r="V52" t="s">
        <v>1229</v>
      </c>
      <c r="W52" t="s">
        <v>1230</v>
      </c>
      <c r="X52" t="s">
        <v>1231</v>
      </c>
      <c r="Y52" t="s">
        <v>1232</v>
      </c>
      <c r="Z52" t="s">
        <v>1233</v>
      </c>
      <c r="AA52" t="s">
        <v>74</v>
      </c>
      <c r="AB52" t="s">
        <v>1234</v>
      </c>
      <c r="AC52" t="s">
        <v>1235</v>
      </c>
      <c r="AD52" t="s">
        <v>1236</v>
      </c>
      <c r="AE52" t="s">
        <v>1237</v>
      </c>
      <c r="AF52" t="s">
        <v>74</v>
      </c>
      <c r="AG52">
        <v>99</v>
      </c>
      <c r="AH52">
        <v>1</v>
      </c>
      <c r="AI52">
        <v>1</v>
      </c>
      <c r="AJ52">
        <v>0</v>
      </c>
      <c r="AK52">
        <v>8</v>
      </c>
      <c r="AL52" t="s">
        <v>754</v>
      </c>
      <c r="AM52" t="s">
        <v>755</v>
      </c>
      <c r="AN52" t="s">
        <v>756</v>
      </c>
      <c r="AO52" t="s">
        <v>74</v>
      </c>
      <c r="AP52" t="s">
        <v>1238</v>
      </c>
      <c r="AQ52" t="s">
        <v>74</v>
      </c>
      <c r="AR52" t="s">
        <v>1239</v>
      </c>
      <c r="AS52" t="s">
        <v>1240</v>
      </c>
      <c r="AT52" t="s">
        <v>428</v>
      </c>
      <c r="AU52">
        <v>2022</v>
      </c>
      <c r="AV52">
        <v>14</v>
      </c>
      <c r="AW52">
        <v>19</v>
      </c>
      <c r="AX52" t="s">
        <v>74</v>
      </c>
      <c r="AY52" t="s">
        <v>74</v>
      </c>
      <c r="AZ52" t="s">
        <v>74</v>
      </c>
      <c r="BA52" t="s">
        <v>74</v>
      </c>
      <c r="BB52" t="s">
        <v>74</v>
      </c>
      <c r="BC52" t="s">
        <v>74</v>
      </c>
      <c r="BD52">
        <v>4741</v>
      </c>
      <c r="BE52" t="s">
        <v>1241</v>
      </c>
      <c r="BF52" t="str">
        <f>HYPERLINK("http://dx.doi.org/10.3390/rs14194741","http://dx.doi.org/10.3390/rs14194741")</f>
        <v>http://dx.doi.org/10.3390/rs14194741</v>
      </c>
      <c r="BG52" t="s">
        <v>74</v>
      </c>
      <c r="BH52" t="s">
        <v>74</v>
      </c>
      <c r="BI52">
        <v>31</v>
      </c>
      <c r="BJ52" t="s">
        <v>1242</v>
      </c>
      <c r="BK52" t="s">
        <v>100</v>
      </c>
      <c r="BL52" t="s">
        <v>1243</v>
      </c>
      <c r="BM52" t="s">
        <v>1244</v>
      </c>
      <c r="BN52" t="s">
        <v>74</v>
      </c>
      <c r="BO52" t="s">
        <v>132</v>
      </c>
      <c r="BP52" t="s">
        <v>74</v>
      </c>
      <c r="BQ52" t="s">
        <v>74</v>
      </c>
      <c r="BR52" t="s">
        <v>103</v>
      </c>
      <c r="BS52" t="s">
        <v>1245</v>
      </c>
      <c r="BT52" t="str">
        <f>HYPERLINK("https%3A%2F%2Fwww.webofscience.com%2Fwos%2Fwoscc%2Ffull-record%2FWOS:000867276800001","View Full Record in Web of Science")</f>
        <v>View Full Record in Web of Science</v>
      </c>
    </row>
    <row r="53" spans="1:72" x14ac:dyDescent="0.15">
      <c r="A53" t="s">
        <v>72</v>
      </c>
      <c r="B53" t="s">
        <v>1246</v>
      </c>
      <c r="C53" t="s">
        <v>74</v>
      </c>
      <c r="D53" t="s">
        <v>74</v>
      </c>
      <c r="E53" t="s">
        <v>74</v>
      </c>
      <c r="F53" t="s">
        <v>1247</v>
      </c>
      <c r="G53" t="s">
        <v>74</v>
      </c>
      <c r="H53" t="s">
        <v>74</v>
      </c>
      <c r="I53" t="s">
        <v>1248</v>
      </c>
      <c r="J53" t="s">
        <v>1112</v>
      </c>
      <c r="K53" t="s">
        <v>74</v>
      </c>
      <c r="L53" t="s">
        <v>74</v>
      </c>
      <c r="M53" t="s">
        <v>78</v>
      </c>
      <c r="N53" t="s">
        <v>79</v>
      </c>
      <c r="O53" t="s">
        <v>74</v>
      </c>
      <c r="P53" t="s">
        <v>74</v>
      </c>
      <c r="Q53" t="s">
        <v>74</v>
      </c>
      <c r="R53" t="s">
        <v>74</v>
      </c>
      <c r="S53" t="s">
        <v>74</v>
      </c>
      <c r="T53" t="s">
        <v>1249</v>
      </c>
      <c r="U53" t="s">
        <v>1250</v>
      </c>
      <c r="V53" t="s">
        <v>1251</v>
      </c>
      <c r="W53" t="s">
        <v>1252</v>
      </c>
      <c r="X53" t="s">
        <v>1253</v>
      </c>
      <c r="Y53" t="s">
        <v>1254</v>
      </c>
      <c r="Z53" t="s">
        <v>1255</v>
      </c>
      <c r="AA53" t="s">
        <v>1256</v>
      </c>
      <c r="AB53" t="s">
        <v>1257</v>
      </c>
      <c r="AC53" t="s">
        <v>1258</v>
      </c>
      <c r="AD53" t="s">
        <v>1259</v>
      </c>
      <c r="AE53" t="s">
        <v>1260</v>
      </c>
      <c r="AF53" t="s">
        <v>74</v>
      </c>
      <c r="AG53">
        <v>65</v>
      </c>
      <c r="AH53">
        <v>2</v>
      </c>
      <c r="AI53">
        <v>2</v>
      </c>
      <c r="AJ53">
        <v>1</v>
      </c>
      <c r="AK53">
        <v>9</v>
      </c>
      <c r="AL53" t="s">
        <v>754</v>
      </c>
      <c r="AM53" t="s">
        <v>755</v>
      </c>
      <c r="AN53" t="s">
        <v>756</v>
      </c>
      <c r="AO53" t="s">
        <v>74</v>
      </c>
      <c r="AP53" t="s">
        <v>1125</v>
      </c>
      <c r="AQ53" t="s">
        <v>74</v>
      </c>
      <c r="AR53" t="s">
        <v>1126</v>
      </c>
      <c r="AS53" t="s">
        <v>1127</v>
      </c>
      <c r="AT53" t="s">
        <v>428</v>
      </c>
      <c r="AU53">
        <v>2022</v>
      </c>
      <c r="AV53">
        <v>13</v>
      </c>
      <c r="AW53">
        <v>10</v>
      </c>
      <c r="AX53" t="s">
        <v>74</v>
      </c>
      <c r="AY53" t="s">
        <v>74</v>
      </c>
      <c r="AZ53" t="s">
        <v>74</v>
      </c>
      <c r="BA53" t="s">
        <v>74</v>
      </c>
      <c r="BB53" t="s">
        <v>74</v>
      </c>
      <c r="BC53" t="s">
        <v>74</v>
      </c>
      <c r="BD53">
        <v>1602</v>
      </c>
      <c r="BE53" t="s">
        <v>1261</v>
      </c>
      <c r="BF53" t="str">
        <f>HYPERLINK("http://dx.doi.org/10.3390/atmos13101602","http://dx.doi.org/10.3390/atmos13101602")</f>
        <v>http://dx.doi.org/10.3390/atmos13101602</v>
      </c>
      <c r="BG53" t="s">
        <v>74</v>
      </c>
      <c r="BH53" t="s">
        <v>74</v>
      </c>
      <c r="BI53">
        <v>20</v>
      </c>
      <c r="BJ53" t="s">
        <v>1129</v>
      </c>
      <c r="BK53" t="s">
        <v>100</v>
      </c>
      <c r="BL53" t="s">
        <v>1130</v>
      </c>
      <c r="BM53" t="s">
        <v>1262</v>
      </c>
      <c r="BN53" t="s">
        <v>74</v>
      </c>
      <c r="BO53" t="s">
        <v>266</v>
      </c>
      <c r="BP53" t="s">
        <v>74</v>
      </c>
      <c r="BQ53" t="s">
        <v>74</v>
      </c>
      <c r="BR53" t="s">
        <v>103</v>
      </c>
      <c r="BS53" t="s">
        <v>1263</v>
      </c>
      <c r="BT53" t="str">
        <f>HYPERLINK("https%3A%2F%2Fwww.webofscience.com%2Fwos%2Fwoscc%2Ffull-record%2FWOS:000872221200001","View Full Record in Web of Science")</f>
        <v>View Full Record in Web of Science</v>
      </c>
    </row>
    <row r="54" spans="1:72" x14ac:dyDescent="0.15">
      <c r="A54" t="s">
        <v>72</v>
      </c>
      <c r="B54" t="s">
        <v>1264</v>
      </c>
      <c r="C54" t="s">
        <v>74</v>
      </c>
      <c r="D54" t="s">
        <v>74</v>
      </c>
      <c r="E54" t="s">
        <v>74</v>
      </c>
      <c r="F54" t="s">
        <v>1265</v>
      </c>
      <c r="G54" t="s">
        <v>74</v>
      </c>
      <c r="H54" t="s">
        <v>74</v>
      </c>
      <c r="I54" t="s">
        <v>1266</v>
      </c>
      <c r="J54" t="s">
        <v>1112</v>
      </c>
      <c r="K54" t="s">
        <v>74</v>
      </c>
      <c r="L54" t="s">
        <v>74</v>
      </c>
      <c r="M54" t="s">
        <v>78</v>
      </c>
      <c r="N54" t="s">
        <v>79</v>
      </c>
      <c r="O54" t="s">
        <v>74</v>
      </c>
      <c r="P54" t="s">
        <v>74</v>
      </c>
      <c r="Q54" t="s">
        <v>74</v>
      </c>
      <c r="R54" t="s">
        <v>74</v>
      </c>
      <c r="S54" t="s">
        <v>74</v>
      </c>
      <c r="T54" t="s">
        <v>1267</v>
      </c>
      <c r="U54" t="s">
        <v>1268</v>
      </c>
      <c r="V54" t="s">
        <v>1269</v>
      </c>
      <c r="W54" t="s">
        <v>1270</v>
      </c>
      <c r="X54" t="s">
        <v>1271</v>
      </c>
      <c r="Y54" t="s">
        <v>1272</v>
      </c>
      <c r="Z54" t="s">
        <v>1273</v>
      </c>
      <c r="AA54" t="s">
        <v>1274</v>
      </c>
      <c r="AB54" t="s">
        <v>1275</v>
      </c>
      <c r="AC54" t="s">
        <v>1276</v>
      </c>
      <c r="AD54" t="s">
        <v>1277</v>
      </c>
      <c r="AE54" t="s">
        <v>1278</v>
      </c>
      <c r="AF54" t="s">
        <v>74</v>
      </c>
      <c r="AG54">
        <v>40</v>
      </c>
      <c r="AH54">
        <v>2</v>
      </c>
      <c r="AI54">
        <v>2</v>
      </c>
      <c r="AJ54">
        <v>1</v>
      </c>
      <c r="AK54">
        <v>7</v>
      </c>
      <c r="AL54" t="s">
        <v>754</v>
      </c>
      <c r="AM54" t="s">
        <v>755</v>
      </c>
      <c r="AN54" t="s">
        <v>756</v>
      </c>
      <c r="AO54" t="s">
        <v>74</v>
      </c>
      <c r="AP54" t="s">
        <v>1125</v>
      </c>
      <c r="AQ54" t="s">
        <v>74</v>
      </c>
      <c r="AR54" t="s">
        <v>1126</v>
      </c>
      <c r="AS54" t="s">
        <v>1127</v>
      </c>
      <c r="AT54" t="s">
        <v>428</v>
      </c>
      <c r="AU54">
        <v>2022</v>
      </c>
      <c r="AV54">
        <v>13</v>
      </c>
      <c r="AW54">
        <v>10</v>
      </c>
      <c r="AX54" t="s">
        <v>74</v>
      </c>
      <c r="AY54" t="s">
        <v>74</v>
      </c>
      <c r="AZ54" t="s">
        <v>74</v>
      </c>
      <c r="BA54" t="s">
        <v>74</v>
      </c>
      <c r="BB54" t="s">
        <v>74</v>
      </c>
      <c r="BC54" t="s">
        <v>74</v>
      </c>
      <c r="BD54">
        <v>1694</v>
      </c>
      <c r="BE54" t="s">
        <v>1279</v>
      </c>
      <c r="BF54" t="str">
        <f>HYPERLINK("http://dx.doi.org/10.3390/atmos13101694","http://dx.doi.org/10.3390/atmos13101694")</f>
        <v>http://dx.doi.org/10.3390/atmos13101694</v>
      </c>
      <c r="BG54" t="s">
        <v>74</v>
      </c>
      <c r="BH54" t="s">
        <v>74</v>
      </c>
      <c r="BI54">
        <v>15</v>
      </c>
      <c r="BJ54" t="s">
        <v>1129</v>
      </c>
      <c r="BK54" t="s">
        <v>100</v>
      </c>
      <c r="BL54" t="s">
        <v>1130</v>
      </c>
      <c r="BM54" t="s">
        <v>1280</v>
      </c>
      <c r="BN54" t="s">
        <v>74</v>
      </c>
      <c r="BO54" t="s">
        <v>266</v>
      </c>
      <c r="BP54" t="s">
        <v>74</v>
      </c>
      <c r="BQ54" t="s">
        <v>74</v>
      </c>
      <c r="BR54" t="s">
        <v>103</v>
      </c>
      <c r="BS54" t="s">
        <v>1281</v>
      </c>
      <c r="BT54" t="str">
        <f>HYPERLINK("https%3A%2F%2Fwww.webofscience.com%2Fwos%2Fwoscc%2Ffull-record%2FWOS:000872302800001","View Full Record in Web of Science")</f>
        <v>View Full Record in Web of Science</v>
      </c>
    </row>
    <row r="55" spans="1:72" x14ac:dyDescent="0.15">
      <c r="A55" t="s">
        <v>72</v>
      </c>
      <c r="B55" t="s">
        <v>1282</v>
      </c>
      <c r="C55" t="s">
        <v>74</v>
      </c>
      <c r="D55" t="s">
        <v>74</v>
      </c>
      <c r="E55" t="s">
        <v>74</v>
      </c>
      <c r="F55" t="s">
        <v>1283</v>
      </c>
      <c r="G55" t="s">
        <v>74</v>
      </c>
      <c r="H55" t="s">
        <v>74</v>
      </c>
      <c r="I55" t="s">
        <v>1284</v>
      </c>
      <c r="J55" t="s">
        <v>993</v>
      </c>
      <c r="K55" t="s">
        <v>74</v>
      </c>
      <c r="L55" t="s">
        <v>74</v>
      </c>
      <c r="M55" t="s">
        <v>78</v>
      </c>
      <c r="N55" t="s">
        <v>79</v>
      </c>
      <c r="O55" t="s">
        <v>74</v>
      </c>
      <c r="P55" t="s">
        <v>74</v>
      </c>
      <c r="Q55" t="s">
        <v>74</v>
      </c>
      <c r="R55" t="s">
        <v>74</v>
      </c>
      <c r="S55" t="s">
        <v>74</v>
      </c>
      <c r="T55" t="s">
        <v>1285</v>
      </c>
      <c r="U55" t="s">
        <v>1286</v>
      </c>
      <c r="V55" t="s">
        <v>1287</v>
      </c>
      <c r="W55" t="s">
        <v>1288</v>
      </c>
      <c r="X55" t="s">
        <v>1289</v>
      </c>
      <c r="Y55" t="s">
        <v>1290</v>
      </c>
      <c r="Z55" t="s">
        <v>1000</v>
      </c>
      <c r="AA55" t="s">
        <v>1291</v>
      </c>
      <c r="AB55" t="s">
        <v>1292</v>
      </c>
      <c r="AC55" t="s">
        <v>1293</v>
      </c>
      <c r="AD55" t="s">
        <v>1294</v>
      </c>
      <c r="AE55" t="s">
        <v>1295</v>
      </c>
      <c r="AF55" t="s">
        <v>74</v>
      </c>
      <c r="AG55">
        <v>55</v>
      </c>
      <c r="AH55">
        <v>2</v>
      </c>
      <c r="AI55">
        <v>3</v>
      </c>
      <c r="AJ55">
        <v>1</v>
      </c>
      <c r="AK55">
        <v>10</v>
      </c>
      <c r="AL55" t="s">
        <v>946</v>
      </c>
      <c r="AM55" t="s">
        <v>207</v>
      </c>
      <c r="AN55" t="s">
        <v>947</v>
      </c>
      <c r="AO55" t="s">
        <v>74</v>
      </c>
      <c r="AP55" t="s">
        <v>1006</v>
      </c>
      <c r="AQ55" t="s">
        <v>74</v>
      </c>
      <c r="AR55" t="s">
        <v>993</v>
      </c>
      <c r="AS55" t="s">
        <v>1007</v>
      </c>
      <c r="AT55" t="s">
        <v>428</v>
      </c>
      <c r="AU55">
        <v>2022</v>
      </c>
      <c r="AV55">
        <v>10</v>
      </c>
      <c r="AW55">
        <v>10</v>
      </c>
      <c r="AX55" t="s">
        <v>74</v>
      </c>
      <c r="AY55" t="s">
        <v>74</v>
      </c>
      <c r="AZ55" t="s">
        <v>74</v>
      </c>
      <c r="BA55" t="s">
        <v>74</v>
      </c>
      <c r="BB55" t="s">
        <v>74</v>
      </c>
      <c r="BC55" t="s">
        <v>74</v>
      </c>
      <c r="BD55" t="s">
        <v>1296</v>
      </c>
      <c r="BE55" t="s">
        <v>1297</v>
      </c>
      <c r="BF55" t="str">
        <f>HYPERLINK("http://dx.doi.org/10.1029/2022EF002772","http://dx.doi.org/10.1029/2022EF002772")</f>
        <v>http://dx.doi.org/10.1029/2022EF002772</v>
      </c>
      <c r="BG55" t="s">
        <v>74</v>
      </c>
      <c r="BH55" t="s">
        <v>74</v>
      </c>
      <c r="BI55">
        <v>13</v>
      </c>
      <c r="BJ55" t="s">
        <v>1010</v>
      </c>
      <c r="BK55" t="s">
        <v>100</v>
      </c>
      <c r="BL55" t="s">
        <v>1011</v>
      </c>
      <c r="BM55" t="s">
        <v>1298</v>
      </c>
      <c r="BN55">
        <v>36590456</v>
      </c>
      <c r="BO55" t="s">
        <v>132</v>
      </c>
      <c r="BP55" t="s">
        <v>74</v>
      </c>
      <c r="BQ55" t="s">
        <v>74</v>
      </c>
      <c r="BR55" t="s">
        <v>103</v>
      </c>
      <c r="BS55" t="s">
        <v>1299</v>
      </c>
      <c r="BT55" t="str">
        <f>HYPERLINK("https%3A%2F%2Fwww.webofscience.com%2Fwos%2Fwoscc%2Ffull-record%2FWOS:000871500900001","View Full Record in Web of Science")</f>
        <v>View Full Record in Web of Science</v>
      </c>
    </row>
    <row r="56" spans="1:72" x14ac:dyDescent="0.15">
      <c r="A56" t="s">
        <v>72</v>
      </c>
      <c r="B56" t="s">
        <v>1300</v>
      </c>
      <c r="C56" t="s">
        <v>74</v>
      </c>
      <c r="D56" t="s">
        <v>74</v>
      </c>
      <c r="E56" t="s">
        <v>74</v>
      </c>
      <c r="F56" t="s">
        <v>1301</v>
      </c>
      <c r="G56" t="s">
        <v>74</v>
      </c>
      <c r="H56" t="s">
        <v>74</v>
      </c>
      <c r="I56" t="s">
        <v>1302</v>
      </c>
      <c r="J56" t="s">
        <v>1303</v>
      </c>
      <c r="K56" t="s">
        <v>74</v>
      </c>
      <c r="L56" t="s">
        <v>74</v>
      </c>
      <c r="M56" t="s">
        <v>78</v>
      </c>
      <c r="N56" t="s">
        <v>79</v>
      </c>
      <c r="O56" t="s">
        <v>74</v>
      </c>
      <c r="P56" t="s">
        <v>74</v>
      </c>
      <c r="Q56" t="s">
        <v>74</v>
      </c>
      <c r="R56" t="s">
        <v>74</v>
      </c>
      <c r="S56" t="s">
        <v>74</v>
      </c>
      <c r="T56" t="s">
        <v>1304</v>
      </c>
      <c r="U56" t="s">
        <v>1305</v>
      </c>
      <c r="V56" t="s">
        <v>1306</v>
      </c>
      <c r="W56" t="s">
        <v>1307</v>
      </c>
      <c r="X56" t="s">
        <v>1308</v>
      </c>
      <c r="Y56" t="s">
        <v>1309</v>
      </c>
      <c r="Z56" t="s">
        <v>1310</v>
      </c>
      <c r="AA56" t="s">
        <v>74</v>
      </c>
      <c r="AB56" t="s">
        <v>1311</v>
      </c>
      <c r="AC56" t="s">
        <v>1312</v>
      </c>
      <c r="AD56" t="s">
        <v>1313</v>
      </c>
      <c r="AE56" t="s">
        <v>1314</v>
      </c>
      <c r="AF56" t="s">
        <v>74</v>
      </c>
      <c r="AG56">
        <v>49</v>
      </c>
      <c r="AH56">
        <v>4</v>
      </c>
      <c r="AI56">
        <v>4</v>
      </c>
      <c r="AJ56">
        <v>3</v>
      </c>
      <c r="AK56">
        <v>6</v>
      </c>
      <c r="AL56" t="s">
        <v>946</v>
      </c>
      <c r="AM56" t="s">
        <v>207</v>
      </c>
      <c r="AN56" t="s">
        <v>947</v>
      </c>
      <c r="AO56" t="s">
        <v>1315</v>
      </c>
      <c r="AP56" t="s">
        <v>1316</v>
      </c>
      <c r="AQ56" t="s">
        <v>74</v>
      </c>
      <c r="AR56" t="s">
        <v>1317</v>
      </c>
      <c r="AS56" t="s">
        <v>1318</v>
      </c>
      <c r="AT56" t="s">
        <v>428</v>
      </c>
      <c r="AU56">
        <v>2022</v>
      </c>
      <c r="AV56">
        <v>127</v>
      </c>
      <c r="AW56">
        <v>10</v>
      </c>
      <c r="AX56" t="s">
        <v>74</v>
      </c>
      <c r="AY56" t="s">
        <v>74</v>
      </c>
      <c r="AZ56" t="s">
        <v>74</v>
      </c>
      <c r="BA56" t="s">
        <v>74</v>
      </c>
      <c r="BB56" t="s">
        <v>74</v>
      </c>
      <c r="BC56" t="s">
        <v>74</v>
      </c>
      <c r="BD56" t="s">
        <v>1319</v>
      </c>
      <c r="BE56" t="s">
        <v>1320</v>
      </c>
      <c r="BF56" t="str">
        <f>HYPERLINK("http://dx.doi.org/10.1029/2022JF006753","http://dx.doi.org/10.1029/2022JF006753")</f>
        <v>http://dx.doi.org/10.1029/2022JF006753</v>
      </c>
      <c r="BG56" t="s">
        <v>74</v>
      </c>
      <c r="BH56" t="s">
        <v>74</v>
      </c>
      <c r="BI56">
        <v>14</v>
      </c>
      <c r="BJ56" t="s">
        <v>129</v>
      </c>
      <c r="BK56" t="s">
        <v>100</v>
      </c>
      <c r="BL56" t="s">
        <v>130</v>
      </c>
      <c r="BM56" t="s">
        <v>1321</v>
      </c>
      <c r="BN56" t="s">
        <v>74</v>
      </c>
      <c r="BO56" t="s">
        <v>831</v>
      </c>
      <c r="BP56" t="s">
        <v>74</v>
      </c>
      <c r="BQ56" t="s">
        <v>74</v>
      </c>
      <c r="BR56" t="s">
        <v>103</v>
      </c>
      <c r="BS56" t="s">
        <v>1322</v>
      </c>
      <c r="BT56" t="str">
        <f>HYPERLINK("https%3A%2F%2Fwww.webofscience.com%2Fwos%2Fwoscc%2Ffull-record%2FWOS:000871506000001","View Full Record in Web of Science")</f>
        <v>View Full Record in Web of Science</v>
      </c>
    </row>
    <row r="57" spans="1:72" x14ac:dyDescent="0.15">
      <c r="A57" t="s">
        <v>72</v>
      </c>
      <c r="B57" t="s">
        <v>1323</v>
      </c>
      <c r="C57" t="s">
        <v>74</v>
      </c>
      <c r="D57" t="s">
        <v>74</v>
      </c>
      <c r="E57" t="s">
        <v>74</v>
      </c>
      <c r="F57" t="s">
        <v>1324</v>
      </c>
      <c r="G57" t="s">
        <v>74</v>
      </c>
      <c r="H57" t="s">
        <v>74</v>
      </c>
      <c r="I57" t="s">
        <v>1325</v>
      </c>
      <c r="J57" t="s">
        <v>933</v>
      </c>
      <c r="K57" t="s">
        <v>74</v>
      </c>
      <c r="L57" t="s">
        <v>74</v>
      </c>
      <c r="M57" t="s">
        <v>78</v>
      </c>
      <c r="N57" t="s">
        <v>79</v>
      </c>
      <c r="O57" t="s">
        <v>74</v>
      </c>
      <c r="P57" t="s">
        <v>74</v>
      </c>
      <c r="Q57" t="s">
        <v>74</v>
      </c>
      <c r="R57" t="s">
        <v>74</v>
      </c>
      <c r="S57" t="s">
        <v>74</v>
      </c>
      <c r="T57" t="s">
        <v>1326</v>
      </c>
      <c r="U57" t="s">
        <v>1327</v>
      </c>
      <c r="V57" t="s">
        <v>1328</v>
      </c>
      <c r="W57" t="s">
        <v>1329</v>
      </c>
      <c r="X57" t="s">
        <v>1330</v>
      </c>
      <c r="Y57" t="s">
        <v>1331</v>
      </c>
      <c r="Z57" t="s">
        <v>1332</v>
      </c>
      <c r="AA57" t="s">
        <v>1333</v>
      </c>
      <c r="AB57" t="s">
        <v>1334</v>
      </c>
      <c r="AC57" t="s">
        <v>1335</v>
      </c>
      <c r="AD57" t="s">
        <v>1336</v>
      </c>
      <c r="AE57" t="s">
        <v>1337</v>
      </c>
      <c r="AF57" t="s">
        <v>74</v>
      </c>
      <c r="AG57">
        <v>49</v>
      </c>
      <c r="AH57">
        <v>1</v>
      </c>
      <c r="AI57">
        <v>1</v>
      </c>
      <c r="AJ57">
        <v>1</v>
      </c>
      <c r="AK57">
        <v>6</v>
      </c>
      <c r="AL57" t="s">
        <v>946</v>
      </c>
      <c r="AM57" t="s">
        <v>207</v>
      </c>
      <c r="AN57" t="s">
        <v>947</v>
      </c>
      <c r="AO57" t="s">
        <v>948</v>
      </c>
      <c r="AP57" t="s">
        <v>949</v>
      </c>
      <c r="AQ57" t="s">
        <v>74</v>
      </c>
      <c r="AR57" t="s">
        <v>950</v>
      </c>
      <c r="AS57" t="s">
        <v>951</v>
      </c>
      <c r="AT57" t="s">
        <v>428</v>
      </c>
      <c r="AU57">
        <v>2022</v>
      </c>
      <c r="AV57">
        <v>127</v>
      </c>
      <c r="AW57">
        <v>10</v>
      </c>
      <c r="AX57" t="s">
        <v>74</v>
      </c>
      <c r="AY57" t="s">
        <v>74</v>
      </c>
      <c r="AZ57" t="s">
        <v>74</v>
      </c>
      <c r="BA57" t="s">
        <v>74</v>
      </c>
      <c r="BB57" t="s">
        <v>74</v>
      </c>
      <c r="BC57" t="s">
        <v>74</v>
      </c>
      <c r="BD57" t="s">
        <v>1338</v>
      </c>
      <c r="BE57" t="s">
        <v>1339</v>
      </c>
      <c r="BF57" t="str">
        <f>HYPERLINK("http://dx.doi.org/10.1029/2022JA030580","http://dx.doi.org/10.1029/2022JA030580")</f>
        <v>http://dx.doi.org/10.1029/2022JA030580</v>
      </c>
      <c r="BG57" t="s">
        <v>74</v>
      </c>
      <c r="BH57" t="s">
        <v>74</v>
      </c>
      <c r="BI57">
        <v>23</v>
      </c>
      <c r="BJ57" t="s">
        <v>954</v>
      </c>
      <c r="BK57" t="s">
        <v>100</v>
      </c>
      <c r="BL57" t="s">
        <v>954</v>
      </c>
      <c r="BM57" t="s">
        <v>1340</v>
      </c>
      <c r="BN57" t="s">
        <v>74</v>
      </c>
      <c r="BO57" t="s">
        <v>1341</v>
      </c>
      <c r="BP57" t="s">
        <v>74</v>
      </c>
      <c r="BQ57" t="s">
        <v>74</v>
      </c>
      <c r="BR57" t="s">
        <v>103</v>
      </c>
      <c r="BS57" t="s">
        <v>1342</v>
      </c>
      <c r="BT57" t="str">
        <f>HYPERLINK("https%3A%2F%2Fwww.webofscience.com%2Fwos%2Fwoscc%2Ffull-record%2FWOS:000871469700001","View Full Record in Web of Science")</f>
        <v>View Full Record in Web of Science</v>
      </c>
    </row>
    <row r="58" spans="1:72" x14ac:dyDescent="0.15">
      <c r="A58" t="s">
        <v>72</v>
      </c>
      <c r="B58" t="s">
        <v>1343</v>
      </c>
      <c r="C58" t="s">
        <v>74</v>
      </c>
      <c r="D58" t="s">
        <v>74</v>
      </c>
      <c r="E58" t="s">
        <v>74</v>
      </c>
      <c r="F58" t="s">
        <v>1344</v>
      </c>
      <c r="G58" t="s">
        <v>74</v>
      </c>
      <c r="H58" t="s">
        <v>74</v>
      </c>
      <c r="I58" t="s">
        <v>1345</v>
      </c>
      <c r="J58" t="s">
        <v>933</v>
      </c>
      <c r="K58" t="s">
        <v>74</v>
      </c>
      <c r="L58" t="s">
        <v>74</v>
      </c>
      <c r="M58" t="s">
        <v>78</v>
      </c>
      <c r="N58" t="s">
        <v>1346</v>
      </c>
      <c r="O58" t="s">
        <v>74</v>
      </c>
      <c r="P58" t="s">
        <v>74</v>
      </c>
      <c r="Q58" t="s">
        <v>74</v>
      </c>
      <c r="R58" t="s">
        <v>74</v>
      </c>
      <c r="S58" t="s">
        <v>74</v>
      </c>
      <c r="T58" t="s">
        <v>74</v>
      </c>
      <c r="U58" t="s">
        <v>1347</v>
      </c>
      <c r="V58" t="s">
        <v>1348</v>
      </c>
      <c r="W58" t="s">
        <v>1349</v>
      </c>
      <c r="X58" t="s">
        <v>443</v>
      </c>
      <c r="Y58" t="s">
        <v>1350</v>
      </c>
      <c r="Z58" t="s">
        <v>1351</v>
      </c>
      <c r="AA58" t="s">
        <v>1352</v>
      </c>
      <c r="AB58" t="s">
        <v>1353</v>
      </c>
      <c r="AC58" t="s">
        <v>74</v>
      </c>
      <c r="AD58" t="s">
        <v>74</v>
      </c>
      <c r="AE58" t="s">
        <v>74</v>
      </c>
      <c r="AF58" t="s">
        <v>74</v>
      </c>
      <c r="AG58">
        <v>18</v>
      </c>
      <c r="AH58">
        <v>4</v>
      </c>
      <c r="AI58">
        <v>4</v>
      </c>
      <c r="AJ58">
        <v>0</v>
      </c>
      <c r="AK58">
        <v>0</v>
      </c>
      <c r="AL58" t="s">
        <v>946</v>
      </c>
      <c r="AM58" t="s">
        <v>207</v>
      </c>
      <c r="AN58" t="s">
        <v>947</v>
      </c>
      <c r="AO58" t="s">
        <v>948</v>
      </c>
      <c r="AP58" t="s">
        <v>949</v>
      </c>
      <c r="AQ58" t="s">
        <v>74</v>
      </c>
      <c r="AR58" t="s">
        <v>950</v>
      </c>
      <c r="AS58" t="s">
        <v>951</v>
      </c>
      <c r="AT58" t="s">
        <v>428</v>
      </c>
      <c r="AU58">
        <v>2022</v>
      </c>
      <c r="AV58">
        <v>127</v>
      </c>
      <c r="AW58">
        <v>10</v>
      </c>
      <c r="AX58" t="s">
        <v>74</v>
      </c>
      <c r="AY58" t="s">
        <v>74</v>
      </c>
      <c r="AZ58" t="s">
        <v>74</v>
      </c>
      <c r="BA58" t="s">
        <v>74</v>
      </c>
      <c r="BB58" t="s">
        <v>74</v>
      </c>
      <c r="BC58" t="s">
        <v>74</v>
      </c>
      <c r="BD58" t="s">
        <v>1354</v>
      </c>
      <c r="BE58" t="s">
        <v>1355</v>
      </c>
      <c r="BF58" t="str">
        <f>HYPERLINK("http://dx.doi.org/10.1029/2022JA030820","http://dx.doi.org/10.1029/2022JA030820")</f>
        <v>http://dx.doi.org/10.1029/2022JA030820</v>
      </c>
      <c r="BG58" t="s">
        <v>74</v>
      </c>
      <c r="BH58" t="s">
        <v>74</v>
      </c>
      <c r="BI58">
        <v>4</v>
      </c>
      <c r="BJ58" t="s">
        <v>954</v>
      </c>
      <c r="BK58" t="s">
        <v>100</v>
      </c>
      <c r="BL58" t="s">
        <v>954</v>
      </c>
      <c r="BM58" t="s">
        <v>1356</v>
      </c>
      <c r="BN58" t="s">
        <v>74</v>
      </c>
      <c r="BO58" t="s">
        <v>74</v>
      </c>
      <c r="BP58" t="s">
        <v>74</v>
      </c>
      <c r="BQ58" t="s">
        <v>74</v>
      </c>
      <c r="BR58" t="s">
        <v>103</v>
      </c>
      <c r="BS58" t="s">
        <v>1357</v>
      </c>
      <c r="BT58" t="str">
        <f>HYPERLINK("https%3A%2F%2Fwww.webofscience.com%2Fwos%2Fwoscc%2Ffull-record%2FWOS:000870524200001","View Full Record in Web of Science")</f>
        <v>View Full Record in Web of Science</v>
      </c>
    </row>
    <row r="59" spans="1:72" x14ac:dyDescent="0.15">
      <c r="A59" t="s">
        <v>72</v>
      </c>
      <c r="B59" t="s">
        <v>1358</v>
      </c>
      <c r="C59" t="s">
        <v>74</v>
      </c>
      <c r="D59" t="s">
        <v>74</v>
      </c>
      <c r="E59" t="s">
        <v>74</v>
      </c>
      <c r="F59" t="s">
        <v>1359</v>
      </c>
      <c r="G59" t="s">
        <v>74</v>
      </c>
      <c r="H59" t="s">
        <v>74</v>
      </c>
      <c r="I59" t="s">
        <v>1360</v>
      </c>
      <c r="J59" t="s">
        <v>1361</v>
      </c>
      <c r="K59" t="s">
        <v>74</v>
      </c>
      <c r="L59" t="s">
        <v>74</v>
      </c>
      <c r="M59" t="s">
        <v>78</v>
      </c>
      <c r="N59" t="s">
        <v>79</v>
      </c>
      <c r="O59" t="s">
        <v>74</v>
      </c>
      <c r="P59" t="s">
        <v>74</v>
      </c>
      <c r="Q59" t="s">
        <v>74</v>
      </c>
      <c r="R59" t="s">
        <v>74</v>
      </c>
      <c r="S59" t="s">
        <v>74</v>
      </c>
      <c r="T59" t="s">
        <v>1362</v>
      </c>
      <c r="U59" t="s">
        <v>1363</v>
      </c>
      <c r="V59" t="s">
        <v>1364</v>
      </c>
      <c r="W59" t="s">
        <v>1365</v>
      </c>
      <c r="X59" t="s">
        <v>1366</v>
      </c>
      <c r="Y59" t="s">
        <v>1367</v>
      </c>
      <c r="Z59" t="s">
        <v>1368</v>
      </c>
      <c r="AA59" t="s">
        <v>1369</v>
      </c>
      <c r="AB59" t="s">
        <v>1370</v>
      </c>
      <c r="AC59" t="s">
        <v>1371</v>
      </c>
      <c r="AD59" t="s">
        <v>1372</v>
      </c>
      <c r="AE59" t="s">
        <v>1373</v>
      </c>
      <c r="AF59" t="s">
        <v>74</v>
      </c>
      <c r="AG59">
        <v>78</v>
      </c>
      <c r="AH59">
        <v>5</v>
      </c>
      <c r="AI59">
        <v>6</v>
      </c>
      <c r="AJ59">
        <v>2</v>
      </c>
      <c r="AK59">
        <v>6</v>
      </c>
      <c r="AL59" t="s">
        <v>946</v>
      </c>
      <c r="AM59" t="s">
        <v>207</v>
      </c>
      <c r="AN59" t="s">
        <v>947</v>
      </c>
      <c r="AO59" t="s">
        <v>74</v>
      </c>
      <c r="AP59" t="s">
        <v>1374</v>
      </c>
      <c r="AQ59" t="s">
        <v>74</v>
      </c>
      <c r="AR59" t="s">
        <v>1375</v>
      </c>
      <c r="AS59" t="s">
        <v>1376</v>
      </c>
      <c r="AT59" t="s">
        <v>428</v>
      </c>
      <c r="AU59">
        <v>2022</v>
      </c>
      <c r="AV59">
        <v>23</v>
      </c>
      <c r="AW59">
        <v>10</v>
      </c>
      <c r="AX59" t="s">
        <v>74</v>
      </c>
      <c r="AY59" t="s">
        <v>74</v>
      </c>
      <c r="AZ59" t="s">
        <v>74</v>
      </c>
      <c r="BA59" t="s">
        <v>74</v>
      </c>
      <c r="BB59" t="s">
        <v>74</v>
      </c>
      <c r="BC59" t="s">
        <v>74</v>
      </c>
      <c r="BD59" t="s">
        <v>1377</v>
      </c>
      <c r="BE59" t="s">
        <v>1378</v>
      </c>
      <c r="BF59" t="str">
        <f>HYPERLINK("http://dx.doi.org/10.1029/2022GC010501","http://dx.doi.org/10.1029/2022GC010501")</f>
        <v>http://dx.doi.org/10.1029/2022GC010501</v>
      </c>
      <c r="BG59" t="s">
        <v>74</v>
      </c>
      <c r="BH59" t="s">
        <v>74</v>
      </c>
      <c r="BI59">
        <v>10</v>
      </c>
      <c r="BJ59" t="s">
        <v>1379</v>
      </c>
      <c r="BK59" t="s">
        <v>100</v>
      </c>
      <c r="BL59" t="s">
        <v>1379</v>
      </c>
      <c r="BM59" t="s">
        <v>1380</v>
      </c>
      <c r="BN59" t="s">
        <v>74</v>
      </c>
      <c r="BO59" t="s">
        <v>132</v>
      </c>
      <c r="BP59" t="s">
        <v>74</v>
      </c>
      <c r="BQ59" t="s">
        <v>74</v>
      </c>
      <c r="BR59" t="s">
        <v>103</v>
      </c>
      <c r="BS59" t="s">
        <v>1381</v>
      </c>
      <c r="BT59" t="str">
        <f>HYPERLINK("https%3A%2F%2Fwww.webofscience.com%2Fwos%2Fwoscc%2Ffull-record%2FWOS:000869745300001","View Full Record in Web of Science")</f>
        <v>View Full Record in Web of Science</v>
      </c>
    </row>
    <row r="60" spans="1:72" x14ac:dyDescent="0.15">
      <c r="A60" t="s">
        <v>72</v>
      </c>
      <c r="B60" t="s">
        <v>1382</v>
      </c>
      <c r="C60" t="s">
        <v>74</v>
      </c>
      <c r="D60" t="s">
        <v>74</v>
      </c>
      <c r="E60" t="s">
        <v>74</v>
      </c>
      <c r="F60" t="s">
        <v>1383</v>
      </c>
      <c r="G60" t="s">
        <v>74</v>
      </c>
      <c r="H60" t="s">
        <v>74</v>
      </c>
      <c r="I60" t="s">
        <v>1384</v>
      </c>
      <c r="J60" t="s">
        <v>1385</v>
      </c>
      <c r="K60" t="s">
        <v>74</v>
      </c>
      <c r="L60" t="s">
        <v>74</v>
      </c>
      <c r="M60" t="s">
        <v>78</v>
      </c>
      <c r="N60" t="s">
        <v>79</v>
      </c>
      <c r="O60" t="s">
        <v>74</v>
      </c>
      <c r="P60" t="s">
        <v>74</v>
      </c>
      <c r="Q60" t="s">
        <v>74</v>
      </c>
      <c r="R60" t="s">
        <v>74</v>
      </c>
      <c r="S60" t="s">
        <v>74</v>
      </c>
      <c r="T60" t="s">
        <v>1386</v>
      </c>
      <c r="U60" t="s">
        <v>1387</v>
      </c>
      <c r="V60" t="s">
        <v>1388</v>
      </c>
      <c r="W60" t="s">
        <v>1389</v>
      </c>
      <c r="X60" t="s">
        <v>1390</v>
      </c>
      <c r="Y60" t="s">
        <v>1391</v>
      </c>
      <c r="Z60" t="s">
        <v>1392</v>
      </c>
      <c r="AA60" t="s">
        <v>1393</v>
      </c>
      <c r="AB60" t="s">
        <v>1394</v>
      </c>
      <c r="AC60" t="s">
        <v>1395</v>
      </c>
      <c r="AD60" t="s">
        <v>1396</v>
      </c>
      <c r="AE60" t="s">
        <v>1397</v>
      </c>
      <c r="AF60" t="s">
        <v>74</v>
      </c>
      <c r="AG60">
        <v>85</v>
      </c>
      <c r="AH60">
        <v>4</v>
      </c>
      <c r="AI60">
        <v>4</v>
      </c>
      <c r="AJ60">
        <v>3</v>
      </c>
      <c r="AK60">
        <v>11</v>
      </c>
      <c r="AL60" t="s">
        <v>946</v>
      </c>
      <c r="AM60" t="s">
        <v>207</v>
      </c>
      <c r="AN60" t="s">
        <v>947</v>
      </c>
      <c r="AO60" t="s">
        <v>1398</v>
      </c>
      <c r="AP60" t="s">
        <v>1399</v>
      </c>
      <c r="AQ60" t="s">
        <v>74</v>
      </c>
      <c r="AR60" t="s">
        <v>1400</v>
      </c>
      <c r="AS60" t="s">
        <v>1401</v>
      </c>
      <c r="AT60" t="s">
        <v>428</v>
      </c>
      <c r="AU60">
        <v>2022</v>
      </c>
      <c r="AV60">
        <v>127</v>
      </c>
      <c r="AW60">
        <v>10</v>
      </c>
      <c r="AX60" t="s">
        <v>74</v>
      </c>
      <c r="AY60" t="s">
        <v>74</v>
      </c>
      <c r="AZ60" t="s">
        <v>74</v>
      </c>
      <c r="BA60" t="s">
        <v>74</v>
      </c>
      <c r="BB60" t="s">
        <v>74</v>
      </c>
      <c r="BC60" t="s">
        <v>74</v>
      </c>
      <c r="BD60" t="s">
        <v>1402</v>
      </c>
      <c r="BE60" t="s">
        <v>1403</v>
      </c>
      <c r="BF60" t="str">
        <f>HYPERLINK("http://dx.doi.org/10.1029/2022JC018999","http://dx.doi.org/10.1029/2022JC018999")</f>
        <v>http://dx.doi.org/10.1029/2022JC018999</v>
      </c>
      <c r="BG60" t="s">
        <v>74</v>
      </c>
      <c r="BH60" t="s">
        <v>74</v>
      </c>
      <c r="BI60">
        <v>22</v>
      </c>
      <c r="BJ60" t="s">
        <v>674</v>
      </c>
      <c r="BK60" t="s">
        <v>100</v>
      </c>
      <c r="BL60" t="s">
        <v>674</v>
      </c>
      <c r="BM60" t="s">
        <v>1404</v>
      </c>
      <c r="BN60">
        <v>36590600</v>
      </c>
      <c r="BO60" t="s">
        <v>1221</v>
      </c>
      <c r="BP60" t="s">
        <v>74</v>
      </c>
      <c r="BQ60" t="s">
        <v>74</v>
      </c>
      <c r="BR60" t="s">
        <v>103</v>
      </c>
      <c r="BS60" t="s">
        <v>1405</v>
      </c>
      <c r="BT60" t="str">
        <f>HYPERLINK("https%3A%2F%2Fwww.webofscience.com%2Fwos%2Fwoscc%2Ffull-record%2FWOS:000870498300001","View Full Record in Web of Science")</f>
        <v>View Full Record in Web of Science</v>
      </c>
    </row>
    <row r="61" spans="1:72" x14ac:dyDescent="0.15">
      <c r="A61" t="s">
        <v>72</v>
      </c>
      <c r="B61" t="s">
        <v>1406</v>
      </c>
      <c r="C61" t="s">
        <v>74</v>
      </c>
      <c r="D61" t="s">
        <v>74</v>
      </c>
      <c r="E61" t="s">
        <v>74</v>
      </c>
      <c r="F61" t="s">
        <v>1407</v>
      </c>
      <c r="G61" t="s">
        <v>74</v>
      </c>
      <c r="H61" t="s">
        <v>74</v>
      </c>
      <c r="I61" t="s">
        <v>1408</v>
      </c>
      <c r="J61" t="s">
        <v>933</v>
      </c>
      <c r="K61" t="s">
        <v>74</v>
      </c>
      <c r="L61" t="s">
        <v>74</v>
      </c>
      <c r="M61" t="s">
        <v>78</v>
      </c>
      <c r="N61" t="s">
        <v>1346</v>
      </c>
      <c r="O61" t="s">
        <v>74</v>
      </c>
      <c r="P61" t="s">
        <v>74</v>
      </c>
      <c r="Q61" t="s">
        <v>74</v>
      </c>
      <c r="R61" t="s">
        <v>74</v>
      </c>
      <c r="S61" t="s">
        <v>74</v>
      </c>
      <c r="T61" t="s">
        <v>74</v>
      </c>
      <c r="U61" t="s">
        <v>74</v>
      </c>
      <c r="V61" t="s">
        <v>1409</v>
      </c>
      <c r="W61" t="s">
        <v>1410</v>
      </c>
      <c r="X61" t="s">
        <v>1411</v>
      </c>
      <c r="Y61" t="s">
        <v>1412</v>
      </c>
      <c r="Z61" t="s">
        <v>1413</v>
      </c>
      <c r="AA61" t="s">
        <v>74</v>
      </c>
      <c r="AB61" t="s">
        <v>1414</v>
      </c>
      <c r="AC61" t="s">
        <v>74</v>
      </c>
      <c r="AD61" t="s">
        <v>74</v>
      </c>
      <c r="AE61" t="s">
        <v>74</v>
      </c>
      <c r="AF61" t="s">
        <v>74</v>
      </c>
      <c r="AG61">
        <v>19</v>
      </c>
      <c r="AH61">
        <v>3</v>
      </c>
      <c r="AI61">
        <v>3</v>
      </c>
      <c r="AJ61">
        <v>0</v>
      </c>
      <c r="AK61">
        <v>1</v>
      </c>
      <c r="AL61" t="s">
        <v>946</v>
      </c>
      <c r="AM61" t="s">
        <v>207</v>
      </c>
      <c r="AN61" t="s">
        <v>947</v>
      </c>
      <c r="AO61" t="s">
        <v>948</v>
      </c>
      <c r="AP61" t="s">
        <v>949</v>
      </c>
      <c r="AQ61" t="s">
        <v>74</v>
      </c>
      <c r="AR61" t="s">
        <v>950</v>
      </c>
      <c r="AS61" t="s">
        <v>951</v>
      </c>
      <c r="AT61" t="s">
        <v>428</v>
      </c>
      <c r="AU61">
        <v>2022</v>
      </c>
      <c r="AV61">
        <v>127</v>
      </c>
      <c r="AW61">
        <v>10</v>
      </c>
      <c r="AX61" t="s">
        <v>74</v>
      </c>
      <c r="AY61" t="s">
        <v>74</v>
      </c>
      <c r="AZ61" t="s">
        <v>74</v>
      </c>
      <c r="BA61" t="s">
        <v>74</v>
      </c>
      <c r="BB61" t="s">
        <v>74</v>
      </c>
      <c r="BC61" t="s">
        <v>74</v>
      </c>
      <c r="BD61" t="s">
        <v>1415</v>
      </c>
      <c r="BE61" t="s">
        <v>1416</v>
      </c>
      <c r="BF61" t="str">
        <f>HYPERLINK("http://dx.doi.org/10.1029/2022JA030856","http://dx.doi.org/10.1029/2022JA030856")</f>
        <v>http://dx.doi.org/10.1029/2022JA030856</v>
      </c>
      <c r="BG61" t="s">
        <v>74</v>
      </c>
      <c r="BH61" t="s">
        <v>74</v>
      </c>
      <c r="BI61">
        <v>5</v>
      </c>
      <c r="BJ61" t="s">
        <v>954</v>
      </c>
      <c r="BK61" t="s">
        <v>100</v>
      </c>
      <c r="BL61" t="s">
        <v>954</v>
      </c>
      <c r="BM61" t="s">
        <v>1417</v>
      </c>
      <c r="BN61" t="s">
        <v>74</v>
      </c>
      <c r="BO61" t="s">
        <v>831</v>
      </c>
      <c r="BP61" t="s">
        <v>74</v>
      </c>
      <c r="BQ61" t="s">
        <v>74</v>
      </c>
      <c r="BR61" t="s">
        <v>103</v>
      </c>
      <c r="BS61" t="s">
        <v>1418</v>
      </c>
      <c r="BT61" t="str">
        <f>HYPERLINK("https%3A%2F%2Fwww.webofscience.com%2Fwos%2Fwoscc%2Ffull-record%2FWOS:000870522300001","View Full Record in Web of Science")</f>
        <v>View Full Record in Web of Science</v>
      </c>
    </row>
    <row r="62" spans="1:72" x14ac:dyDescent="0.15">
      <c r="A62" t="s">
        <v>72</v>
      </c>
      <c r="B62" t="s">
        <v>1419</v>
      </c>
      <c r="C62" t="s">
        <v>74</v>
      </c>
      <c r="D62" t="s">
        <v>74</v>
      </c>
      <c r="E62" t="s">
        <v>74</v>
      </c>
      <c r="F62" t="s">
        <v>1420</v>
      </c>
      <c r="G62" t="s">
        <v>74</v>
      </c>
      <c r="H62" t="s">
        <v>74</v>
      </c>
      <c r="I62" t="s">
        <v>1421</v>
      </c>
      <c r="J62" t="s">
        <v>1422</v>
      </c>
      <c r="K62" t="s">
        <v>74</v>
      </c>
      <c r="L62" t="s">
        <v>74</v>
      </c>
      <c r="M62" t="s">
        <v>78</v>
      </c>
      <c r="N62" t="s">
        <v>79</v>
      </c>
      <c r="O62" t="s">
        <v>74</v>
      </c>
      <c r="P62" t="s">
        <v>74</v>
      </c>
      <c r="Q62" t="s">
        <v>74</v>
      </c>
      <c r="R62" t="s">
        <v>74</v>
      </c>
      <c r="S62" t="s">
        <v>74</v>
      </c>
      <c r="T62" t="s">
        <v>1423</v>
      </c>
      <c r="U62" t="s">
        <v>1424</v>
      </c>
      <c r="V62" t="s">
        <v>1425</v>
      </c>
      <c r="W62" t="s">
        <v>1426</v>
      </c>
      <c r="X62" t="s">
        <v>1427</v>
      </c>
      <c r="Y62" t="s">
        <v>1428</v>
      </c>
      <c r="Z62" t="s">
        <v>1429</v>
      </c>
      <c r="AA62" t="s">
        <v>1430</v>
      </c>
      <c r="AB62" t="s">
        <v>1431</v>
      </c>
      <c r="AC62" t="s">
        <v>1432</v>
      </c>
      <c r="AD62" t="s">
        <v>1433</v>
      </c>
      <c r="AE62" t="s">
        <v>1434</v>
      </c>
      <c r="AF62" t="s">
        <v>74</v>
      </c>
      <c r="AG62">
        <v>64</v>
      </c>
      <c r="AH62">
        <v>2</v>
      </c>
      <c r="AI62">
        <v>2</v>
      </c>
      <c r="AJ62">
        <v>3</v>
      </c>
      <c r="AK62">
        <v>18</v>
      </c>
      <c r="AL62" t="s">
        <v>754</v>
      </c>
      <c r="AM62" t="s">
        <v>755</v>
      </c>
      <c r="AN62" t="s">
        <v>756</v>
      </c>
      <c r="AO62" t="s">
        <v>74</v>
      </c>
      <c r="AP62" t="s">
        <v>1435</v>
      </c>
      <c r="AQ62" t="s">
        <v>74</v>
      </c>
      <c r="AR62" t="s">
        <v>1422</v>
      </c>
      <c r="AS62" t="s">
        <v>1436</v>
      </c>
      <c r="AT62" t="s">
        <v>428</v>
      </c>
      <c r="AU62">
        <v>2022</v>
      </c>
      <c r="AV62">
        <v>11</v>
      </c>
      <c r="AW62">
        <v>19</v>
      </c>
      <c r="AX62" t="s">
        <v>74</v>
      </c>
      <c r="AY62" t="s">
        <v>74</v>
      </c>
      <c r="AZ62" t="s">
        <v>74</v>
      </c>
      <c r="BA62" t="s">
        <v>74</v>
      </c>
      <c r="BB62" t="s">
        <v>74</v>
      </c>
      <c r="BC62" t="s">
        <v>74</v>
      </c>
      <c r="BD62">
        <v>2463</v>
      </c>
      <c r="BE62" t="s">
        <v>1437</v>
      </c>
      <c r="BF62" t="str">
        <f>HYPERLINK("http://dx.doi.org/10.3390/plants11192463","http://dx.doi.org/10.3390/plants11192463")</f>
        <v>http://dx.doi.org/10.3390/plants11192463</v>
      </c>
      <c r="BG62" t="s">
        <v>74</v>
      </c>
      <c r="BH62" t="s">
        <v>74</v>
      </c>
      <c r="BI62">
        <v>23</v>
      </c>
      <c r="BJ62" t="s">
        <v>1438</v>
      </c>
      <c r="BK62" t="s">
        <v>100</v>
      </c>
      <c r="BL62" t="s">
        <v>1438</v>
      </c>
      <c r="BM62" t="s">
        <v>1439</v>
      </c>
      <c r="BN62">
        <v>36235326</v>
      </c>
      <c r="BO62" t="s">
        <v>132</v>
      </c>
      <c r="BP62" t="s">
        <v>74</v>
      </c>
      <c r="BQ62" t="s">
        <v>74</v>
      </c>
      <c r="BR62" t="s">
        <v>103</v>
      </c>
      <c r="BS62" t="s">
        <v>1440</v>
      </c>
      <c r="BT62" t="str">
        <f>HYPERLINK("https%3A%2F%2Fwww.webofscience.com%2Fwos%2Fwoscc%2Ffull-record%2FWOS:000867949600001","View Full Record in Web of Science")</f>
        <v>View Full Record in Web of Science</v>
      </c>
    </row>
    <row r="63" spans="1:72" x14ac:dyDescent="0.15">
      <c r="A63" t="s">
        <v>72</v>
      </c>
      <c r="B63" t="s">
        <v>1441</v>
      </c>
      <c r="C63" t="s">
        <v>74</v>
      </c>
      <c r="D63" t="s">
        <v>74</v>
      </c>
      <c r="E63" t="s">
        <v>74</v>
      </c>
      <c r="F63" t="s">
        <v>1442</v>
      </c>
      <c r="G63" t="s">
        <v>74</v>
      </c>
      <c r="H63" t="s">
        <v>74</v>
      </c>
      <c r="I63" t="s">
        <v>1443</v>
      </c>
      <c r="J63" t="s">
        <v>910</v>
      </c>
      <c r="K63" t="s">
        <v>74</v>
      </c>
      <c r="L63" t="s">
        <v>74</v>
      </c>
      <c r="M63" t="s">
        <v>78</v>
      </c>
      <c r="N63" t="s">
        <v>79</v>
      </c>
      <c r="O63" t="s">
        <v>74</v>
      </c>
      <c r="P63" t="s">
        <v>74</v>
      </c>
      <c r="Q63" t="s">
        <v>74</v>
      </c>
      <c r="R63" t="s">
        <v>74</v>
      </c>
      <c r="S63" t="s">
        <v>74</v>
      </c>
      <c r="T63" t="s">
        <v>1444</v>
      </c>
      <c r="U63" t="s">
        <v>1445</v>
      </c>
      <c r="V63" t="s">
        <v>1446</v>
      </c>
      <c r="W63" t="s">
        <v>1447</v>
      </c>
      <c r="X63" t="s">
        <v>1448</v>
      </c>
      <c r="Y63" t="s">
        <v>1449</v>
      </c>
      <c r="Z63" t="s">
        <v>1450</v>
      </c>
      <c r="AA63" t="s">
        <v>1451</v>
      </c>
      <c r="AB63" t="s">
        <v>1452</v>
      </c>
      <c r="AC63" t="s">
        <v>1453</v>
      </c>
      <c r="AD63" t="s">
        <v>1454</v>
      </c>
      <c r="AE63" t="s">
        <v>1455</v>
      </c>
      <c r="AF63" t="s">
        <v>74</v>
      </c>
      <c r="AG63">
        <v>76</v>
      </c>
      <c r="AH63">
        <v>9</v>
      </c>
      <c r="AI63">
        <v>10</v>
      </c>
      <c r="AJ63">
        <v>10</v>
      </c>
      <c r="AK63">
        <v>31</v>
      </c>
      <c r="AL63" t="s">
        <v>754</v>
      </c>
      <c r="AM63" t="s">
        <v>755</v>
      </c>
      <c r="AN63" t="s">
        <v>756</v>
      </c>
      <c r="AO63" t="s">
        <v>74</v>
      </c>
      <c r="AP63" t="s">
        <v>922</v>
      </c>
      <c r="AQ63" t="s">
        <v>74</v>
      </c>
      <c r="AR63" t="s">
        <v>923</v>
      </c>
      <c r="AS63" t="s">
        <v>924</v>
      </c>
      <c r="AT63" t="s">
        <v>428</v>
      </c>
      <c r="AU63">
        <v>2022</v>
      </c>
      <c r="AV63">
        <v>14</v>
      </c>
      <c r="AW63">
        <v>19</v>
      </c>
      <c r="AX63" t="s">
        <v>74</v>
      </c>
      <c r="AY63" t="s">
        <v>74</v>
      </c>
      <c r="AZ63" t="s">
        <v>74</v>
      </c>
      <c r="BA63" t="s">
        <v>74</v>
      </c>
      <c r="BB63" t="s">
        <v>74</v>
      </c>
      <c r="BC63" t="s">
        <v>74</v>
      </c>
      <c r="BD63">
        <v>3070</v>
      </c>
      <c r="BE63" t="s">
        <v>1456</v>
      </c>
      <c r="BF63" t="str">
        <f>HYPERLINK("http://dx.doi.org/10.3390/w14193070","http://dx.doi.org/10.3390/w14193070")</f>
        <v>http://dx.doi.org/10.3390/w14193070</v>
      </c>
      <c r="BG63" t="s">
        <v>74</v>
      </c>
      <c r="BH63" t="s">
        <v>74</v>
      </c>
      <c r="BI63">
        <v>16</v>
      </c>
      <c r="BJ63" t="s">
        <v>926</v>
      </c>
      <c r="BK63" t="s">
        <v>100</v>
      </c>
      <c r="BL63" t="s">
        <v>927</v>
      </c>
      <c r="BM63" t="s">
        <v>1457</v>
      </c>
      <c r="BN63" t="s">
        <v>74</v>
      </c>
      <c r="BO63" t="s">
        <v>266</v>
      </c>
      <c r="BP63" t="s">
        <v>74</v>
      </c>
      <c r="BQ63" t="s">
        <v>74</v>
      </c>
      <c r="BR63" t="s">
        <v>103</v>
      </c>
      <c r="BS63" t="s">
        <v>1458</v>
      </c>
      <c r="BT63" t="str">
        <f>HYPERLINK("https%3A%2F%2Fwww.webofscience.com%2Fwos%2Fwoscc%2Ffull-record%2FWOS:000868114500001","View Full Record in Web of Science")</f>
        <v>View Full Record in Web of Science</v>
      </c>
    </row>
    <row r="64" spans="1:72" x14ac:dyDescent="0.15">
      <c r="A64" t="s">
        <v>72</v>
      </c>
      <c r="B64" t="s">
        <v>1459</v>
      </c>
      <c r="C64" t="s">
        <v>74</v>
      </c>
      <c r="D64" t="s">
        <v>74</v>
      </c>
      <c r="E64" t="s">
        <v>74</v>
      </c>
      <c r="F64" t="s">
        <v>1460</v>
      </c>
      <c r="G64" t="s">
        <v>74</v>
      </c>
      <c r="H64" t="s">
        <v>74</v>
      </c>
      <c r="I64" t="s">
        <v>1461</v>
      </c>
      <c r="J64" t="s">
        <v>910</v>
      </c>
      <c r="K64" t="s">
        <v>74</v>
      </c>
      <c r="L64" t="s">
        <v>74</v>
      </c>
      <c r="M64" t="s">
        <v>78</v>
      </c>
      <c r="N64" t="s">
        <v>79</v>
      </c>
      <c r="O64" t="s">
        <v>74</v>
      </c>
      <c r="P64" t="s">
        <v>74</v>
      </c>
      <c r="Q64" t="s">
        <v>74</v>
      </c>
      <c r="R64" t="s">
        <v>74</v>
      </c>
      <c r="S64" t="s">
        <v>74</v>
      </c>
      <c r="T64" t="s">
        <v>1462</v>
      </c>
      <c r="U64" t="s">
        <v>1463</v>
      </c>
      <c r="V64" t="s">
        <v>1464</v>
      </c>
      <c r="W64" t="s">
        <v>1465</v>
      </c>
      <c r="X64" t="s">
        <v>1466</v>
      </c>
      <c r="Y64" t="s">
        <v>1467</v>
      </c>
      <c r="Z64" t="s">
        <v>595</v>
      </c>
      <c r="AA64" t="s">
        <v>1468</v>
      </c>
      <c r="AB64" t="s">
        <v>1469</v>
      </c>
      <c r="AC64" t="s">
        <v>1470</v>
      </c>
      <c r="AD64" t="s">
        <v>1471</v>
      </c>
      <c r="AE64" t="s">
        <v>1472</v>
      </c>
      <c r="AF64" t="s">
        <v>74</v>
      </c>
      <c r="AG64">
        <v>26</v>
      </c>
      <c r="AH64">
        <v>4</v>
      </c>
      <c r="AI64">
        <v>4</v>
      </c>
      <c r="AJ64">
        <v>0</v>
      </c>
      <c r="AK64">
        <v>1</v>
      </c>
      <c r="AL64" t="s">
        <v>754</v>
      </c>
      <c r="AM64" t="s">
        <v>755</v>
      </c>
      <c r="AN64" t="s">
        <v>756</v>
      </c>
      <c r="AO64" t="s">
        <v>74</v>
      </c>
      <c r="AP64" t="s">
        <v>922</v>
      </c>
      <c r="AQ64" t="s">
        <v>74</v>
      </c>
      <c r="AR64" t="s">
        <v>923</v>
      </c>
      <c r="AS64" t="s">
        <v>924</v>
      </c>
      <c r="AT64" t="s">
        <v>428</v>
      </c>
      <c r="AU64">
        <v>2022</v>
      </c>
      <c r="AV64">
        <v>14</v>
      </c>
      <c r="AW64">
        <v>19</v>
      </c>
      <c r="AX64" t="s">
        <v>74</v>
      </c>
      <c r="AY64" t="s">
        <v>74</v>
      </c>
      <c r="AZ64" t="s">
        <v>74</v>
      </c>
      <c r="BA64" t="s">
        <v>74</v>
      </c>
      <c r="BB64" t="s">
        <v>74</v>
      </c>
      <c r="BC64" t="s">
        <v>74</v>
      </c>
      <c r="BD64">
        <v>3088</v>
      </c>
      <c r="BE64" t="s">
        <v>1473</v>
      </c>
      <c r="BF64" t="str">
        <f>HYPERLINK("http://dx.doi.org/10.3390/w14193088","http://dx.doi.org/10.3390/w14193088")</f>
        <v>http://dx.doi.org/10.3390/w14193088</v>
      </c>
      <c r="BG64" t="s">
        <v>74</v>
      </c>
      <c r="BH64" t="s">
        <v>74</v>
      </c>
      <c r="BI64">
        <v>8</v>
      </c>
      <c r="BJ64" t="s">
        <v>926</v>
      </c>
      <c r="BK64" t="s">
        <v>100</v>
      </c>
      <c r="BL64" t="s">
        <v>927</v>
      </c>
      <c r="BM64" t="s">
        <v>1474</v>
      </c>
      <c r="BN64" t="s">
        <v>74</v>
      </c>
      <c r="BO64" t="s">
        <v>266</v>
      </c>
      <c r="BP64" t="s">
        <v>74</v>
      </c>
      <c r="BQ64" t="s">
        <v>74</v>
      </c>
      <c r="BR64" t="s">
        <v>103</v>
      </c>
      <c r="BS64" t="s">
        <v>1475</v>
      </c>
      <c r="BT64" t="str">
        <f>HYPERLINK("https%3A%2F%2Fwww.webofscience.com%2Fwos%2Fwoscc%2Ffull-record%2FWOS:000867308500001","View Full Record in Web of Science")</f>
        <v>View Full Record in Web of Science</v>
      </c>
    </row>
    <row r="65" spans="1:72" x14ac:dyDescent="0.15">
      <c r="A65" t="s">
        <v>72</v>
      </c>
      <c r="B65" t="s">
        <v>1476</v>
      </c>
      <c r="C65" t="s">
        <v>74</v>
      </c>
      <c r="D65" t="s">
        <v>74</v>
      </c>
      <c r="E65" t="s">
        <v>74</v>
      </c>
      <c r="F65" t="s">
        <v>1477</v>
      </c>
      <c r="G65" t="s">
        <v>74</v>
      </c>
      <c r="H65" t="s">
        <v>74</v>
      </c>
      <c r="I65" t="s">
        <v>1478</v>
      </c>
      <c r="J65" t="s">
        <v>910</v>
      </c>
      <c r="K65" t="s">
        <v>74</v>
      </c>
      <c r="L65" t="s">
        <v>74</v>
      </c>
      <c r="M65" t="s">
        <v>78</v>
      </c>
      <c r="N65" t="s">
        <v>79</v>
      </c>
      <c r="O65" t="s">
        <v>74</v>
      </c>
      <c r="P65" t="s">
        <v>74</v>
      </c>
      <c r="Q65" t="s">
        <v>74</v>
      </c>
      <c r="R65" t="s">
        <v>74</v>
      </c>
      <c r="S65" t="s">
        <v>74</v>
      </c>
      <c r="T65" t="s">
        <v>1479</v>
      </c>
      <c r="U65" t="s">
        <v>1480</v>
      </c>
      <c r="V65" t="s">
        <v>1481</v>
      </c>
      <c r="W65" t="s">
        <v>1482</v>
      </c>
      <c r="X65" t="s">
        <v>1483</v>
      </c>
      <c r="Y65" t="s">
        <v>1484</v>
      </c>
      <c r="Z65" t="s">
        <v>1485</v>
      </c>
      <c r="AA65" t="s">
        <v>1486</v>
      </c>
      <c r="AB65" t="s">
        <v>1487</v>
      </c>
      <c r="AC65" t="s">
        <v>1488</v>
      </c>
      <c r="AD65" t="s">
        <v>1489</v>
      </c>
      <c r="AE65" t="s">
        <v>1490</v>
      </c>
      <c r="AF65" t="s">
        <v>74</v>
      </c>
      <c r="AG65">
        <v>33</v>
      </c>
      <c r="AH65">
        <v>1</v>
      </c>
      <c r="AI65">
        <v>2</v>
      </c>
      <c r="AJ65">
        <v>0</v>
      </c>
      <c r="AK65">
        <v>3</v>
      </c>
      <c r="AL65" t="s">
        <v>754</v>
      </c>
      <c r="AM65" t="s">
        <v>755</v>
      </c>
      <c r="AN65" t="s">
        <v>756</v>
      </c>
      <c r="AO65" t="s">
        <v>74</v>
      </c>
      <c r="AP65" t="s">
        <v>922</v>
      </c>
      <c r="AQ65" t="s">
        <v>74</v>
      </c>
      <c r="AR65" t="s">
        <v>923</v>
      </c>
      <c r="AS65" t="s">
        <v>924</v>
      </c>
      <c r="AT65" t="s">
        <v>428</v>
      </c>
      <c r="AU65">
        <v>2022</v>
      </c>
      <c r="AV65">
        <v>14</v>
      </c>
      <c r="AW65">
        <v>19</v>
      </c>
      <c r="AX65" t="s">
        <v>74</v>
      </c>
      <c r="AY65" t="s">
        <v>74</v>
      </c>
      <c r="AZ65" t="s">
        <v>74</v>
      </c>
      <c r="BA65" t="s">
        <v>74</v>
      </c>
      <c r="BB65" t="s">
        <v>74</v>
      </c>
      <c r="BC65" t="s">
        <v>74</v>
      </c>
      <c r="BD65">
        <v>2994</v>
      </c>
      <c r="BE65" t="s">
        <v>1491</v>
      </c>
      <c r="BF65" t="str">
        <f>HYPERLINK("http://dx.doi.org/10.3390/w14192994","http://dx.doi.org/10.3390/w14192994")</f>
        <v>http://dx.doi.org/10.3390/w14192994</v>
      </c>
      <c r="BG65" t="s">
        <v>74</v>
      </c>
      <c r="BH65" t="s">
        <v>74</v>
      </c>
      <c r="BI65">
        <v>11</v>
      </c>
      <c r="BJ65" t="s">
        <v>926</v>
      </c>
      <c r="BK65" t="s">
        <v>100</v>
      </c>
      <c r="BL65" t="s">
        <v>927</v>
      </c>
      <c r="BM65" t="s">
        <v>1492</v>
      </c>
      <c r="BN65" t="s">
        <v>74</v>
      </c>
      <c r="BO65" t="s">
        <v>266</v>
      </c>
      <c r="BP65" t="s">
        <v>74</v>
      </c>
      <c r="BQ65" t="s">
        <v>74</v>
      </c>
      <c r="BR65" t="s">
        <v>103</v>
      </c>
      <c r="BS65" t="s">
        <v>1493</v>
      </c>
      <c r="BT65" t="str">
        <f>HYPERLINK("https%3A%2F%2Fwww.webofscience.com%2Fwos%2Fwoscc%2Ffull-record%2FWOS:000867208400001","View Full Record in Web of Science")</f>
        <v>View Full Record in Web of Science</v>
      </c>
    </row>
    <row r="66" spans="1:72" x14ac:dyDescent="0.15">
      <c r="A66" t="s">
        <v>72</v>
      </c>
      <c r="B66" t="s">
        <v>1494</v>
      </c>
      <c r="C66" t="s">
        <v>74</v>
      </c>
      <c r="D66" t="s">
        <v>74</v>
      </c>
      <c r="E66" t="s">
        <v>74</v>
      </c>
      <c r="F66" t="s">
        <v>1495</v>
      </c>
      <c r="G66" t="s">
        <v>74</v>
      </c>
      <c r="H66" t="s">
        <v>74</v>
      </c>
      <c r="I66" t="s">
        <v>1496</v>
      </c>
      <c r="J66" t="s">
        <v>1497</v>
      </c>
      <c r="K66" t="s">
        <v>74</v>
      </c>
      <c r="L66" t="s">
        <v>74</v>
      </c>
      <c r="M66" t="s">
        <v>78</v>
      </c>
      <c r="N66" t="s">
        <v>79</v>
      </c>
      <c r="O66" t="s">
        <v>74</v>
      </c>
      <c r="P66" t="s">
        <v>74</v>
      </c>
      <c r="Q66" t="s">
        <v>74</v>
      </c>
      <c r="R66" t="s">
        <v>74</v>
      </c>
      <c r="S66" t="s">
        <v>74</v>
      </c>
      <c r="T66" t="s">
        <v>1498</v>
      </c>
      <c r="U66" t="s">
        <v>1499</v>
      </c>
      <c r="V66" t="s">
        <v>1500</v>
      </c>
      <c r="W66" t="s">
        <v>1501</v>
      </c>
      <c r="X66" t="s">
        <v>1502</v>
      </c>
      <c r="Y66" t="s">
        <v>1503</v>
      </c>
      <c r="Z66" t="s">
        <v>1504</v>
      </c>
      <c r="AA66" t="s">
        <v>1505</v>
      </c>
      <c r="AB66" t="s">
        <v>1506</v>
      </c>
      <c r="AC66" t="s">
        <v>1507</v>
      </c>
      <c r="AD66" t="s">
        <v>1508</v>
      </c>
      <c r="AE66" t="s">
        <v>1509</v>
      </c>
      <c r="AF66" t="s">
        <v>74</v>
      </c>
      <c r="AG66">
        <v>85</v>
      </c>
      <c r="AH66">
        <v>1</v>
      </c>
      <c r="AI66">
        <v>1</v>
      </c>
      <c r="AJ66">
        <v>3</v>
      </c>
      <c r="AK66">
        <v>5</v>
      </c>
      <c r="AL66" t="s">
        <v>754</v>
      </c>
      <c r="AM66" t="s">
        <v>755</v>
      </c>
      <c r="AN66" t="s">
        <v>756</v>
      </c>
      <c r="AO66" t="s">
        <v>74</v>
      </c>
      <c r="AP66" t="s">
        <v>1510</v>
      </c>
      <c r="AQ66" t="s">
        <v>74</v>
      </c>
      <c r="AR66" t="s">
        <v>1511</v>
      </c>
      <c r="AS66" t="s">
        <v>1512</v>
      </c>
      <c r="AT66" t="s">
        <v>428</v>
      </c>
      <c r="AU66">
        <v>2022</v>
      </c>
      <c r="AV66">
        <v>23</v>
      </c>
      <c r="AW66">
        <v>19</v>
      </c>
      <c r="AX66" t="s">
        <v>74</v>
      </c>
      <c r="AY66" t="s">
        <v>74</v>
      </c>
      <c r="AZ66" t="s">
        <v>74</v>
      </c>
      <c r="BA66" t="s">
        <v>74</v>
      </c>
      <c r="BB66" t="s">
        <v>74</v>
      </c>
      <c r="BC66" t="s">
        <v>74</v>
      </c>
      <c r="BD66">
        <v>11752</v>
      </c>
      <c r="BE66" t="s">
        <v>1513</v>
      </c>
      <c r="BF66" t="str">
        <f>HYPERLINK("http://dx.doi.org/10.3390/ijms231911752","http://dx.doi.org/10.3390/ijms231911752")</f>
        <v>http://dx.doi.org/10.3390/ijms231911752</v>
      </c>
      <c r="BG66" t="s">
        <v>74</v>
      </c>
      <c r="BH66" t="s">
        <v>74</v>
      </c>
      <c r="BI66">
        <v>16</v>
      </c>
      <c r="BJ66" t="s">
        <v>1514</v>
      </c>
      <c r="BK66" t="s">
        <v>100</v>
      </c>
      <c r="BL66" t="s">
        <v>1515</v>
      </c>
      <c r="BM66" t="s">
        <v>1516</v>
      </c>
      <c r="BN66">
        <v>36233053</v>
      </c>
      <c r="BO66" t="s">
        <v>159</v>
      </c>
      <c r="BP66" t="s">
        <v>74</v>
      </c>
      <c r="BQ66" t="s">
        <v>74</v>
      </c>
      <c r="BR66" t="s">
        <v>103</v>
      </c>
      <c r="BS66" t="s">
        <v>1517</v>
      </c>
      <c r="BT66" t="str">
        <f>HYPERLINK("https%3A%2F%2Fwww.webofscience.com%2Fwos%2Fwoscc%2Ffull-record%2FWOS:000867746400001","View Full Record in Web of Science")</f>
        <v>View Full Record in Web of Science</v>
      </c>
    </row>
    <row r="67" spans="1:72" x14ac:dyDescent="0.15">
      <c r="A67" t="s">
        <v>72</v>
      </c>
      <c r="B67" t="s">
        <v>1518</v>
      </c>
      <c r="C67" t="s">
        <v>74</v>
      </c>
      <c r="D67" t="s">
        <v>74</v>
      </c>
      <c r="E67" t="s">
        <v>74</v>
      </c>
      <c r="F67" t="s">
        <v>1519</v>
      </c>
      <c r="G67" t="s">
        <v>74</v>
      </c>
      <c r="H67" t="s">
        <v>74</v>
      </c>
      <c r="I67" t="s">
        <v>1520</v>
      </c>
      <c r="J67" t="s">
        <v>1497</v>
      </c>
      <c r="K67" t="s">
        <v>74</v>
      </c>
      <c r="L67" t="s">
        <v>74</v>
      </c>
      <c r="M67" t="s">
        <v>78</v>
      </c>
      <c r="N67" t="s">
        <v>79</v>
      </c>
      <c r="O67" t="s">
        <v>74</v>
      </c>
      <c r="P67" t="s">
        <v>74</v>
      </c>
      <c r="Q67" t="s">
        <v>74</v>
      </c>
      <c r="R67" t="s">
        <v>74</v>
      </c>
      <c r="S67" t="s">
        <v>74</v>
      </c>
      <c r="T67" t="s">
        <v>1521</v>
      </c>
      <c r="U67" t="s">
        <v>1522</v>
      </c>
      <c r="V67" t="s">
        <v>1523</v>
      </c>
      <c r="W67" t="s">
        <v>1524</v>
      </c>
      <c r="X67" t="s">
        <v>1525</v>
      </c>
      <c r="Y67" t="s">
        <v>1526</v>
      </c>
      <c r="Z67" t="s">
        <v>1527</v>
      </c>
      <c r="AA67" t="s">
        <v>1528</v>
      </c>
      <c r="AB67" t="s">
        <v>1529</v>
      </c>
      <c r="AC67" t="s">
        <v>1530</v>
      </c>
      <c r="AD67" t="s">
        <v>1531</v>
      </c>
      <c r="AE67" t="s">
        <v>1532</v>
      </c>
      <c r="AF67" t="s">
        <v>74</v>
      </c>
      <c r="AG67">
        <v>87</v>
      </c>
      <c r="AH67">
        <v>1</v>
      </c>
      <c r="AI67">
        <v>1</v>
      </c>
      <c r="AJ67">
        <v>1</v>
      </c>
      <c r="AK67">
        <v>5</v>
      </c>
      <c r="AL67" t="s">
        <v>754</v>
      </c>
      <c r="AM67" t="s">
        <v>755</v>
      </c>
      <c r="AN67" t="s">
        <v>756</v>
      </c>
      <c r="AO67" t="s">
        <v>74</v>
      </c>
      <c r="AP67" t="s">
        <v>1510</v>
      </c>
      <c r="AQ67" t="s">
        <v>74</v>
      </c>
      <c r="AR67" t="s">
        <v>1511</v>
      </c>
      <c r="AS67" t="s">
        <v>1512</v>
      </c>
      <c r="AT67" t="s">
        <v>428</v>
      </c>
      <c r="AU67">
        <v>2022</v>
      </c>
      <c r="AV67">
        <v>23</v>
      </c>
      <c r="AW67">
        <v>19</v>
      </c>
      <c r="AX67" t="s">
        <v>74</v>
      </c>
      <c r="AY67" t="s">
        <v>74</v>
      </c>
      <c r="AZ67" t="s">
        <v>74</v>
      </c>
      <c r="BA67" t="s">
        <v>74</v>
      </c>
      <c r="BB67" t="s">
        <v>74</v>
      </c>
      <c r="BC67" t="s">
        <v>74</v>
      </c>
      <c r="BD67">
        <v>11691</v>
      </c>
      <c r="BE67" t="s">
        <v>1533</v>
      </c>
      <c r="BF67" t="str">
        <f>HYPERLINK("http://dx.doi.org/10.3390/ijms231911691","http://dx.doi.org/10.3390/ijms231911691")</f>
        <v>http://dx.doi.org/10.3390/ijms231911691</v>
      </c>
      <c r="BG67" t="s">
        <v>74</v>
      </c>
      <c r="BH67" t="s">
        <v>74</v>
      </c>
      <c r="BI67">
        <v>26</v>
      </c>
      <c r="BJ67" t="s">
        <v>1514</v>
      </c>
      <c r="BK67" t="s">
        <v>100</v>
      </c>
      <c r="BL67" t="s">
        <v>1515</v>
      </c>
      <c r="BM67" t="s">
        <v>1534</v>
      </c>
      <c r="BN67">
        <v>36232994</v>
      </c>
      <c r="BO67" t="s">
        <v>132</v>
      </c>
      <c r="BP67" t="s">
        <v>74</v>
      </c>
      <c r="BQ67" t="s">
        <v>74</v>
      </c>
      <c r="BR67" t="s">
        <v>103</v>
      </c>
      <c r="BS67" t="s">
        <v>1535</v>
      </c>
      <c r="BT67" t="str">
        <f>HYPERLINK("https%3A%2F%2Fwww.webofscience.com%2Fwos%2Fwoscc%2Ffull-record%2FWOS:000867759100001","View Full Record in Web of Science")</f>
        <v>View Full Record in Web of Science</v>
      </c>
    </row>
    <row r="68" spans="1:72" x14ac:dyDescent="0.15">
      <c r="A68" t="s">
        <v>72</v>
      </c>
      <c r="B68" t="s">
        <v>1536</v>
      </c>
      <c r="C68" t="s">
        <v>74</v>
      </c>
      <c r="D68" t="s">
        <v>74</v>
      </c>
      <c r="E68" t="s">
        <v>74</v>
      </c>
      <c r="F68" t="s">
        <v>1537</v>
      </c>
      <c r="G68" t="s">
        <v>74</v>
      </c>
      <c r="H68" t="s">
        <v>74</v>
      </c>
      <c r="I68" t="s">
        <v>1538</v>
      </c>
      <c r="J68" t="s">
        <v>1226</v>
      </c>
      <c r="K68" t="s">
        <v>74</v>
      </c>
      <c r="L68" t="s">
        <v>74</v>
      </c>
      <c r="M68" t="s">
        <v>78</v>
      </c>
      <c r="N68" t="s">
        <v>79</v>
      </c>
      <c r="O68" t="s">
        <v>74</v>
      </c>
      <c r="P68" t="s">
        <v>74</v>
      </c>
      <c r="Q68" t="s">
        <v>74</v>
      </c>
      <c r="R68" t="s">
        <v>74</v>
      </c>
      <c r="S68" t="s">
        <v>74</v>
      </c>
      <c r="T68" t="s">
        <v>1539</v>
      </c>
      <c r="U68" t="s">
        <v>1540</v>
      </c>
      <c r="V68" t="s">
        <v>1541</v>
      </c>
      <c r="W68" t="s">
        <v>1542</v>
      </c>
      <c r="X68" t="s">
        <v>1543</v>
      </c>
      <c r="Y68" t="s">
        <v>1544</v>
      </c>
      <c r="Z68" t="s">
        <v>1545</v>
      </c>
      <c r="AA68" t="s">
        <v>74</v>
      </c>
      <c r="AB68" t="s">
        <v>1546</v>
      </c>
      <c r="AC68" t="s">
        <v>1547</v>
      </c>
      <c r="AD68" t="s">
        <v>74</v>
      </c>
      <c r="AE68" t="s">
        <v>1548</v>
      </c>
      <c r="AF68" t="s">
        <v>74</v>
      </c>
      <c r="AG68">
        <v>42</v>
      </c>
      <c r="AH68">
        <v>3</v>
      </c>
      <c r="AI68">
        <v>3</v>
      </c>
      <c r="AJ68">
        <v>4</v>
      </c>
      <c r="AK68">
        <v>22</v>
      </c>
      <c r="AL68" t="s">
        <v>754</v>
      </c>
      <c r="AM68" t="s">
        <v>755</v>
      </c>
      <c r="AN68" t="s">
        <v>756</v>
      </c>
      <c r="AO68" t="s">
        <v>74</v>
      </c>
      <c r="AP68" t="s">
        <v>1238</v>
      </c>
      <c r="AQ68" t="s">
        <v>74</v>
      </c>
      <c r="AR68" t="s">
        <v>1239</v>
      </c>
      <c r="AS68" t="s">
        <v>1240</v>
      </c>
      <c r="AT68" t="s">
        <v>428</v>
      </c>
      <c r="AU68">
        <v>2022</v>
      </c>
      <c r="AV68">
        <v>14</v>
      </c>
      <c r="AW68">
        <v>19</v>
      </c>
      <c r="AX68" t="s">
        <v>74</v>
      </c>
      <c r="AY68" t="s">
        <v>74</v>
      </c>
      <c r="AZ68" t="s">
        <v>74</v>
      </c>
      <c r="BA68" t="s">
        <v>74</v>
      </c>
      <c r="BB68" t="s">
        <v>74</v>
      </c>
      <c r="BC68" t="s">
        <v>74</v>
      </c>
      <c r="BD68">
        <v>4998</v>
      </c>
      <c r="BE68" t="s">
        <v>1549</v>
      </c>
      <c r="BF68" t="str">
        <f>HYPERLINK("http://dx.doi.org/10.3390/rs14194998","http://dx.doi.org/10.3390/rs14194998")</f>
        <v>http://dx.doi.org/10.3390/rs14194998</v>
      </c>
      <c r="BG68" t="s">
        <v>74</v>
      </c>
      <c r="BH68" t="s">
        <v>74</v>
      </c>
      <c r="BI68">
        <v>23</v>
      </c>
      <c r="BJ68" t="s">
        <v>1242</v>
      </c>
      <c r="BK68" t="s">
        <v>100</v>
      </c>
      <c r="BL68" t="s">
        <v>1243</v>
      </c>
      <c r="BM68" t="s">
        <v>1550</v>
      </c>
      <c r="BN68" t="s">
        <v>74</v>
      </c>
      <c r="BO68" t="s">
        <v>266</v>
      </c>
      <c r="BP68" t="s">
        <v>74</v>
      </c>
      <c r="BQ68" t="s">
        <v>74</v>
      </c>
      <c r="BR68" t="s">
        <v>103</v>
      </c>
      <c r="BS68" t="s">
        <v>1551</v>
      </c>
      <c r="BT68" t="str">
        <f>HYPERLINK("https%3A%2F%2Fwww.webofscience.com%2Fwos%2Fwoscc%2Ffull-record%2FWOS:000867255000001","View Full Record in Web of Science")</f>
        <v>View Full Record in Web of Science</v>
      </c>
    </row>
    <row r="69" spans="1:72" x14ac:dyDescent="0.15">
      <c r="A69" t="s">
        <v>72</v>
      </c>
      <c r="B69" t="s">
        <v>1552</v>
      </c>
      <c r="C69" t="s">
        <v>74</v>
      </c>
      <c r="D69" t="s">
        <v>74</v>
      </c>
      <c r="E69" t="s">
        <v>74</v>
      </c>
      <c r="F69" t="s">
        <v>1553</v>
      </c>
      <c r="G69" t="s">
        <v>74</v>
      </c>
      <c r="H69" t="s">
        <v>74</v>
      </c>
      <c r="I69" t="s">
        <v>1554</v>
      </c>
      <c r="J69" t="s">
        <v>1226</v>
      </c>
      <c r="K69" t="s">
        <v>74</v>
      </c>
      <c r="L69" t="s">
        <v>74</v>
      </c>
      <c r="M69" t="s">
        <v>78</v>
      </c>
      <c r="N69" t="s">
        <v>79</v>
      </c>
      <c r="O69" t="s">
        <v>74</v>
      </c>
      <c r="P69" t="s">
        <v>74</v>
      </c>
      <c r="Q69" t="s">
        <v>74</v>
      </c>
      <c r="R69" t="s">
        <v>74</v>
      </c>
      <c r="S69" t="s">
        <v>74</v>
      </c>
      <c r="T69" t="s">
        <v>1555</v>
      </c>
      <c r="U69" t="s">
        <v>1556</v>
      </c>
      <c r="V69" t="s">
        <v>1557</v>
      </c>
      <c r="W69" t="s">
        <v>1558</v>
      </c>
      <c r="X69" t="s">
        <v>1559</v>
      </c>
      <c r="Y69" t="s">
        <v>1560</v>
      </c>
      <c r="Z69" t="s">
        <v>1561</v>
      </c>
      <c r="AA69" t="s">
        <v>1562</v>
      </c>
      <c r="AB69" t="s">
        <v>1563</v>
      </c>
      <c r="AC69" t="s">
        <v>1564</v>
      </c>
      <c r="AD69" t="s">
        <v>447</v>
      </c>
      <c r="AE69" t="s">
        <v>1565</v>
      </c>
      <c r="AF69" t="s">
        <v>74</v>
      </c>
      <c r="AG69">
        <v>47</v>
      </c>
      <c r="AH69">
        <v>0</v>
      </c>
      <c r="AI69">
        <v>0</v>
      </c>
      <c r="AJ69">
        <v>1</v>
      </c>
      <c r="AK69">
        <v>2</v>
      </c>
      <c r="AL69" t="s">
        <v>754</v>
      </c>
      <c r="AM69" t="s">
        <v>755</v>
      </c>
      <c r="AN69" t="s">
        <v>756</v>
      </c>
      <c r="AO69" t="s">
        <v>74</v>
      </c>
      <c r="AP69" t="s">
        <v>1238</v>
      </c>
      <c r="AQ69" t="s">
        <v>74</v>
      </c>
      <c r="AR69" t="s">
        <v>1239</v>
      </c>
      <c r="AS69" t="s">
        <v>1240</v>
      </c>
      <c r="AT69" t="s">
        <v>428</v>
      </c>
      <c r="AU69">
        <v>2022</v>
      </c>
      <c r="AV69">
        <v>14</v>
      </c>
      <c r="AW69">
        <v>19</v>
      </c>
      <c r="AX69" t="s">
        <v>74</v>
      </c>
      <c r="AY69" t="s">
        <v>74</v>
      </c>
      <c r="AZ69" t="s">
        <v>74</v>
      </c>
      <c r="BA69" t="s">
        <v>74</v>
      </c>
      <c r="BB69" t="s">
        <v>74</v>
      </c>
      <c r="BC69" t="s">
        <v>74</v>
      </c>
      <c r="BD69">
        <v>4937</v>
      </c>
      <c r="BE69" t="s">
        <v>1566</v>
      </c>
      <c r="BF69" t="str">
        <f>HYPERLINK("http://dx.doi.org/10.3390/rs14194937","http://dx.doi.org/10.3390/rs14194937")</f>
        <v>http://dx.doi.org/10.3390/rs14194937</v>
      </c>
      <c r="BG69" t="s">
        <v>74</v>
      </c>
      <c r="BH69" t="s">
        <v>74</v>
      </c>
      <c r="BI69">
        <v>18</v>
      </c>
      <c r="BJ69" t="s">
        <v>1242</v>
      </c>
      <c r="BK69" t="s">
        <v>100</v>
      </c>
      <c r="BL69" t="s">
        <v>1243</v>
      </c>
      <c r="BM69" t="s">
        <v>1567</v>
      </c>
      <c r="BN69" t="s">
        <v>74</v>
      </c>
      <c r="BO69" t="s">
        <v>266</v>
      </c>
      <c r="BP69" t="s">
        <v>74</v>
      </c>
      <c r="BQ69" t="s">
        <v>74</v>
      </c>
      <c r="BR69" t="s">
        <v>103</v>
      </c>
      <c r="BS69" t="s">
        <v>1568</v>
      </c>
      <c r="BT69" t="str">
        <f>HYPERLINK("https%3A%2F%2Fwww.webofscience.com%2Fwos%2Fwoscc%2Ffull-record%2FWOS:000867062000001","View Full Record in Web of Science")</f>
        <v>View Full Record in Web of Science</v>
      </c>
    </row>
    <row r="70" spans="1:72" x14ac:dyDescent="0.15">
      <c r="A70" t="s">
        <v>72</v>
      </c>
      <c r="B70" t="s">
        <v>1569</v>
      </c>
      <c r="C70" t="s">
        <v>74</v>
      </c>
      <c r="D70" t="s">
        <v>74</v>
      </c>
      <c r="E70" t="s">
        <v>74</v>
      </c>
      <c r="F70" t="s">
        <v>1570</v>
      </c>
      <c r="G70" t="s">
        <v>74</v>
      </c>
      <c r="H70" t="s">
        <v>74</v>
      </c>
      <c r="I70" t="s">
        <v>1571</v>
      </c>
      <c r="J70" t="s">
        <v>1226</v>
      </c>
      <c r="K70" t="s">
        <v>74</v>
      </c>
      <c r="L70" t="s">
        <v>74</v>
      </c>
      <c r="M70" t="s">
        <v>78</v>
      </c>
      <c r="N70" t="s">
        <v>79</v>
      </c>
      <c r="O70" t="s">
        <v>74</v>
      </c>
      <c r="P70" t="s">
        <v>74</v>
      </c>
      <c r="Q70" t="s">
        <v>74</v>
      </c>
      <c r="R70" t="s">
        <v>74</v>
      </c>
      <c r="S70" t="s">
        <v>74</v>
      </c>
      <c r="T70" t="s">
        <v>1572</v>
      </c>
      <c r="U70" t="s">
        <v>1573</v>
      </c>
      <c r="V70" t="s">
        <v>1574</v>
      </c>
      <c r="W70" t="s">
        <v>1575</v>
      </c>
      <c r="X70" t="s">
        <v>1576</v>
      </c>
      <c r="Y70" t="s">
        <v>1577</v>
      </c>
      <c r="Z70" t="s">
        <v>1578</v>
      </c>
      <c r="AA70" t="s">
        <v>1579</v>
      </c>
      <c r="AB70" t="s">
        <v>1580</v>
      </c>
      <c r="AC70" t="s">
        <v>1581</v>
      </c>
      <c r="AD70" t="s">
        <v>1582</v>
      </c>
      <c r="AE70" t="s">
        <v>1583</v>
      </c>
      <c r="AF70" t="s">
        <v>74</v>
      </c>
      <c r="AG70">
        <v>189</v>
      </c>
      <c r="AH70">
        <v>2</v>
      </c>
      <c r="AI70">
        <v>3</v>
      </c>
      <c r="AJ70">
        <v>12</v>
      </c>
      <c r="AK70">
        <v>64</v>
      </c>
      <c r="AL70" t="s">
        <v>754</v>
      </c>
      <c r="AM70" t="s">
        <v>755</v>
      </c>
      <c r="AN70" t="s">
        <v>756</v>
      </c>
      <c r="AO70" t="s">
        <v>74</v>
      </c>
      <c r="AP70" t="s">
        <v>1238</v>
      </c>
      <c r="AQ70" t="s">
        <v>74</v>
      </c>
      <c r="AR70" t="s">
        <v>1239</v>
      </c>
      <c r="AS70" t="s">
        <v>1240</v>
      </c>
      <c r="AT70" t="s">
        <v>428</v>
      </c>
      <c r="AU70">
        <v>2022</v>
      </c>
      <c r="AV70">
        <v>14</v>
      </c>
      <c r="AW70">
        <v>19</v>
      </c>
      <c r="AX70" t="s">
        <v>74</v>
      </c>
      <c r="AY70" t="s">
        <v>74</v>
      </c>
      <c r="AZ70" t="s">
        <v>74</v>
      </c>
      <c r="BA70" t="s">
        <v>74</v>
      </c>
      <c r="BB70" t="s">
        <v>74</v>
      </c>
      <c r="BC70" t="s">
        <v>74</v>
      </c>
      <c r="BD70">
        <v>4904</v>
      </c>
      <c r="BE70" t="s">
        <v>1584</v>
      </c>
      <c r="BF70" t="str">
        <f>HYPERLINK("http://dx.doi.org/10.3390/rs14194904","http://dx.doi.org/10.3390/rs14194904")</f>
        <v>http://dx.doi.org/10.3390/rs14194904</v>
      </c>
      <c r="BG70" t="s">
        <v>74</v>
      </c>
      <c r="BH70" t="s">
        <v>74</v>
      </c>
      <c r="BI70">
        <v>22</v>
      </c>
      <c r="BJ70" t="s">
        <v>1242</v>
      </c>
      <c r="BK70" t="s">
        <v>100</v>
      </c>
      <c r="BL70" t="s">
        <v>1243</v>
      </c>
      <c r="BM70" t="s">
        <v>1585</v>
      </c>
      <c r="BN70" t="s">
        <v>74</v>
      </c>
      <c r="BO70" t="s">
        <v>132</v>
      </c>
      <c r="BP70" t="s">
        <v>74</v>
      </c>
      <c r="BQ70" t="s">
        <v>74</v>
      </c>
      <c r="BR70" t="s">
        <v>103</v>
      </c>
      <c r="BS70" t="s">
        <v>1586</v>
      </c>
      <c r="BT70" t="str">
        <f>HYPERLINK("https%3A%2F%2Fwww.webofscience.com%2Fwos%2Fwoscc%2Ffull-record%2FWOS:000867330400001","View Full Record in Web of Science")</f>
        <v>View Full Record in Web of Science</v>
      </c>
    </row>
    <row r="71" spans="1:72" x14ac:dyDescent="0.15">
      <c r="A71" t="s">
        <v>72</v>
      </c>
      <c r="B71" t="s">
        <v>1587</v>
      </c>
      <c r="C71" t="s">
        <v>74</v>
      </c>
      <c r="D71" t="s">
        <v>74</v>
      </c>
      <c r="E71" t="s">
        <v>74</v>
      </c>
      <c r="F71" t="s">
        <v>1588</v>
      </c>
      <c r="G71" t="s">
        <v>74</v>
      </c>
      <c r="H71" t="s">
        <v>74</v>
      </c>
      <c r="I71" t="s">
        <v>1589</v>
      </c>
      <c r="J71" t="s">
        <v>1590</v>
      </c>
      <c r="K71" t="s">
        <v>74</v>
      </c>
      <c r="L71" t="s">
        <v>74</v>
      </c>
      <c r="M71" t="s">
        <v>78</v>
      </c>
      <c r="N71" t="s">
        <v>79</v>
      </c>
      <c r="O71" t="s">
        <v>74</v>
      </c>
      <c r="P71" t="s">
        <v>74</v>
      </c>
      <c r="Q71" t="s">
        <v>74</v>
      </c>
      <c r="R71" t="s">
        <v>74</v>
      </c>
      <c r="S71" t="s">
        <v>74</v>
      </c>
      <c r="T71" t="s">
        <v>1591</v>
      </c>
      <c r="U71" t="s">
        <v>1592</v>
      </c>
      <c r="V71" t="s">
        <v>1593</v>
      </c>
      <c r="W71" t="s">
        <v>1594</v>
      </c>
      <c r="X71" t="s">
        <v>1595</v>
      </c>
      <c r="Y71" t="s">
        <v>1596</v>
      </c>
      <c r="Z71" t="s">
        <v>1597</v>
      </c>
      <c r="AA71" t="s">
        <v>1598</v>
      </c>
      <c r="AB71" t="s">
        <v>1599</v>
      </c>
      <c r="AC71" t="s">
        <v>1600</v>
      </c>
      <c r="AD71" t="s">
        <v>1601</v>
      </c>
      <c r="AE71" t="s">
        <v>1602</v>
      </c>
      <c r="AF71" t="s">
        <v>74</v>
      </c>
      <c r="AG71">
        <v>37</v>
      </c>
      <c r="AH71">
        <v>0</v>
      </c>
      <c r="AI71">
        <v>0</v>
      </c>
      <c r="AJ71">
        <v>10</v>
      </c>
      <c r="AK71">
        <v>21</v>
      </c>
      <c r="AL71" t="s">
        <v>754</v>
      </c>
      <c r="AM71" t="s">
        <v>755</v>
      </c>
      <c r="AN71" t="s">
        <v>756</v>
      </c>
      <c r="AO71" t="s">
        <v>1603</v>
      </c>
      <c r="AP71" t="s">
        <v>74</v>
      </c>
      <c r="AQ71" t="s">
        <v>74</v>
      </c>
      <c r="AR71" t="s">
        <v>1604</v>
      </c>
      <c r="AS71" t="s">
        <v>1605</v>
      </c>
      <c r="AT71" t="s">
        <v>428</v>
      </c>
      <c r="AU71">
        <v>2022</v>
      </c>
      <c r="AV71">
        <v>12</v>
      </c>
      <c r="AW71">
        <v>19</v>
      </c>
      <c r="AX71" t="s">
        <v>74</v>
      </c>
      <c r="AY71" t="s">
        <v>74</v>
      </c>
      <c r="AZ71" t="s">
        <v>74</v>
      </c>
      <c r="BA71" t="s">
        <v>74</v>
      </c>
      <c r="BB71" t="s">
        <v>74</v>
      </c>
      <c r="BC71" t="s">
        <v>74</v>
      </c>
      <c r="BD71">
        <v>2598</v>
      </c>
      <c r="BE71" t="s">
        <v>1606</v>
      </c>
      <c r="BF71" t="str">
        <f>HYPERLINK("http://dx.doi.org/10.3390/ani12192598","http://dx.doi.org/10.3390/ani12192598")</f>
        <v>http://dx.doi.org/10.3390/ani12192598</v>
      </c>
      <c r="BG71" t="s">
        <v>74</v>
      </c>
      <c r="BH71" t="s">
        <v>74</v>
      </c>
      <c r="BI71">
        <v>9</v>
      </c>
      <c r="BJ71" t="s">
        <v>1607</v>
      </c>
      <c r="BK71" t="s">
        <v>100</v>
      </c>
      <c r="BL71" t="s">
        <v>1608</v>
      </c>
      <c r="BM71" t="s">
        <v>1609</v>
      </c>
      <c r="BN71">
        <v>36230339</v>
      </c>
      <c r="BO71" t="s">
        <v>132</v>
      </c>
      <c r="BP71" t="s">
        <v>74</v>
      </c>
      <c r="BQ71" t="s">
        <v>74</v>
      </c>
      <c r="BR71" t="s">
        <v>103</v>
      </c>
      <c r="BS71" t="s">
        <v>1610</v>
      </c>
      <c r="BT71" t="str">
        <f>HYPERLINK("https%3A%2F%2Fwww.webofscience.com%2Fwos%2Fwoscc%2Ffull-record%2FWOS:000866583100001","View Full Record in Web of Science")</f>
        <v>View Full Record in Web of Science</v>
      </c>
    </row>
    <row r="72" spans="1:72" x14ac:dyDescent="0.15">
      <c r="A72" t="s">
        <v>72</v>
      </c>
      <c r="B72" t="s">
        <v>1611</v>
      </c>
      <c r="C72" t="s">
        <v>74</v>
      </c>
      <c r="D72" t="s">
        <v>74</v>
      </c>
      <c r="E72" t="s">
        <v>74</v>
      </c>
      <c r="F72" t="s">
        <v>1612</v>
      </c>
      <c r="G72" t="s">
        <v>74</v>
      </c>
      <c r="H72" t="s">
        <v>74</v>
      </c>
      <c r="I72" t="s">
        <v>1613</v>
      </c>
      <c r="J72" t="s">
        <v>1614</v>
      </c>
      <c r="K72" t="s">
        <v>74</v>
      </c>
      <c r="L72" t="s">
        <v>74</v>
      </c>
      <c r="M72" t="s">
        <v>78</v>
      </c>
      <c r="N72" t="s">
        <v>79</v>
      </c>
      <c r="O72" t="s">
        <v>74</v>
      </c>
      <c r="P72" t="s">
        <v>74</v>
      </c>
      <c r="Q72" t="s">
        <v>74</v>
      </c>
      <c r="R72" t="s">
        <v>74</v>
      </c>
      <c r="S72" t="s">
        <v>74</v>
      </c>
      <c r="T72" t="s">
        <v>74</v>
      </c>
      <c r="U72" t="s">
        <v>1615</v>
      </c>
      <c r="V72" t="s">
        <v>1616</v>
      </c>
      <c r="W72" t="s">
        <v>1617</v>
      </c>
      <c r="X72" t="s">
        <v>1618</v>
      </c>
      <c r="Y72" t="s">
        <v>1619</v>
      </c>
      <c r="Z72" t="s">
        <v>1620</v>
      </c>
      <c r="AA72" t="s">
        <v>1621</v>
      </c>
      <c r="AB72" t="s">
        <v>1622</v>
      </c>
      <c r="AC72" t="s">
        <v>1623</v>
      </c>
      <c r="AD72" t="s">
        <v>1624</v>
      </c>
      <c r="AE72" t="s">
        <v>1625</v>
      </c>
      <c r="AF72" t="s">
        <v>74</v>
      </c>
      <c r="AG72">
        <v>23</v>
      </c>
      <c r="AH72">
        <v>2</v>
      </c>
      <c r="AI72">
        <v>2</v>
      </c>
      <c r="AJ72">
        <v>0</v>
      </c>
      <c r="AK72">
        <v>1</v>
      </c>
      <c r="AL72" t="s">
        <v>1626</v>
      </c>
      <c r="AM72" t="s">
        <v>1627</v>
      </c>
      <c r="AN72" t="s">
        <v>1628</v>
      </c>
      <c r="AO72" t="s">
        <v>1629</v>
      </c>
      <c r="AP72" t="s">
        <v>1630</v>
      </c>
      <c r="AQ72" t="s">
        <v>74</v>
      </c>
      <c r="AR72" t="s">
        <v>1631</v>
      </c>
      <c r="AS72" t="s">
        <v>1632</v>
      </c>
      <c r="AT72" t="s">
        <v>1633</v>
      </c>
      <c r="AU72">
        <v>2022</v>
      </c>
      <c r="AV72">
        <v>938</v>
      </c>
      <c r="AW72">
        <v>1</v>
      </c>
      <c r="AX72" t="s">
        <v>74</v>
      </c>
      <c r="AY72" t="s">
        <v>74</v>
      </c>
      <c r="AZ72" t="s">
        <v>74</v>
      </c>
      <c r="BA72" t="s">
        <v>74</v>
      </c>
      <c r="BB72" t="s">
        <v>74</v>
      </c>
      <c r="BC72" t="s">
        <v>74</v>
      </c>
      <c r="BD72">
        <v>30</v>
      </c>
      <c r="BE72" t="s">
        <v>1634</v>
      </c>
      <c r="BF72" t="str">
        <f>HYPERLINK("http://dx.doi.org/10.3847/1538-4357/ac91c5","http://dx.doi.org/10.3847/1538-4357/ac91c5")</f>
        <v>http://dx.doi.org/10.3847/1538-4357/ac91c5</v>
      </c>
      <c r="BG72" t="s">
        <v>74</v>
      </c>
      <c r="BH72" t="s">
        <v>74</v>
      </c>
      <c r="BI72">
        <v>11</v>
      </c>
      <c r="BJ72" t="s">
        <v>954</v>
      </c>
      <c r="BK72" t="s">
        <v>100</v>
      </c>
      <c r="BL72" t="s">
        <v>954</v>
      </c>
      <c r="BM72" t="s">
        <v>1635</v>
      </c>
      <c r="BN72" t="s">
        <v>74</v>
      </c>
      <c r="BO72" t="s">
        <v>1195</v>
      </c>
      <c r="BP72" t="s">
        <v>74</v>
      </c>
      <c r="BQ72" t="s">
        <v>74</v>
      </c>
      <c r="BR72" t="s">
        <v>103</v>
      </c>
      <c r="BS72" t="s">
        <v>1636</v>
      </c>
      <c r="BT72" t="str">
        <f>HYPERLINK("https%3A%2F%2Fwww.webofscience.com%2Fwos%2Fwoscc%2Ffull-record%2FWOS:000866218300001","View Full Record in Web of Science")</f>
        <v>View Full Record in Web of Science</v>
      </c>
    </row>
    <row r="73" spans="1:72" x14ac:dyDescent="0.15">
      <c r="A73" t="s">
        <v>72</v>
      </c>
      <c r="B73" t="s">
        <v>1637</v>
      </c>
      <c r="C73" t="s">
        <v>74</v>
      </c>
      <c r="D73" t="s">
        <v>74</v>
      </c>
      <c r="E73" t="s">
        <v>74</v>
      </c>
      <c r="F73" t="s">
        <v>1638</v>
      </c>
      <c r="G73" t="s">
        <v>74</v>
      </c>
      <c r="H73" t="s">
        <v>74</v>
      </c>
      <c r="I73" t="s">
        <v>1639</v>
      </c>
      <c r="J73" t="s">
        <v>993</v>
      </c>
      <c r="K73" t="s">
        <v>74</v>
      </c>
      <c r="L73" t="s">
        <v>74</v>
      </c>
      <c r="M73" t="s">
        <v>78</v>
      </c>
      <c r="N73" t="s">
        <v>79</v>
      </c>
      <c r="O73" t="s">
        <v>74</v>
      </c>
      <c r="P73" t="s">
        <v>74</v>
      </c>
      <c r="Q73" t="s">
        <v>74</v>
      </c>
      <c r="R73" t="s">
        <v>74</v>
      </c>
      <c r="S73" t="s">
        <v>74</v>
      </c>
      <c r="T73" t="s">
        <v>1640</v>
      </c>
      <c r="U73" t="s">
        <v>1641</v>
      </c>
      <c r="V73" t="s">
        <v>1642</v>
      </c>
      <c r="W73" t="s">
        <v>1643</v>
      </c>
      <c r="X73" t="s">
        <v>1644</v>
      </c>
      <c r="Y73" t="s">
        <v>1645</v>
      </c>
      <c r="Z73" t="s">
        <v>1646</v>
      </c>
      <c r="AA73" t="s">
        <v>1647</v>
      </c>
      <c r="AB73" t="s">
        <v>1648</v>
      </c>
      <c r="AC73" t="s">
        <v>1649</v>
      </c>
      <c r="AD73" t="s">
        <v>1650</v>
      </c>
      <c r="AE73" t="s">
        <v>1651</v>
      </c>
      <c r="AF73" t="s">
        <v>74</v>
      </c>
      <c r="AG73">
        <v>72</v>
      </c>
      <c r="AH73">
        <v>3</v>
      </c>
      <c r="AI73">
        <v>3</v>
      </c>
      <c r="AJ73">
        <v>3</v>
      </c>
      <c r="AK73">
        <v>8</v>
      </c>
      <c r="AL73" t="s">
        <v>946</v>
      </c>
      <c r="AM73" t="s">
        <v>207</v>
      </c>
      <c r="AN73" t="s">
        <v>947</v>
      </c>
      <c r="AO73" t="s">
        <v>74</v>
      </c>
      <c r="AP73" t="s">
        <v>1006</v>
      </c>
      <c r="AQ73" t="s">
        <v>74</v>
      </c>
      <c r="AR73" t="s">
        <v>993</v>
      </c>
      <c r="AS73" t="s">
        <v>1007</v>
      </c>
      <c r="AT73" t="s">
        <v>428</v>
      </c>
      <c r="AU73">
        <v>2022</v>
      </c>
      <c r="AV73">
        <v>10</v>
      </c>
      <c r="AW73">
        <v>10</v>
      </c>
      <c r="AX73" t="s">
        <v>74</v>
      </c>
      <c r="AY73" t="s">
        <v>74</v>
      </c>
      <c r="AZ73" t="s">
        <v>74</v>
      </c>
      <c r="BA73" t="s">
        <v>74</v>
      </c>
      <c r="BB73" t="s">
        <v>74</v>
      </c>
      <c r="BC73" t="s">
        <v>74</v>
      </c>
      <c r="BD73" t="s">
        <v>1652</v>
      </c>
      <c r="BE73" t="s">
        <v>1653</v>
      </c>
      <c r="BF73" t="str">
        <f>HYPERLINK("http://dx.doi.org/10.1029/2022EF002852","http://dx.doi.org/10.1029/2022EF002852")</f>
        <v>http://dx.doi.org/10.1029/2022EF002852</v>
      </c>
      <c r="BG73" t="s">
        <v>74</v>
      </c>
      <c r="BH73" t="s">
        <v>74</v>
      </c>
      <c r="BI73">
        <v>15</v>
      </c>
      <c r="BJ73" t="s">
        <v>1010</v>
      </c>
      <c r="BK73" t="s">
        <v>100</v>
      </c>
      <c r="BL73" t="s">
        <v>1011</v>
      </c>
      <c r="BM73" t="s">
        <v>1654</v>
      </c>
      <c r="BN73" t="s">
        <v>74</v>
      </c>
      <c r="BO73" t="s">
        <v>1655</v>
      </c>
      <c r="BP73" t="s">
        <v>74</v>
      </c>
      <c r="BQ73" t="s">
        <v>74</v>
      </c>
      <c r="BR73" t="s">
        <v>103</v>
      </c>
      <c r="BS73" t="s">
        <v>1656</v>
      </c>
      <c r="BT73" t="str">
        <f>HYPERLINK("https%3A%2F%2Fwww.webofscience.com%2Fwos%2Fwoscc%2Ffull-record%2FWOS:000865795100001","View Full Record in Web of Science")</f>
        <v>View Full Record in Web of Science</v>
      </c>
    </row>
    <row r="74" spans="1:72" x14ac:dyDescent="0.15">
      <c r="A74" t="s">
        <v>72</v>
      </c>
      <c r="B74" t="s">
        <v>1657</v>
      </c>
      <c r="C74" t="s">
        <v>74</v>
      </c>
      <c r="D74" t="s">
        <v>74</v>
      </c>
      <c r="E74" t="s">
        <v>74</v>
      </c>
      <c r="F74" t="s">
        <v>1658</v>
      </c>
      <c r="G74" t="s">
        <v>74</v>
      </c>
      <c r="H74" t="s">
        <v>74</v>
      </c>
      <c r="I74" t="s">
        <v>1659</v>
      </c>
      <c r="J74" t="s">
        <v>1660</v>
      </c>
      <c r="K74" t="s">
        <v>74</v>
      </c>
      <c r="L74" t="s">
        <v>74</v>
      </c>
      <c r="M74" t="s">
        <v>78</v>
      </c>
      <c r="N74" t="s">
        <v>79</v>
      </c>
      <c r="O74" t="s">
        <v>74</v>
      </c>
      <c r="P74" t="s">
        <v>74</v>
      </c>
      <c r="Q74" t="s">
        <v>74</v>
      </c>
      <c r="R74" t="s">
        <v>74</v>
      </c>
      <c r="S74" t="s">
        <v>74</v>
      </c>
      <c r="T74" t="s">
        <v>1661</v>
      </c>
      <c r="U74" t="s">
        <v>1662</v>
      </c>
      <c r="V74" t="s">
        <v>1663</v>
      </c>
      <c r="W74" t="s">
        <v>1664</v>
      </c>
      <c r="X74" t="s">
        <v>1665</v>
      </c>
      <c r="Y74" t="s">
        <v>1666</v>
      </c>
      <c r="Z74" t="s">
        <v>1667</v>
      </c>
      <c r="AA74" t="s">
        <v>1668</v>
      </c>
      <c r="AB74" t="s">
        <v>1669</v>
      </c>
      <c r="AC74" t="s">
        <v>1670</v>
      </c>
      <c r="AD74" t="s">
        <v>1670</v>
      </c>
      <c r="AE74" t="s">
        <v>1671</v>
      </c>
      <c r="AF74" t="s">
        <v>74</v>
      </c>
      <c r="AG74">
        <v>54</v>
      </c>
      <c r="AH74">
        <v>5</v>
      </c>
      <c r="AI74">
        <v>5</v>
      </c>
      <c r="AJ74">
        <v>0</v>
      </c>
      <c r="AK74">
        <v>5</v>
      </c>
      <c r="AL74" t="s">
        <v>178</v>
      </c>
      <c r="AM74" t="s">
        <v>450</v>
      </c>
      <c r="AN74" t="s">
        <v>668</v>
      </c>
      <c r="AO74" t="s">
        <v>1672</v>
      </c>
      <c r="AP74" t="s">
        <v>1673</v>
      </c>
      <c r="AQ74" t="s">
        <v>74</v>
      </c>
      <c r="AR74" t="s">
        <v>1674</v>
      </c>
      <c r="AS74" t="s">
        <v>1675</v>
      </c>
      <c r="AT74" t="s">
        <v>428</v>
      </c>
      <c r="AU74">
        <v>2022</v>
      </c>
      <c r="AV74">
        <v>96</v>
      </c>
      <c r="AW74">
        <v>10</v>
      </c>
      <c r="AX74" t="s">
        <v>74</v>
      </c>
      <c r="AY74" t="s">
        <v>74</v>
      </c>
      <c r="AZ74" t="s">
        <v>74</v>
      </c>
      <c r="BA74" t="s">
        <v>74</v>
      </c>
      <c r="BB74" t="s">
        <v>74</v>
      </c>
      <c r="BC74" t="s">
        <v>74</v>
      </c>
      <c r="BD74">
        <v>75</v>
      </c>
      <c r="BE74" t="s">
        <v>1676</v>
      </c>
      <c r="BF74" t="str">
        <f>HYPERLINK("http://dx.doi.org/10.1007/s00190-022-01651-8","http://dx.doi.org/10.1007/s00190-022-01651-8")</f>
        <v>http://dx.doi.org/10.1007/s00190-022-01651-8</v>
      </c>
      <c r="BG74" t="s">
        <v>74</v>
      </c>
      <c r="BH74" t="s">
        <v>74</v>
      </c>
      <c r="BI74">
        <v>21</v>
      </c>
      <c r="BJ74" t="s">
        <v>1677</v>
      </c>
      <c r="BK74" t="s">
        <v>100</v>
      </c>
      <c r="BL74" t="s">
        <v>1677</v>
      </c>
      <c r="BM74" t="s">
        <v>1678</v>
      </c>
      <c r="BN74" t="s">
        <v>74</v>
      </c>
      <c r="BO74" t="s">
        <v>1341</v>
      </c>
      <c r="BP74" t="s">
        <v>74</v>
      </c>
      <c r="BQ74" t="s">
        <v>74</v>
      </c>
      <c r="BR74" t="s">
        <v>103</v>
      </c>
      <c r="BS74" t="s">
        <v>1679</v>
      </c>
      <c r="BT74" t="str">
        <f>HYPERLINK("https%3A%2F%2Fwww.webofscience.com%2Fwos%2Fwoscc%2Ffull-record%2FWOS:000865751800001","View Full Record in Web of Science")</f>
        <v>View Full Record in Web of Science</v>
      </c>
    </row>
    <row r="75" spans="1:72" x14ac:dyDescent="0.15">
      <c r="A75" t="s">
        <v>72</v>
      </c>
      <c r="B75" t="s">
        <v>1680</v>
      </c>
      <c r="C75" t="s">
        <v>74</v>
      </c>
      <c r="D75" t="s">
        <v>74</v>
      </c>
      <c r="E75" t="s">
        <v>74</v>
      </c>
      <c r="F75" t="s">
        <v>1681</v>
      </c>
      <c r="G75" t="s">
        <v>74</v>
      </c>
      <c r="H75" t="s">
        <v>74</v>
      </c>
      <c r="I75" t="s">
        <v>1682</v>
      </c>
      <c r="J75" t="s">
        <v>1385</v>
      </c>
      <c r="K75" t="s">
        <v>74</v>
      </c>
      <c r="L75" t="s">
        <v>74</v>
      </c>
      <c r="M75" t="s">
        <v>78</v>
      </c>
      <c r="N75" t="s">
        <v>79</v>
      </c>
      <c r="O75" t="s">
        <v>74</v>
      </c>
      <c r="P75" t="s">
        <v>74</v>
      </c>
      <c r="Q75" t="s">
        <v>74</v>
      </c>
      <c r="R75" t="s">
        <v>74</v>
      </c>
      <c r="S75" t="s">
        <v>74</v>
      </c>
      <c r="T75" t="s">
        <v>1683</v>
      </c>
      <c r="U75" t="s">
        <v>1684</v>
      </c>
      <c r="V75" t="s">
        <v>1685</v>
      </c>
      <c r="W75" t="s">
        <v>1686</v>
      </c>
      <c r="X75" t="s">
        <v>1687</v>
      </c>
      <c r="Y75" t="s">
        <v>1688</v>
      </c>
      <c r="Z75" t="s">
        <v>1689</v>
      </c>
      <c r="AA75" t="s">
        <v>1690</v>
      </c>
      <c r="AB75" t="s">
        <v>1691</v>
      </c>
      <c r="AC75" t="s">
        <v>1692</v>
      </c>
      <c r="AD75" t="s">
        <v>1693</v>
      </c>
      <c r="AE75" t="s">
        <v>1694</v>
      </c>
      <c r="AF75" t="s">
        <v>74</v>
      </c>
      <c r="AG75">
        <v>73</v>
      </c>
      <c r="AH75">
        <v>1</v>
      </c>
      <c r="AI75">
        <v>1</v>
      </c>
      <c r="AJ75">
        <v>0</v>
      </c>
      <c r="AK75">
        <v>14</v>
      </c>
      <c r="AL75" t="s">
        <v>946</v>
      </c>
      <c r="AM75" t="s">
        <v>207</v>
      </c>
      <c r="AN75" t="s">
        <v>947</v>
      </c>
      <c r="AO75" t="s">
        <v>1398</v>
      </c>
      <c r="AP75" t="s">
        <v>1399</v>
      </c>
      <c r="AQ75" t="s">
        <v>74</v>
      </c>
      <c r="AR75" t="s">
        <v>1400</v>
      </c>
      <c r="AS75" t="s">
        <v>1401</v>
      </c>
      <c r="AT75" t="s">
        <v>428</v>
      </c>
      <c r="AU75">
        <v>2022</v>
      </c>
      <c r="AV75">
        <v>127</v>
      </c>
      <c r="AW75">
        <v>10</v>
      </c>
      <c r="AX75" t="s">
        <v>74</v>
      </c>
      <c r="AY75" t="s">
        <v>74</v>
      </c>
      <c r="AZ75" t="s">
        <v>74</v>
      </c>
      <c r="BA75" t="s">
        <v>74</v>
      </c>
      <c r="BB75" t="s">
        <v>74</v>
      </c>
      <c r="BC75" t="s">
        <v>74</v>
      </c>
      <c r="BD75" t="s">
        <v>1695</v>
      </c>
      <c r="BE75" t="s">
        <v>1696</v>
      </c>
      <c r="BF75" t="str">
        <f>HYPERLINK("http://dx.doi.org/10.1029/2022JC018846","http://dx.doi.org/10.1029/2022JC018846")</f>
        <v>http://dx.doi.org/10.1029/2022JC018846</v>
      </c>
      <c r="BG75" t="s">
        <v>74</v>
      </c>
      <c r="BH75" t="s">
        <v>74</v>
      </c>
      <c r="BI75">
        <v>17</v>
      </c>
      <c r="BJ75" t="s">
        <v>674</v>
      </c>
      <c r="BK75" t="s">
        <v>100</v>
      </c>
      <c r="BL75" t="s">
        <v>674</v>
      </c>
      <c r="BM75" t="s">
        <v>1697</v>
      </c>
      <c r="BN75" t="s">
        <v>74</v>
      </c>
      <c r="BO75" t="s">
        <v>74</v>
      </c>
      <c r="BP75" t="s">
        <v>74</v>
      </c>
      <c r="BQ75" t="s">
        <v>74</v>
      </c>
      <c r="BR75" t="s">
        <v>103</v>
      </c>
      <c r="BS75" t="s">
        <v>1698</v>
      </c>
      <c r="BT75" t="str">
        <f>HYPERLINK("https%3A%2F%2Fwww.webofscience.com%2Fwos%2Fwoscc%2Ffull-record%2FWOS:000865479200001","View Full Record in Web of Science")</f>
        <v>View Full Record in Web of Science</v>
      </c>
    </row>
    <row r="76" spans="1:72" x14ac:dyDescent="0.15">
      <c r="A76" t="s">
        <v>72</v>
      </c>
      <c r="B76" t="s">
        <v>1699</v>
      </c>
      <c r="C76" t="s">
        <v>74</v>
      </c>
      <c r="D76" t="s">
        <v>74</v>
      </c>
      <c r="E76" t="s">
        <v>74</v>
      </c>
      <c r="F76" t="s">
        <v>1700</v>
      </c>
      <c r="G76" t="s">
        <v>74</v>
      </c>
      <c r="H76" t="s">
        <v>74</v>
      </c>
      <c r="I76" t="s">
        <v>1701</v>
      </c>
      <c r="J76" t="s">
        <v>1385</v>
      </c>
      <c r="K76" t="s">
        <v>74</v>
      </c>
      <c r="L76" t="s">
        <v>74</v>
      </c>
      <c r="M76" t="s">
        <v>78</v>
      </c>
      <c r="N76" t="s">
        <v>79</v>
      </c>
      <c r="O76" t="s">
        <v>74</v>
      </c>
      <c r="P76" t="s">
        <v>74</v>
      </c>
      <c r="Q76" t="s">
        <v>74</v>
      </c>
      <c r="R76" t="s">
        <v>74</v>
      </c>
      <c r="S76" t="s">
        <v>74</v>
      </c>
      <c r="T76" t="s">
        <v>1702</v>
      </c>
      <c r="U76" t="s">
        <v>1703</v>
      </c>
      <c r="V76" t="s">
        <v>1704</v>
      </c>
      <c r="W76" t="s">
        <v>1705</v>
      </c>
      <c r="X76" t="s">
        <v>1706</v>
      </c>
      <c r="Y76" t="s">
        <v>1707</v>
      </c>
      <c r="Z76" t="s">
        <v>1708</v>
      </c>
      <c r="AA76" t="s">
        <v>74</v>
      </c>
      <c r="AB76" t="s">
        <v>74</v>
      </c>
      <c r="AC76" t="s">
        <v>1709</v>
      </c>
      <c r="AD76" t="s">
        <v>1710</v>
      </c>
      <c r="AE76" t="s">
        <v>1711</v>
      </c>
      <c r="AF76" t="s">
        <v>74</v>
      </c>
      <c r="AG76">
        <v>40</v>
      </c>
      <c r="AH76">
        <v>5</v>
      </c>
      <c r="AI76">
        <v>6</v>
      </c>
      <c r="AJ76">
        <v>0</v>
      </c>
      <c r="AK76">
        <v>5</v>
      </c>
      <c r="AL76" t="s">
        <v>946</v>
      </c>
      <c r="AM76" t="s">
        <v>207</v>
      </c>
      <c r="AN76" t="s">
        <v>947</v>
      </c>
      <c r="AO76" t="s">
        <v>1398</v>
      </c>
      <c r="AP76" t="s">
        <v>1399</v>
      </c>
      <c r="AQ76" t="s">
        <v>74</v>
      </c>
      <c r="AR76" t="s">
        <v>1400</v>
      </c>
      <c r="AS76" t="s">
        <v>1401</v>
      </c>
      <c r="AT76" t="s">
        <v>428</v>
      </c>
      <c r="AU76">
        <v>2022</v>
      </c>
      <c r="AV76">
        <v>127</v>
      </c>
      <c r="AW76">
        <v>10</v>
      </c>
      <c r="AX76" t="s">
        <v>74</v>
      </c>
      <c r="AY76" t="s">
        <v>74</v>
      </c>
      <c r="AZ76" t="s">
        <v>74</v>
      </c>
      <c r="BA76" t="s">
        <v>74</v>
      </c>
      <c r="BB76" t="s">
        <v>74</v>
      </c>
      <c r="BC76" t="s">
        <v>74</v>
      </c>
      <c r="BD76" t="s">
        <v>1712</v>
      </c>
      <c r="BE76" t="s">
        <v>1713</v>
      </c>
      <c r="BF76" t="str">
        <f>HYPERLINK("http://dx.doi.org/10.1029/2022JC018879","http://dx.doi.org/10.1029/2022JC018879")</f>
        <v>http://dx.doi.org/10.1029/2022JC018879</v>
      </c>
      <c r="BG76" t="s">
        <v>74</v>
      </c>
      <c r="BH76" t="s">
        <v>74</v>
      </c>
      <c r="BI76">
        <v>20</v>
      </c>
      <c r="BJ76" t="s">
        <v>674</v>
      </c>
      <c r="BK76" t="s">
        <v>100</v>
      </c>
      <c r="BL76" t="s">
        <v>674</v>
      </c>
      <c r="BM76" t="s">
        <v>1714</v>
      </c>
      <c r="BN76" t="s">
        <v>74</v>
      </c>
      <c r="BO76" t="s">
        <v>1715</v>
      </c>
      <c r="BP76" t="s">
        <v>74</v>
      </c>
      <c r="BQ76" t="s">
        <v>74</v>
      </c>
      <c r="BR76" t="s">
        <v>103</v>
      </c>
      <c r="BS76" t="s">
        <v>1716</v>
      </c>
      <c r="BT76" t="str">
        <f>HYPERLINK("https%3A%2F%2Fwww.webofscience.com%2Fwos%2Fwoscc%2Ffull-record%2FWOS:000865479900001","View Full Record in Web of Science")</f>
        <v>View Full Record in Web of Science</v>
      </c>
    </row>
    <row r="77" spans="1:72" x14ac:dyDescent="0.15">
      <c r="A77" t="s">
        <v>72</v>
      </c>
      <c r="B77" t="s">
        <v>1717</v>
      </c>
      <c r="C77" t="s">
        <v>74</v>
      </c>
      <c r="D77" t="s">
        <v>74</v>
      </c>
      <c r="E77" t="s">
        <v>74</v>
      </c>
      <c r="F77" t="s">
        <v>1718</v>
      </c>
      <c r="G77" t="s">
        <v>74</v>
      </c>
      <c r="H77" t="s">
        <v>74</v>
      </c>
      <c r="I77" t="s">
        <v>1719</v>
      </c>
      <c r="J77" t="s">
        <v>1720</v>
      </c>
      <c r="K77" t="s">
        <v>74</v>
      </c>
      <c r="L77" t="s">
        <v>74</v>
      </c>
      <c r="M77" t="s">
        <v>78</v>
      </c>
      <c r="N77" t="s">
        <v>79</v>
      </c>
      <c r="O77" t="s">
        <v>74</v>
      </c>
      <c r="P77" t="s">
        <v>74</v>
      </c>
      <c r="Q77" t="s">
        <v>74</v>
      </c>
      <c r="R77" t="s">
        <v>74</v>
      </c>
      <c r="S77" t="s">
        <v>74</v>
      </c>
      <c r="T77" t="s">
        <v>1721</v>
      </c>
      <c r="U77" t="s">
        <v>1722</v>
      </c>
      <c r="V77" t="s">
        <v>1723</v>
      </c>
      <c r="W77" t="s">
        <v>1724</v>
      </c>
      <c r="X77" t="s">
        <v>1725</v>
      </c>
      <c r="Y77" t="s">
        <v>1726</v>
      </c>
      <c r="Z77" t="s">
        <v>1727</v>
      </c>
      <c r="AA77" t="s">
        <v>1728</v>
      </c>
      <c r="AB77" t="s">
        <v>1729</v>
      </c>
      <c r="AC77" t="s">
        <v>1730</v>
      </c>
      <c r="AD77" t="s">
        <v>1731</v>
      </c>
      <c r="AE77" t="s">
        <v>1732</v>
      </c>
      <c r="AF77" t="s">
        <v>74</v>
      </c>
      <c r="AG77">
        <v>98</v>
      </c>
      <c r="AH77">
        <v>1</v>
      </c>
      <c r="AI77">
        <v>1</v>
      </c>
      <c r="AJ77">
        <v>2</v>
      </c>
      <c r="AK77">
        <v>8</v>
      </c>
      <c r="AL77" t="s">
        <v>1733</v>
      </c>
      <c r="AM77" t="s">
        <v>1734</v>
      </c>
      <c r="AN77" t="s">
        <v>1735</v>
      </c>
      <c r="AO77" t="s">
        <v>1736</v>
      </c>
      <c r="AP77" t="s">
        <v>1737</v>
      </c>
      <c r="AQ77" t="s">
        <v>74</v>
      </c>
      <c r="AR77" t="s">
        <v>1738</v>
      </c>
      <c r="AS77" t="s">
        <v>1739</v>
      </c>
      <c r="AT77" t="s">
        <v>428</v>
      </c>
      <c r="AU77">
        <v>2022</v>
      </c>
      <c r="AV77">
        <v>69</v>
      </c>
      <c r="AW77" t="s">
        <v>74</v>
      </c>
      <c r="AX77" t="s">
        <v>74</v>
      </c>
      <c r="AY77" t="s">
        <v>74</v>
      </c>
      <c r="AZ77" t="s">
        <v>74</v>
      </c>
      <c r="BA77" t="s">
        <v>74</v>
      </c>
      <c r="BB77" t="s">
        <v>74</v>
      </c>
      <c r="BC77" t="s">
        <v>74</v>
      </c>
      <c r="BD77">
        <v>126437</v>
      </c>
      <c r="BE77" t="s">
        <v>1740</v>
      </c>
      <c r="BF77" t="str">
        <f>HYPERLINK("http://dx.doi.org/10.1016/j.jnc.2022.126437","http://dx.doi.org/10.1016/j.jnc.2022.126437")</f>
        <v>http://dx.doi.org/10.1016/j.jnc.2022.126437</v>
      </c>
      <c r="BG77" t="s">
        <v>74</v>
      </c>
      <c r="BH77" t="s">
        <v>74</v>
      </c>
      <c r="BI77">
        <v>12</v>
      </c>
      <c r="BJ77" t="s">
        <v>1169</v>
      </c>
      <c r="BK77" t="s">
        <v>100</v>
      </c>
      <c r="BL77" t="s">
        <v>1170</v>
      </c>
      <c r="BM77" t="s">
        <v>1741</v>
      </c>
      <c r="BN77" t="s">
        <v>74</v>
      </c>
      <c r="BO77" t="s">
        <v>74</v>
      </c>
      <c r="BP77" t="s">
        <v>74</v>
      </c>
      <c r="BQ77" t="s">
        <v>74</v>
      </c>
      <c r="BR77" t="s">
        <v>103</v>
      </c>
      <c r="BS77" t="s">
        <v>1742</v>
      </c>
      <c r="BT77" t="str">
        <f>HYPERLINK("https%3A%2F%2Fwww.webofscience.com%2Fwos%2Fwoscc%2Ffull-record%2FWOS:000862855300004","View Full Record in Web of Science")</f>
        <v>View Full Record in Web of Science</v>
      </c>
    </row>
    <row r="78" spans="1:72" x14ac:dyDescent="0.15">
      <c r="A78" t="s">
        <v>72</v>
      </c>
      <c r="B78" t="s">
        <v>1743</v>
      </c>
      <c r="C78" t="s">
        <v>74</v>
      </c>
      <c r="D78" t="s">
        <v>74</v>
      </c>
      <c r="E78" t="s">
        <v>74</v>
      </c>
      <c r="F78" t="s">
        <v>1744</v>
      </c>
      <c r="G78" t="s">
        <v>74</v>
      </c>
      <c r="H78" t="s">
        <v>74</v>
      </c>
      <c r="I78" t="s">
        <v>1745</v>
      </c>
      <c r="J78" t="s">
        <v>1385</v>
      </c>
      <c r="K78" t="s">
        <v>74</v>
      </c>
      <c r="L78" t="s">
        <v>74</v>
      </c>
      <c r="M78" t="s">
        <v>78</v>
      </c>
      <c r="N78" t="s">
        <v>79</v>
      </c>
      <c r="O78" t="s">
        <v>74</v>
      </c>
      <c r="P78" t="s">
        <v>74</v>
      </c>
      <c r="Q78" t="s">
        <v>74</v>
      </c>
      <c r="R78" t="s">
        <v>74</v>
      </c>
      <c r="S78" t="s">
        <v>74</v>
      </c>
      <c r="T78" t="s">
        <v>1746</v>
      </c>
      <c r="U78" t="s">
        <v>1747</v>
      </c>
      <c r="V78" t="s">
        <v>1748</v>
      </c>
      <c r="W78" t="s">
        <v>1749</v>
      </c>
      <c r="X78" t="s">
        <v>1750</v>
      </c>
      <c r="Y78" t="s">
        <v>1751</v>
      </c>
      <c r="Z78" t="s">
        <v>1752</v>
      </c>
      <c r="AA78" t="s">
        <v>74</v>
      </c>
      <c r="AB78" t="s">
        <v>1753</v>
      </c>
      <c r="AC78" t="s">
        <v>1754</v>
      </c>
      <c r="AD78" t="s">
        <v>1755</v>
      </c>
      <c r="AE78" t="s">
        <v>1756</v>
      </c>
      <c r="AF78" t="s">
        <v>74</v>
      </c>
      <c r="AG78">
        <v>74</v>
      </c>
      <c r="AH78">
        <v>2</v>
      </c>
      <c r="AI78">
        <v>2</v>
      </c>
      <c r="AJ78">
        <v>2</v>
      </c>
      <c r="AK78">
        <v>5</v>
      </c>
      <c r="AL78" t="s">
        <v>946</v>
      </c>
      <c r="AM78" t="s">
        <v>207</v>
      </c>
      <c r="AN78" t="s">
        <v>947</v>
      </c>
      <c r="AO78" t="s">
        <v>1398</v>
      </c>
      <c r="AP78" t="s">
        <v>1399</v>
      </c>
      <c r="AQ78" t="s">
        <v>74</v>
      </c>
      <c r="AR78" t="s">
        <v>1400</v>
      </c>
      <c r="AS78" t="s">
        <v>1401</v>
      </c>
      <c r="AT78" t="s">
        <v>428</v>
      </c>
      <c r="AU78">
        <v>2022</v>
      </c>
      <c r="AV78">
        <v>127</v>
      </c>
      <c r="AW78">
        <v>10</v>
      </c>
      <c r="AX78" t="s">
        <v>74</v>
      </c>
      <c r="AY78" t="s">
        <v>74</v>
      </c>
      <c r="AZ78" t="s">
        <v>74</v>
      </c>
      <c r="BA78" t="s">
        <v>74</v>
      </c>
      <c r="BB78" t="s">
        <v>74</v>
      </c>
      <c r="BC78" t="s">
        <v>74</v>
      </c>
      <c r="BD78" t="s">
        <v>1757</v>
      </c>
      <c r="BE78" t="s">
        <v>1758</v>
      </c>
      <c r="BF78" t="str">
        <f>HYPERLINK("http://dx.doi.org/10.1029/2022JC018798","http://dx.doi.org/10.1029/2022JC018798")</f>
        <v>http://dx.doi.org/10.1029/2022JC018798</v>
      </c>
      <c r="BG78" t="s">
        <v>74</v>
      </c>
      <c r="BH78" t="s">
        <v>74</v>
      </c>
      <c r="BI78">
        <v>15</v>
      </c>
      <c r="BJ78" t="s">
        <v>674</v>
      </c>
      <c r="BK78" t="s">
        <v>100</v>
      </c>
      <c r="BL78" t="s">
        <v>674</v>
      </c>
      <c r="BM78" t="s">
        <v>1759</v>
      </c>
      <c r="BN78" t="s">
        <v>74</v>
      </c>
      <c r="BO78" t="s">
        <v>1221</v>
      </c>
      <c r="BP78" t="s">
        <v>74</v>
      </c>
      <c r="BQ78" t="s">
        <v>74</v>
      </c>
      <c r="BR78" t="s">
        <v>103</v>
      </c>
      <c r="BS78" t="s">
        <v>1760</v>
      </c>
      <c r="BT78" t="str">
        <f>HYPERLINK("https%3A%2F%2Fwww.webofscience.com%2Fwos%2Fwoscc%2Ffull-record%2FWOS:000863582300001","View Full Record in Web of Science")</f>
        <v>View Full Record in Web of Science</v>
      </c>
    </row>
    <row r="79" spans="1:72" x14ac:dyDescent="0.15">
      <c r="A79" t="s">
        <v>72</v>
      </c>
      <c r="B79" t="s">
        <v>1761</v>
      </c>
      <c r="C79" t="s">
        <v>74</v>
      </c>
      <c r="D79" t="s">
        <v>74</v>
      </c>
      <c r="E79" t="s">
        <v>74</v>
      </c>
      <c r="F79" t="s">
        <v>1762</v>
      </c>
      <c r="G79" t="s">
        <v>74</v>
      </c>
      <c r="H79" t="s">
        <v>74</v>
      </c>
      <c r="I79" t="s">
        <v>1763</v>
      </c>
      <c r="J79" t="s">
        <v>1385</v>
      </c>
      <c r="K79" t="s">
        <v>74</v>
      </c>
      <c r="L79" t="s">
        <v>74</v>
      </c>
      <c r="M79" t="s">
        <v>78</v>
      </c>
      <c r="N79" t="s">
        <v>79</v>
      </c>
      <c r="O79" t="s">
        <v>74</v>
      </c>
      <c r="P79" t="s">
        <v>74</v>
      </c>
      <c r="Q79" t="s">
        <v>74</v>
      </c>
      <c r="R79" t="s">
        <v>74</v>
      </c>
      <c r="S79" t="s">
        <v>74</v>
      </c>
      <c r="T79" t="s">
        <v>1764</v>
      </c>
      <c r="U79" t="s">
        <v>1765</v>
      </c>
      <c r="V79" t="s">
        <v>1766</v>
      </c>
      <c r="W79" t="s">
        <v>1767</v>
      </c>
      <c r="X79" t="s">
        <v>1768</v>
      </c>
      <c r="Y79" t="s">
        <v>1769</v>
      </c>
      <c r="Z79" t="s">
        <v>1770</v>
      </c>
      <c r="AA79" t="s">
        <v>1771</v>
      </c>
      <c r="AB79" t="s">
        <v>1772</v>
      </c>
      <c r="AC79" t="s">
        <v>1773</v>
      </c>
      <c r="AD79" t="s">
        <v>1774</v>
      </c>
      <c r="AE79" t="s">
        <v>1775</v>
      </c>
      <c r="AF79" t="s">
        <v>74</v>
      </c>
      <c r="AG79">
        <v>81</v>
      </c>
      <c r="AH79">
        <v>4</v>
      </c>
      <c r="AI79">
        <v>4</v>
      </c>
      <c r="AJ79">
        <v>0</v>
      </c>
      <c r="AK79">
        <v>1</v>
      </c>
      <c r="AL79" t="s">
        <v>946</v>
      </c>
      <c r="AM79" t="s">
        <v>207</v>
      </c>
      <c r="AN79" t="s">
        <v>947</v>
      </c>
      <c r="AO79" t="s">
        <v>1398</v>
      </c>
      <c r="AP79" t="s">
        <v>1399</v>
      </c>
      <c r="AQ79" t="s">
        <v>74</v>
      </c>
      <c r="AR79" t="s">
        <v>1400</v>
      </c>
      <c r="AS79" t="s">
        <v>1401</v>
      </c>
      <c r="AT79" t="s">
        <v>428</v>
      </c>
      <c r="AU79">
        <v>2022</v>
      </c>
      <c r="AV79">
        <v>127</v>
      </c>
      <c r="AW79">
        <v>10</v>
      </c>
      <c r="AX79" t="s">
        <v>74</v>
      </c>
      <c r="AY79" t="s">
        <v>74</v>
      </c>
      <c r="AZ79" t="s">
        <v>74</v>
      </c>
      <c r="BA79" t="s">
        <v>74</v>
      </c>
      <c r="BB79" t="s">
        <v>74</v>
      </c>
      <c r="BC79" t="s">
        <v>74</v>
      </c>
      <c r="BD79" t="s">
        <v>1776</v>
      </c>
      <c r="BE79" t="s">
        <v>1777</v>
      </c>
      <c r="BF79" t="str">
        <f>HYPERLINK("http://dx.doi.org/10.1029/2022JC018707","http://dx.doi.org/10.1029/2022JC018707")</f>
        <v>http://dx.doi.org/10.1029/2022JC018707</v>
      </c>
      <c r="BG79" t="s">
        <v>74</v>
      </c>
      <c r="BH79" t="s">
        <v>74</v>
      </c>
      <c r="BI79">
        <v>22</v>
      </c>
      <c r="BJ79" t="s">
        <v>674</v>
      </c>
      <c r="BK79" t="s">
        <v>100</v>
      </c>
      <c r="BL79" t="s">
        <v>674</v>
      </c>
      <c r="BM79" t="s">
        <v>1778</v>
      </c>
      <c r="BN79" t="s">
        <v>74</v>
      </c>
      <c r="BO79" t="s">
        <v>1779</v>
      </c>
      <c r="BP79" t="s">
        <v>74</v>
      </c>
      <c r="BQ79" t="s">
        <v>74</v>
      </c>
      <c r="BR79" t="s">
        <v>103</v>
      </c>
      <c r="BS79" t="s">
        <v>1780</v>
      </c>
      <c r="BT79" t="str">
        <f>HYPERLINK("https%3A%2F%2Fwww.webofscience.com%2Fwos%2Fwoscc%2Ffull-record%2FWOS:000863580000001","View Full Record in Web of Science")</f>
        <v>View Full Record in Web of Science</v>
      </c>
    </row>
    <row r="80" spans="1:72" x14ac:dyDescent="0.15">
      <c r="A80" t="s">
        <v>72</v>
      </c>
      <c r="B80" t="s">
        <v>1781</v>
      </c>
      <c r="C80" t="s">
        <v>74</v>
      </c>
      <c r="D80" t="s">
        <v>74</v>
      </c>
      <c r="E80" t="s">
        <v>74</v>
      </c>
      <c r="F80" t="s">
        <v>1782</v>
      </c>
      <c r="G80" t="s">
        <v>74</v>
      </c>
      <c r="H80" t="s">
        <v>74</v>
      </c>
      <c r="I80" t="s">
        <v>1783</v>
      </c>
      <c r="J80" t="s">
        <v>1385</v>
      </c>
      <c r="K80" t="s">
        <v>74</v>
      </c>
      <c r="L80" t="s">
        <v>74</v>
      </c>
      <c r="M80" t="s">
        <v>78</v>
      </c>
      <c r="N80" t="s">
        <v>79</v>
      </c>
      <c r="O80" t="s">
        <v>74</v>
      </c>
      <c r="P80" t="s">
        <v>74</v>
      </c>
      <c r="Q80" t="s">
        <v>74</v>
      </c>
      <c r="R80" t="s">
        <v>74</v>
      </c>
      <c r="S80" t="s">
        <v>74</v>
      </c>
      <c r="T80" t="s">
        <v>1784</v>
      </c>
      <c r="U80" t="s">
        <v>1785</v>
      </c>
      <c r="V80" t="s">
        <v>1786</v>
      </c>
      <c r="W80" t="s">
        <v>1787</v>
      </c>
      <c r="X80" t="s">
        <v>1788</v>
      </c>
      <c r="Y80" t="s">
        <v>1789</v>
      </c>
      <c r="Z80" t="s">
        <v>1790</v>
      </c>
      <c r="AA80" t="s">
        <v>1791</v>
      </c>
      <c r="AB80" t="s">
        <v>1792</v>
      </c>
      <c r="AC80" t="s">
        <v>1793</v>
      </c>
      <c r="AD80" t="s">
        <v>1794</v>
      </c>
      <c r="AE80" t="s">
        <v>1795</v>
      </c>
      <c r="AF80" t="s">
        <v>74</v>
      </c>
      <c r="AG80">
        <v>46</v>
      </c>
      <c r="AH80">
        <v>4</v>
      </c>
      <c r="AI80">
        <v>4</v>
      </c>
      <c r="AJ80">
        <v>1</v>
      </c>
      <c r="AK80">
        <v>6</v>
      </c>
      <c r="AL80" t="s">
        <v>946</v>
      </c>
      <c r="AM80" t="s">
        <v>207</v>
      </c>
      <c r="AN80" t="s">
        <v>947</v>
      </c>
      <c r="AO80" t="s">
        <v>1398</v>
      </c>
      <c r="AP80" t="s">
        <v>1399</v>
      </c>
      <c r="AQ80" t="s">
        <v>74</v>
      </c>
      <c r="AR80" t="s">
        <v>1400</v>
      </c>
      <c r="AS80" t="s">
        <v>1401</v>
      </c>
      <c r="AT80" t="s">
        <v>428</v>
      </c>
      <c r="AU80">
        <v>2022</v>
      </c>
      <c r="AV80">
        <v>127</v>
      </c>
      <c r="AW80">
        <v>10</v>
      </c>
      <c r="AX80" t="s">
        <v>74</v>
      </c>
      <c r="AY80" t="s">
        <v>74</v>
      </c>
      <c r="AZ80" t="s">
        <v>74</v>
      </c>
      <c r="BA80" t="s">
        <v>74</v>
      </c>
      <c r="BB80" t="s">
        <v>74</v>
      </c>
      <c r="BC80" t="s">
        <v>74</v>
      </c>
      <c r="BD80" t="s">
        <v>1796</v>
      </c>
      <c r="BE80" t="s">
        <v>1797</v>
      </c>
      <c r="BF80" t="str">
        <f>HYPERLINK("http://dx.doi.org/10.1029/2022JC019044","http://dx.doi.org/10.1029/2022JC019044")</f>
        <v>http://dx.doi.org/10.1029/2022JC019044</v>
      </c>
      <c r="BG80" t="s">
        <v>74</v>
      </c>
      <c r="BH80" t="s">
        <v>74</v>
      </c>
      <c r="BI80">
        <v>17</v>
      </c>
      <c r="BJ80" t="s">
        <v>674</v>
      </c>
      <c r="BK80" t="s">
        <v>100</v>
      </c>
      <c r="BL80" t="s">
        <v>674</v>
      </c>
      <c r="BM80" t="s">
        <v>1798</v>
      </c>
      <c r="BN80" t="s">
        <v>74</v>
      </c>
      <c r="BO80" t="s">
        <v>404</v>
      </c>
      <c r="BP80" t="s">
        <v>74</v>
      </c>
      <c r="BQ80" t="s">
        <v>74</v>
      </c>
      <c r="BR80" t="s">
        <v>103</v>
      </c>
      <c r="BS80" t="s">
        <v>1799</v>
      </c>
      <c r="BT80" t="str">
        <f>HYPERLINK("https%3A%2F%2Fwww.webofscience.com%2Fwos%2Fwoscc%2Ffull-record%2FWOS:000864112800001","View Full Record in Web of Science")</f>
        <v>View Full Record in Web of Science</v>
      </c>
    </row>
    <row r="81" spans="1:72" x14ac:dyDescent="0.15">
      <c r="A81" t="s">
        <v>72</v>
      </c>
      <c r="B81" t="s">
        <v>1800</v>
      </c>
      <c r="C81" t="s">
        <v>74</v>
      </c>
      <c r="D81" t="s">
        <v>74</v>
      </c>
      <c r="E81" t="s">
        <v>74</v>
      </c>
      <c r="F81" t="s">
        <v>1801</v>
      </c>
      <c r="G81" t="s">
        <v>74</v>
      </c>
      <c r="H81" t="s">
        <v>74</v>
      </c>
      <c r="I81" t="s">
        <v>1802</v>
      </c>
      <c r="J81" t="s">
        <v>1385</v>
      </c>
      <c r="K81" t="s">
        <v>74</v>
      </c>
      <c r="L81" t="s">
        <v>74</v>
      </c>
      <c r="M81" t="s">
        <v>78</v>
      </c>
      <c r="N81" t="s">
        <v>79</v>
      </c>
      <c r="O81" t="s">
        <v>74</v>
      </c>
      <c r="P81" t="s">
        <v>74</v>
      </c>
      <c r="Q81" t="s">
        <v>74</v>
      </c>
      <c r="R81" t="s">
        <v>74</v>
      </c>
      <c r="S81" t="s">
        <v>74</v>
      </c>
      <c r="T81" t="s">
        <v>74</v>
      </c>
      <c r="U81" t="s">
        <v>1803</v>
      </c>
      <c r="V81" t="s">
        <v>1804</v>
      </c>
      <c r="W81" t="s">
        <v>1805</v>
      </c>
      <c r="X81" t="s">
        <v>1806</v>
      </c>
      <c r="Y81" t="s">
        <v>1807</v>
      </c>
      <c r="Z81" t="s">
        <v>1808</v>
      </c>
      <c r="AA81" t="s">
        <v>1809</v>
      </c>
      <c r="AB81" t="s">
        <v>1810</v>
      </c>
      <c r="AC81" t="s">
        <v>1811</v>
      </c>
      <c r="AD81" t="s">
        <v>1812</v>
      </c>
      <c r="AE81" t="s">
        <v>1813</v>
      </c>
      <c r="AF81" t="s">
        <v>74</v>
      </c>
      <c r="AG81">
        <v>58</v>
      </c>
      <c r="AH81">
        <v>1</v>
      </c>
      <c r="AI81">
        <v>1</v>
      </c>
      <c r="AJ81">
        <v>3</v>
      </c>
      <c r="AK81">
        <v>12</v>
      </c>
      <c r="AL81" t="s">
        <v>946</v>
      </c>
      <c r="AM81" t="s">
        <v>207</v>
      </c>
      <c r="AN81" t="s">
        <v>947</v>
      </c>
      <c r="AO81" t="s">
        <v>1398</v>
      </c>
      <c r="AP81" t="s">
        <v>1399</v>
      </c>
      <c r="AQ81" t="s">
        <v>74</v>
      </c>
      <c r="AR81" t="s">
        <v>1400</v>
      </c>
      <c r="AS81" t="s">
        <v>1401</v>
      </c>
      <c r="AT81" t="s">
        <v>428</v>
      </c>
      <c r="AU81">
        <v>2022</v>
      </c>
      <c r="AV81">
        <v>127</v>
      </c>
      <c r="AW81">
        <v>10</v>
      </c>
      <c r="AX81" t="s">
        <v>74</v>
      </c>
      <c r="AY81" t="s">
        <v>74</v>
      </c>
      <c r="AZ81" t="s">
        <v>74</v>
      </c>
      <c r="BA81" t="s">
        <v>74</v>
      </c>
      <c r="BB81" t="s">
        <v>74</v>
      </c>
      <c r="BC81" t="s">
        <v>74</v>
      </c>
      <c r="BD81" t="s">
        <v>1814</v>
      </c>
      <c r="BE81" t="s">
        <v>1815</v>
      </c>
      <c r="BF81" t="str">
        <f>HYPERLINK("http://dx.doi.org/10.1029/2022JC018405","http://dx.doi.org/10.1029/2022JC018405")</f>
        <v>http://dx.doi.org/10.1029/2022JC018405</v>
      </c>
      <c r="BG81" t="s">
        <v>74</v>
      </c>
      <c r="BH81" t="s">
        <v>74</v>
      </c>
      <c r="BI81">
        <v>16</v>
      </c>
      <c r="BJ81" t="s">
        <v>674</v>
      </c>
      <c r="BK81" t="s">
        <v>100</v>
      </c>
      <c r="BL81" t="s">
        <v>674</v>
      </c>
      <c r="BM81" t="s">
        <v>1816</v>
      </c>
      <c r="BN81" t="s">
        <v>74</v>
      </c>
      <c r="BO81" t="s">
        <v>1341</v>
      </c>
      <c r="BP81" t="s">
        <v>74</v>
      </c>
      <c r="BQ81" t="s">
        <v>74</v>
      </c>
      <c r="BR81" t="s">
        <v>103</v>
      </c>
      <c r="BS81" t="s">
        <v>1817</v>
      </c>
      <c r="BT81" t="str">
        <f>HYPERLINK("https%3A%2F%2Fwww.webofscience.com%2Fwos%2Fwoscc%2Ffull-record%2FWOS:000864718500001","View Full Record in Web of Science")</f>
        <v>View Full Record in Web of Science</v>
      </c>
    </row>
    <row r="82" spans="1:72" x14ac:dyDescent="0.15">
      <c r="A82" t="s">
        <v>72</v>
      </c>
      <c r="B82" t="s">
        <v>1818</v>
      </c>
      <c r="C82" t="s">
        <v>74</v>
      </c>
      <c r="D82" t="s">
        <v>74</v>
      </c>
      <c r="E82" t="s">
        <v>74</v>
      </c>
      <c r="F82" t="s">
        <v>1819</v>
      </c>
      <c r="G82" t="s">
        <v>74</v>
      </c>
      <c r="H82" t="s">
        <v>74</v>
      </c>
      <c r="I82" t="s">
        <v>1820</v>
      </c>
      <c r="J82" t="s">
        <v>933</v>
      </c>
      <c r="K82" t="s">
        <v>74</v>
      </c>
      <c r="L82" t="s">
        <v>74</v>
      </c>
      <c r="M82" t="s">
        <v>78</v>
      </c>
      <c r="N82" t="s">
        <v>79</v>
      </c>
      <c r="O82" t="s">
        <v>74</v>
      </c>
      <c r="P82" t="s">
        <v>74</v>
      </c>
      <c r="Q82" t="s">
        <v>74</v>
      </c>
      <c r="R82" t="s">
        <v>74</v>
      </c>
      <c r="S82" t="s">
        <v>74</v>
      </c>
      <c r="T82" t="s">
        <v>74</v>
      </c>
      <c r="U82" t="s">
        <v>1821</v>
      </c>
      <c r="V82" t="s">
        <v>1822</v>
      </c>
      <c r="W82" t="s">
        <v>1823</v>
      </c>
      <c r="X82" t="s">
        <v>1824</v>
      </c>
      <c r="Y82" t="s">
        <v>1825</v>
      </c>
      <c r="Z82" t="s">
        <v>1826</v>
      </c>
      <c r="AA82" t="s">
        <v>1827</v>
      </c>
      <c r="AB82" t="s">
        <v>1828</v>
      </c>
      <c r="AC82" t="s">
        <v>1829</v>
      </c>
      <c r="AD82" t="s">
        <v>1830</v>
      </c>
      <c r="AE82" t="s">
        <v>1831</v>
      </c>
      <c r="AF82" t="s">
        <v>74</v>
      </c>
      <c r="AG82">
        <v>49</v>
      </c>
      <c r="AH82">
        <v>5</v>
      </c>
      <c r="AI82">
        <v>5</v>
      </c>
      <c r="AJ82">
        <v>1</v>
      </c>
      <c r="AK82">
        <v>5</v>
      </c>
      <c r="AL82" t="s">
        <v>946</v>
      </c>
      <c r="AM82" t="s">
        <v>207</v>
      </c>
      <c r="AN82" t="s">
        <v>947</v>
      </c>
      <c r="AO82" t="s">
        <v>948</v>
      </c>
      <c r="AP82" t="s">
        <v>949</v>
      </c>
      <c r="AQ82" t="s">
        <v>74</v>
      </c>
      <c r="AR82" t="s">
        <v>950</v>
      </c>
      <c r="AS82" t="s">
        <v>951</v>
      </c>
      <c r="AT82" t="s">
        <v>428</v>
      </c>
      <c r="AU82">
        <v>2022</v>
      </c>
      <c r="AV82">
        <v>127</v>
      </c>
      <c r="AW82">
        <v>10</v>
      </c>
      <c r="AX82" t="s">
        <v>74</v>
      </c>
      <c r="AY82" t="s">
        <v>74</v>
      </c>
      <c r="AZ82" t="s">
        <v>74</v>
      </c>
      <c r="BA82" t="s">
        <v>74</v>
      </c>
      <c r="BB82" t="s">
        <v>74</v>
      </c>
      <c r="BC82" t="s">
        <v>74</v>
      </c>
      <c r="BD82" t="s">
        <v>1832</v>
      </c>
      <c r="BE82" t="s">
        <v>1833</v>
      </c>
      <c r="BF82" t="str">
        <f>HYPERLINK("http://dx.doi.org/10.1029/2022JA030861","http://dx.doi.org/10.1029/2022JA030861")</f>
        <v>http://dx.doi.org/10.1029/2022JA030861</v>
      </c>
      <c r="BG82" t="s">
        <v>74</v>
      </c>
      <c r="BH82" t="s">
        <v>74</v>
      </c>
      <c r="BI82">
        <v>17</v>
      </c>
      <c r="BJ82" t="s">
        <v>954</v>
      </c>
      <c r="BK82" t="s">
        <v>100</v>
      </c>
      <c r="BL82" t="s">
        <v>954</v>
      </c>
      <c r="BM82" t="s">
        <v>1834</v>
      </c>
      <c r="BN82" t="s">
        <v>74</v>
      </c>
      <c r="BO82" t="s">
        <v>1013</v>
      </c>
      <c r="BP82" t="s">
        <v>74</v>
      </c>
      <c r="BQ82" t="s">
        <v>74</v>
      </c>
      <c r="BR82" t="s">
        <v>103</v>
      </c>
      <c r="BS82" t="s">
        <v>1835</v>
      </c>
      <c r="BT82" t="str">
        <f>HYPERLINK("https%3A%2F%2Fwww.webofscience.com%2Fwos%2Fwoscc%2Ffull-record%2FWOS:000863595000001","View Full Record in Web of Science")</f>
        <v>View Full Record in Web of Science</v>
      </c>
    </row>
    <row r="83" spans="1:72" x14ac:dyDescent="0.15">
      <c r="A83" t="s">
        <v>72</v>
      </c>
      <c r="B83" t="s">
        <v>1836</v>
      </c>
      <c r="C83" t="s">
        <v>74</v>
      </c>
      <c r="D83" t="s">
        <v>74</v>
      </c>
      <c r="E83" t="s">
        <v>74</v>
      </c>
      <c r="F83" t="s">
        <v>1837</v>
      </c>
      <c r="G83" t="s">
        <v>74</v>
      </c>
      <c r="H83" t="s">
        <v>74</v>
      </c>
      <c r="I83" t="s">
        <v>1838</v>
      </c>
      <c r="J83" t="s">
        <v>1839</v>
      </c>
      <c r="K83" t="s">
        <v>74</v>
      </c>
      <c r="L83" t="s">
        <v>74</v>
      </c>
      <c r="M83" t="s">
        <v>78</v>
      </c>
      <c r="N83" t="s">
        <v>79</v>
      </c>
      <c r="O83" t="s">
        <v>74</v>
      </c>
      <c r="P83" t="s">
        <v>74</v>
      </c>
      <c r="Q83" t="s">
        <v>74</v>
      </c>
      <c r="R83" t="s">
        <v>74</v>
      </c>
      <c r="S83" t="s">
        <v>74</v>
      </c>
      <c r="T83" t="s">
        <v>1840</v>
      </c>
      <c r="U83" t="s">
        <v>1841</v>
      </c>
      <c r="V83" t="s">
        <v>1842</v>
      </c>
      <c r="W83" t="s">
        <v>1843</v>
      </c>
      <c r="X83" t="s">
        <v>1844</v>
      </c>
      <c r="Y83" t="s">
        <v>1845</v>
      </c>
      <c r="Z83" t="s">
        <v>74</v>
      </c>
      <c r="AA83" t="s">
        <v>1846</v>
      </c>
      <c r="AB83" t="s">
        <v>1847</v>
      </c>
      <c r="AC83" t="s">
        <v>1848</v>
      </c>
      <c r="AD83" t="s">
        <v>1849</v>
      </c>
      <c r="AE83" t="s">
        <v>1850</v>
      </c>
      <c r="AF83" t="s">
        <v>74</v>
      </c>
      <c r="AG83">
        <v>89</v>
      </c>
      <c r="AH83">
        <v>17</v>
      </c>
      <c r="AI83">
        <v>18</v>
      </c>
      <c r="AJ83">
        <v>4</v>
      </c>
      <c r="AK83">
        <v>16</v>
      </c>
      <c r="AL83" t="s">
        <v>1065</v>
      </c>
      <c r="AM83" t="s">
        <v>1066</v>
      </c>
      <c r="AN83" t="s">
        <v>1067</v>
      </c>
      <c r="AO83" t="s">
        <v>1851</v>
      </c>
      <c r="AP83" t="s">
        <v>1852</v>
      </c>
      <c r="AQ83" t="s">
        <v>74</v>
      </c>
      <c r="AR83" t="s">
        <v>1853</v>
      </c>
      <c r="AS83" t="s">
        <v>1854</v>
      </c>
      <c r="AT83" t="s">
        <v>1633</v>
      </c>
      <c r="AU83">
        <v>2022</v>
      </c>
      <c r="AV83">
        <v>35</v>
      </c>
      <c r="AW83">
        <v>19</v>
      </c>
      <c r="AX83" t="s">
        <v>74</v>
      </c>
      <c r="AY83" t="s">
        <v>74</v>
      </c>
      <c r="AZ83" t="s">
        <v>74</v>
      </c>
      <c r="BA83" t="s">
        <v>74</v>
      </c>
      <c r="BB83">
        <v>2667</v>
      </c>
      <c r="BC83">
        <v>2682</v>
      </c>
      <c r="BD83" t="s">
        <v>74</v>
      </c>
      <c r="BE83" t="s">
        <v>1855</v>
      </c>
      <c r="BF83" t="str">
        <f>HYPERLINK("http://dx.doi.org/10.1175/JCLI-D-22-0080.1","http://dx.doi.org/10.1175/JCLI-D-22-0080.1")</f>
        <v>http://dx.doi.org/10.1175/JCLI-D-22-0080.1</v>
      </c>
      <c r="BG83" t="s">
        <v>74</v>
      </c>
      <c r="BH83" t="s">
        <v>74</v>
      </c>
      <c r="BI83">
        <v>16</v>
      </c>
      <c r="BJ83" t="s">
        <v>457</v>
      </c>
      <c r="BK83" t="s">
        <v>100</v>
      </c>
      <c r="BL83" t="s">
        <v>457</v>
      </c>
      <c r="BM83" t="s">
        <v>1856</v>
      </c>
      <c r="BN83" t="s">
        <v>74</v>
      </c>
      <c r="BO83" t="s">
        <v>74</v>
      </c>
      <c r="BP83" t="s">
        <v>74</v>
      </c>
      <c r="BQ83" t="s">
        <v>74</v>
      </c>
      <c r="BR83" t="s">
        <v>103</v>
      </c>
      <c r="BS83" t="s">
        <v>1857</v>
      </c>
      <c r="BT83" t="str">
        <f>HYPERLINK("https%3A%2F%2Fwww.webofscience.com%2Fwos%2Fwoscc%2Ffull-record%2FWOS:000860956000003","View Full Record in Web of Science")</f>
        <v>View Full Record in Web of Science</v>
      </c>
    </row>
    <row r="84" spans="1:72" x14ac:dyDescent="0.15">
      <c r="A84" t="s">
        <v>72</v>
      </c>
      <c r="B84" t="s">
        <v>1858</v>
      </c>
      <c r="C84" t="s">
        <v>74</v>
      </c>
      <c r="D84" t="s">
        <v>74</v>
      </c>
      <c r="E84" t="s">
        <v>74</v>
      </c>
      <c r="F84" t="s">
        <v>1859</v>
      </c>
      <c r="G84" t="s">
        <v>74</v>
      </c>
      <c r="H84" t="s">
        <v>74</v>
      </c>
      <c r="I84" t="s">
        <v>1860</v>
      </c>
      <c r="J84" t="s">
        <v>1861</v>
      </c>
      <c r="K84" t="s">
        <v>74</v>
      </c>
      <c r="L84" t="s">
        <v>74</v>
      </c>
      <c r="M84" t="s">
        <v>78</v>
      </c>
      <c r="N84" t="s">
        <v>79</v>
      </c>
      <c r="O84" t="s">
        <v>74</v>
      </c>
      <c r="P84" t="s">
        <v>74</v>
      </c>
      <c r="Q84" t="s">
        <v>74</v>
      </c>
      <c r="R84" t="s">
        <v>74</v>
      </c>
      <c r="S84" t="s">
        <v>74</v>
      </c>
      <c r="T84" t="s">
        <v>74</v>
      </c>
      <c r="U84" t="s">
        <v>1862</v>
      </c>
      <c r="V84" t="s">
        <v>1863</v>
      </c>
      <c r="W84" t="s">
        <v>1864</v>
      </c>
      <c r="X84" t="s">
        <v>1865</v>
      </c>
      <c r="Y84" t="s">
        <v>1866</v>
      </c>
      <c r="Z84" t="s">
        <v>1867</v>
      </c>
      <c r="AA84" t="s">
        <v>74</v>
      </c>
      <c r="AB84" t="s">
        <v>74</v>
      </c>
      <c r="AC84" t="s">
        <v>74</v>
      </c>
      <c r="AD84" t="s">
        <v>74</v>
      </c>
      <c r="AE84" t="s">
        <v>74</v>
      </c>
      <c r="AF84" t="s">
        <v>74</v>
      </c>
      <c r="AG84">
        <v>31</v>
      </c>
      <c r="AH84">
        <v>1</v>
      </c>
      <c r="AI84">
        <v>1</v>
      </c>
      <c r="AJ84">
        <v>0</v>
      </c>
      <c r="AK84">
        <v>1</v>
      </c>
      <c r="AL84" t="s">
        <v>577</v>
      </c>
      <c r="AM84" t="s">
        <v>450</v>
      </c>
      <c r="AN84" t="s">
        <v>578</v>
      </c>
      <c r="AO84" t="s">
        <v>1868</v>
      </c>
      <c r="AP84" t="s">
        <v>1869</v>
      </c>
      <c r="AQ84" t="s">
        <v>74</v>
      </c>
      <c r="AR84" t="s">
        <v>1870</v>
      </c>
      <c r="AS84" t="s">
        <v>1871</v>
      </c>
      <c r="AT84" t="s">
        <v>428</v>
      </c>
      <c r="AU84">
        <v>2022</v>
      </c>
      <c r="AV84">
        <v>62</v>
      </c>
      <c r="AW84">
        <v>5</v>
      </c>
      <c r="AX84" t="s">
        <v>74</v>
      </c>
      <c r="AY84" t="s">
        <v>74</v>
      </c>
      <c r="AZ84" t="s">
        <v>74</v>
      </c>
      <c r="BA84" t="s">
        <v>74</v>
      </c>
      <c r="BB84">
        <v>573</v>
      </c>
      <c r="BC84">
        <v>581</v>
      </c>
      <c r="BD84" t="s">
        <v>74</v>
      </c>
      <c r="BE84" t="s">
        <v>1872</v>
      </c>
      <c r="BF84" t="str">
        <f>HYPERLINK("http://dx.doi.org/10.1134/S0016793222040107","http://dx.doi.org/10.1134/S0016793222040107")</f>
        <v>http://dx.doi.org/10.1134/S0016793222040107</v>
      </c>
      <c r="BG84" t="s">
        <v>74</v>
      </c>
      <c r="BH84" t="s">
        <v>74</v>
      </c>
      <c r="BI84">
        <v>9</v>
      </c>
      <c r="BJ84" t="s">
        <v>1379</v>
      </c>
      <c r="BK84" t="s">
        <v>100</v>
      </c>
      <c r="BL84" t="s">
        <v>1379</v>
      </c>
      <c r="BM84" t="s">
        <v>1873</v>
      </c>
      <c r="BN84" t="s">
        <v>74</v>
      </c>
      <c r="BO84" t="s">
        <v>74</v>
      </c>
      <c r="BP84" t="s">
        <v>74</v>
      </c>
      <c r="BQ84" t="s">
        <v>74</v>
      </c>
      <c r="BR84" t="s">
        <v>103</v>
      </c>
      <c r="BS84" t="s">
        <v>1874</v>
      </c>
      <c r="BT84" t="str">
        <f>HYPERLINK("https%3A%2F%2Fwww.webofscience.com%2Fwos%2Fwoscc%2Ffull-record%2FWOS:000861473900008","View Full Record in Web of Science")</f>
        <v>View Full Record in Web of Science</v>
      </c>
    </row>
    <row r="85" spans="1:72" x14ac:dyDescent="0.15">
      <c r="A85" t="s">
        <v>72</v>
      </c>
      <c r="B85" t="s">
        <v>1875</v>
      </c>
      <c r="C85" t="s">
        <v>74</v>
      </c>
      <c r="D85" t="s">
        <v>74</v>
      </c>
      <c r="E85" t="s">
        <v>74</v>
      </c>
      <c r="F85" t="s">
        <v>1876</v>
      </c>
      <c r="G85" t="s">
        <v>74</v>
      </c>
      <c r="H85" t="s">
        <v>74</v>
      </c>
      <c r="I85" t="s">
        <v>1877</v>
      </c>
      <c r="J85" t="s">
        <v>1861</v>
      </c>
      <c r="K85" t="s">
        <v>74</v>
      </c>
      <c r="L85" t="s">
        <v>74</v>
      </c>
      <c r="M85" t="s">
        <v>78</v>
      </c>
      <c r="N85" t="s">
        <v>79</v>
      </c>
      <c r="O85" t="s">
        <v>74</v>
      </c>
      <c r="P85" t="s">
        <v>74</v>
      </c>
      <c r="Q85" t="s">
        <v>74</v>
      </c>
      <c r="R85" t="s">
        <v>74</v>
      </c>
      <c r="S85" t="s">
        <v>74</v>
      </c>
      <c r="T85" t="s">
        <v>74</v>
      </c>
      <c r="U85" t="s">
        <v>1878</v>
      </c>
      <c r="V85" t="s">
        <v>1879</v>
      </c>
      <c r="W85" t="s">
        <v>1880</v>
      </c>
      <c r="X85" t="s">
        <v>1881</v>
      </c>
      <c r="Y85" t="s">
        <v>1882</v>
      </c>
      <c r="Z85" t="s">
        <v>1883</v>
      </c>
      <c r="AA85" t="s">
        <v>74</v>
      </c>
      <c r="AB85" t="s">
        <v>74</v>
      </c>
      <c r="AC85" t="s">
        <v>1884</v>
      </c>
      <c r="AD85" t="s">
        <v>1885</v>
      </c>
      <c r="AE85" t="s">
        <v>1886</v>
      </c>
      <c r="AF85" t="s">
        <v>74</v>
      </c>
      <c r="AG85">
        <v>29</v>
      </c>
      <c r="AH85">
        <v>1</v>
      </c>
      <c r="AI85">
        <v>1</v>
      </c>
      <c r="AJ85">
        <v>0</v>
      </c>
      <c r="AK85">
        <v>1</v>
      </c>
      <c r="AL85" t="s">
        <v>577</v>
      </c>
      <c r="AM85" t="s">
        <v>450</v>
      </c>
      <c r="AN85" t="s">
        <v>578</v>
      </c>
      <c r="AO85" t="s">
        <v>1868</v>
      </c>
      <c r="AP85" t="s">
        <v>1869</v>
      </c>
      <c r="AQ85" t="s">
        <v>74</v>
      </c>
      <c r="AR85" t="s">
        <v>1870</v>
      </c>
      <c r="AS85" t="s">
        <v>1871</v>
      </c>
      <c r="AT85" t="s">
        <v>428</v>
      </c>
      <c r="AU85">
        <v>2022</v>
      </c>
      <c r="AV85">
        <v>62</v>
      </c>
      <c r="AW85">
        <v>5</v>
      </c>
      <c r="AX85" t="s">
        <v>74</v>
      </c>
      <c r="AY85" t="s">
        <v>74</v>
      </c>
      <c r="AZ85" t="s">
        <v>74</v>
      </c>
      <c r="BA85" t="s">
        <v>74</v>
      </c>
      <c r="BB85">
        <v>582</v>
      </c>
      <c r="BC85">
        <v>589</v>
      </c>
      <c r="BD85" t="s">
        <v>74</v>
      </c>
      <c r="BE85" t="s">
        <v>1887</v>
      </c>
      <c r="BF85" t="str">
        <f>HYPERLINK("http://dx.doi.org/10.1134/S0016793222050048","http://dx.doi.org/10.1134/S0016793222050048")</f>
        <v>http://dx.doi.org/10.1134/S0016793222050048</v>
      </c>
      <c r="BG85" t="s">
        <v>74</v>
      </c>
      <c r="BH85" t="s">
        <v>74</v>
      </c>
      <c r="BI85">
        <v>8</v>
      </c>
      <c r="BJ85" t="s">
        <v>1379</v>
      </c>
      <c r="BK85" t="s">
        <v>100</v>
      </c>
      <c r="BL85" t="s">
        <v>1379</v>
      </c>
      <c r="BM85" t="s">
        <v>1873</v>
      </c>
      <c r="BN85" t="s">
        <v>74</v>
      </c>
      <c r="BO85" t="s">
        <v>74</v>
      </c>
      <c r="BP85" t="s">
        <v>74</v>
      </c>
      <c r="BQ85" t="s">
        <v>74</v>
      </c>
      <c r="BR85" t="s">
        <v>103</v>
      </c>
      <c r="BS85" t="s">
        <v>1888</v>
      </c>
      <c r="BT85" t="str">
        <f>HYPERLINK("https%3A%2F%2Fwww.webofscience.com%2Fwos%2Fwoscc%2Ffull-record%2FWOS:000861473900009","View Full Record in Web of Science")</f>
        <v>View Full Record in Web of Science</v>
      </c>
    </row>
    <row r="86" spans="1:72" x14ac:dyDescent="0.15">
      <c r="A86" t="s">
        <v>72</v>
      </c>
      <c r="B86" t="s">
        <v>1889</v>
      </c>
      <c r="C86" t="s">
        <v>74</v>
      </c>
      <c r="D86" t="s">
        <v>74</v>
      </c>
      <c r="E86" t="s">
        <v>74</v>
      </c>
      <c r="F86" t="s">
        <v>1890</v>
      </c>
      <c r="G86" t="s">
        <v>74</v>
      </c>
      <c r="H86" t="s">
        <v>74</v>
      </c>
      <c r="I86" t="s">
        <v>1891</v>
      </c>
      <c r="J86" t="s">
        <v>1892</v>
      </c>
      <c r="K86" t="s">
        <v>74</v>
      </c>
      <c r="L86" t="s">
        <v>74</v>
      </c>
      <c r="M86" t="s">
        <v>78</v>
      </c>
      <c r="N86" t="s">
        <v>79</v>
      </c>
      <c r="O86" t="s">
        <v>74</v>
      </c>
      <c r="P86" t="s">
        <v>74</v>
      </c>
      <c r="Q86" t="s">
        <v>74</v>
      </c>
      <c r="R86" t="s">
        <v>74</v>
      </c>
      <c r="S86" t="s">
        <v>74</v>
      </c>
      <c r="T86" t="s">
        <v>1893</v>
      </c>
      <c r="U86" t="s">
        <v>1894</v>
      </c>
      <c r="V86" t="s">
        <v>1895</v>
      </c>
      <c r="W86" t="s">
        <v>1896</v>
      </c>
      <c r="X86" t="s">
        <v>1897</v>
      </c>
      <c r="Y86" t="s">
        <v>1898</v>
      </c>
      <c r="Z86" t="s">
        <v>1899</v>
      </c>
      <c r="AA86" t="s">
        <v>1900</v>
      </c>
      <c r="AB86" t="s">
        <v>1901</v>
      </c>
      <c r="AC86" t="s">
        <v>1902</v>
      </c>
      <c r="AD86" t="s">
        <v>1902</v>
      </c>
      <c r="AE86" t="s">
        <v>1903</v>
      </c>
      <c r="AF86" t="s">
        <v>74</v>
      </c>
      <c r="AG86">
        <v>172</v>
      </c>
      <c r="AH86">
        <v>9</v>
      </c>
      <c r="AI86">
        <v>9</v>
      </c>
      <c r="AJ86">
        <v>16</v>
      </c>
      <c r="AK86">
        <v>27</v>
      </c>
      <c r="AL86" t="s">
        <v>178</v>
      </c>
      <c r="AM86" t="s">
        <v>450</v>
      </c>
      <c r="AN86" t="s">
        <v>668</v>
      </c>
      <c r="AO86" t="s">
        <v>1904</v>
      </c>
      <c r="AP86" t="s">
        <v>1905</v>
      </c>
      <c r="AQ86" t="s">
        <v>74</v>
      </c>
      <c r="AR86" t="s">
        <v>1906</v>
      </c>
      <c r="AS86" t="s">
        <v>1907</v>
      </c>
      <c r="AT86" t="s">
        <v>428</v>
      </c>
      <c r="AU86">
        <v>2022</v>
      </c>
      <c r="AV86">
        <v>177</v>
      </c>
      <c r="AW86">
        <v>10</v>
      </c>
      <c r="AX86" t="s">
        <v>74</v>
      </c>
      <c r="AY86" t="s">
        <v>74</v>
      </c>
      <c r="AZ86" t="s">
        <v>74</v>
      </c>
      <c r="BA86" t="s">
        <v>74</v>
      </c>
      <c r="BB86" t="s">
        <v>74</v>
      </c>
      <c r="BC86" t="s">
        <v>74</v>
      </c>
      <c r="BD86">
        <v>95</v>
      </c>
      <c r="BE86" t="s">
        <v>1908</v>
      </c>
      <c r="BF86" t="str">
        <f>HYPERLINK("http://dx.doi.org/10.1007/s00410-022-01959-w","http://dx.doi.org/10.1007/s00410-022-01959-w")</f>
        <v>http://dx.doi.org/10.1007/s00410-022-01959-w</v>
      </c>
      <c r="BG86" t="s">
        <v>74</v>
      </c>
      <c r="BH86" t="s">
        <v>74</v>
      </c>
      <c r="BI86">
        <v>27</v>
      </c>
      <c r="BJ86" t="s">
        <v>1909</v>
      </c>
      <c r="BK86" t="s">
        <v>100</v>
      </c>
      <c r="BL86" t="s">
        <v>1909</v>
      </c>
      <c r="BM86" t="s">
        <v>1910</v>
      </c>
      <c r="BN86" t="s">
        <v>74</v>
      </c>
      <c r="BO86" t="s">
        <v>831</v>
      </c>
      <c r="BP86" t="s">
        <v>74</v>
      </c>
      <c r="BQ86" t="s">
        <v>74</v>
      </c>
      <c r="BR86" t="s">
        <v>103</v>
      </c>
      <c r="BS86" t="s">
        <v>1911</v>
      </c>
      <c r="BT86" t="str">
        <f>HYPERLINK("https%3A%2F%2Fwww.webofscience.com%2Fwos%2Fwoscc%2Ffull-record%2FWOS:000860751300001","View Full Record in Web of Science")</f>
        <v>View Full Record in Web of Science</v>
      </c>
    </row>
    <row r="87" spans="1:72" x14ac:dyDescent="0.15">
      <c r="A87" t="s">
        <v>72</v>
      </c>
      <c r="B87" t="s">
        <v>1912</v>
      </c>
      <c r="C87" t="s">
        <v>74</v>
      </c>
      <c r="D87" t="s">
        <v>74</v>
      </c>
      <c r="E87" t="s">
        <v>74</v>
      </c>
      <c r="F87" t="s">
        <v>1913</v>
      </c>
      <c r="G87" t="s">
        <v>74</v>
      </c>
      <c r="H87" t="s">
        <v>74</v>
      </c>
      <c r="I87" t="s">
        <v>1914</v>
      </c>
      <c r="J87" t="s">
        <v>1915</v>
      </c>
      <c r="K87" t="s">
        <v>74</v>
      </c>
      <c r="L87" t="s">
        <v>74</v>
      </c>
      <c r="M87" t="s">
        <v>78</v>
      </c>
      <c r="N87" t="s">
        <v>79</v>
      </c>
      <c r="O87" t="s">
        <v>74</v>
      </c>
      <c r="P87" t="s">
        <v>74</v>
      </c>
      <c r="Q87" t="s">
        <v>74</v>
      </c>
      <c r="R87" t="s">
        <v>74</v>
      </c>
      <c r="S87" t="s">
        <v>74</v>
      </c>
      <c r="T87" t="s">
        <v>1916</v>
      </c>
      <c r="U87" t="s">
        <v>1917</v>
      </c>
      <c r="V87" t="s">
        <v>1918</v>
      </c>
      <c r="W87" t="s">
        <v>1919</v>
      </c>
      <c r="X87" t="s">
        <v>856</v>
      </c>
      <c r="Y87" t="s">
        <v>1920</v>
      </c>
      <c r="Z87" t="s">
        <v>1921</v>
      </c>
      <c r="AA87" t="s">
        <v>1922</v>
      </c>
      <c r="AB87" t="s">
        <v>1923</v>
      </c>
      <c r="AC87" t="s">
        <v>1924</v>
      </c>
      <c r="AD87" t="s">
        <v>1925</v>
      </c>
      <c r="AE87" t="s">
        <v>1926</v>
      </c>
      <c r="AF87" t="s">
        <v>74</v>
      </c>
      <c r="AG87">
        <v>48</v>
      </c>
      <c r="AH87">
        <v>1</v>
      </c>
      <c r="AI87">
        <v>1</v>
      </c>
      <c r="AJ87">
        <v>0</v>
      </c>
      <c r="AK87">
        <v>0</v>
      </c>
      <c r="AL87" t="s">
        <v>231</v>
      </c>
      <c r="AM87" t="s">
        <v>232</v>
      </c>
      <c r="AN87" t="s">
        <v>233</v>
      </c>
      <c r="AO87" t="s">
        <v>1927</v>
      </c>
      <c r="AP87" t="s">
        <v>74</v>
      </c>
      <c r="AQ87" t="s">
        <v>74</v>
      </c>
      <c r="AR87" t="s">
        <v>1928</v>
      </c>
      <c r="AS87" t="s">
        <v>1929</v>
      </c>
      <c r="AT87" t="s">
        <v>428</v>
      </c>
      <c r="AU87">
        <v>2022</v>
      </c>
      <c r="AV87">
        <v>2</v>
      </c>
      <c r="AW87">
        <v>5</v>
      </c>
      <c r="AX87" t="s">
        <v>74</v>
      </c>
      <c r="AY87" t="s">
        <v>74</v>
      </c>
      <c r="AZ87" t="s">
        <v>74</v>
      </c>
      <c r="BA87" t="s">
        <v>74</v>
      </c>
      <c r="BB87">
        <v>321</v>
      </c>
      <c r="BC87">
        <v>333</v>
      </c>
      <c r="BD87" t="s">
        <v>74</v>
      </c>
      <c r="BE87" t="s">
        <v>1930</v>
      </c>
      <c r="BF87" t="str">
        <f>HYPERLINK("http://dx.doi.org/10.1002/aff2.64","http://dx.doi.org/10.1002/aff2.64")</f>
        <v>http://dx.doi.org/10.1002/aff2.64</v>
      </c>
      <c r="BG87" t="s">
        <v>74</v>
      </c>
      <c r="BH87" t="s">
        <v>74</v>
      </c>
      <c r="BI87">
        <v>13</v>
      </c>
      <c r="BJ87" t="s">
        <v>1931</v>
      </c>
      <c r="BK87" t="s">
        <v>215</v>
      </c>
      <c r="BL87" t="s">
        <v>1931</v>
      </c>
      <c r="BM87" t="s">
        <v>1932</v>
      </c>
      <c r="BN87" t="s">
        <v>74</v>
      </c>
      <c r="BO87" t="s">
        <v>159</v>
      </c>
      <c r="BP87" t="s">
        <v>74</v>
      </c>
      <c r="BQ87" t="s">
        <v>74</v>
      </c>
      <c r="BR87" t="s">
        <v>103</v>
      </c>
      <c r="BS87" t="s">
        <v>1933</v>
      </c>
      <c r="BT87" t="str">
        <f>HYPERLINK("https%3A%2F%2Fwww.webofscience.com%2Fwos%2Fwoscc%2Ffull-record%2FWOS:001126528600005","View Full Record in Web of Science")</f>
        <v>View Full Record in Web of Science</v>
      </c>
    </row>
    <row r="88" spans="1:72" x14ac:dyDescent="0.15">
      <c r="A88" t="s">
        <v>72</v>
      </c>
      <c r="B88" t="s">
        <v>1934</v>
      </c>
      <c r="C88" t="s">
        <v>74</v>
      </c>
      <c r="D88" t="s">
        <v>74</v>
      </c>
      <c r="E88" t="s">
        <v>74</v>
      </c>
      <c r="F88" t="s">
        <v>1935</v>
      </c>
      <c r="G88" t="s">
        <v>74</v>
      </c>
      <c r="H88" t="s">
        <v>74</v>
      </c>
      <c r="I88" t="s">
        <v>1936</v>
      </c>
      <c r="J88" t="s">
        <v>1937</v>
      </c>
      <c r="K88" t="s">
        <v>74</v>
      </c>
      <c r="L88" t="s">
        <v>74</v>
      </c>
      <c r="M88" t="s">
        <v>78</v>
      </c>
      <c r="N88" t="s">
        <v>79</v>
      </c>
      <c r="O88" t="s">
        <v>74</v>
      </c>
      <c r="P88" t="s">
        <v>74</v>
      </c>
      <c r="Q88" t="s">
        <v>74</v>
      </c>
      <c r="R88" t="s">
        <v>74</v>
      </c>
      <c r="S88" t="s">
        <v>74</v>
      </c>
      <c r="T88" t="s">
        <v>1938</v>
      </c>
      <c r="U88" t="s">
        <v>1939</v>
      </c>
      <c r="V88" t="s">
        <v>1940</v>
      </c>
      <c r="W88" t="s">
        <v>1941</v>
      </c>
      <c r="X88" t="s">
        <v>1942</v>
      </c>
      <c r="Y88" t="s">
        <v>1943</v>
      </c>
      <c r="Z88" t="s">
        <v>1944</v>
      </c>
      <c r="AA88" t="s">
        <v>74</v>
      </c>
      <c r="AB88" t="s">
        <v>74</v>
      </c>
      <c r="AC88" t="s">
        <v>1945</v>
      </c>
      <c r="AD88" t="s">
        <v>1946</v>
      </c>
      <c r="AE88" t="s">
        <v>1947</v>
      </c>
      <c r="AF88" t="s">
        <v>74</v>
      </c>
      <c r="AG88">
        <v>24</v>
      </c>
      <c r="AH88">
        <v>0</v>
      </c>
      <c r="AI88">
        <v>0</v>
      </c>
      <c r="AJ88">
        <v>5</v>
      </c>
      <c r="AK88">
        <v>26</v>
      </c>
      <c r="AL88" t="s">
        <v>577</v>
      </c>
      <c r="AM88" t="s">
        <v>450</v>
      </c>
      <c r="AN88" t="s">
        <v>578</v>
      </c>
      <c r="AO88" t="s">
        <v>1948</v>
      </c>
      <c r="AP88" t="s">
        <v>1949</v>
      </c>
      <c r="AQ88" t="s">
        <v>74</v>
      </c>
      <c r="AR88" t="s">
        <v>1950</v>
      </c>
      <c r="AS88" t="s">
        <v>214</v>
      </c>
      <c r="AT88" t="s">
        <v>428</v>
      </c>
      <c r="AU88">
        <v>2022</v>
      </c>
      <c r="AV88">
        <v>91</v>
      </c>
      <c r="AW88">
        <v>5</v>
      </c>
      <c r="AX88" t="s">
        <v>74</v>
      </c>
      <c r="AY88" t="s">
        <v>74</v>
      </c>
      <c r="AZ88" t="s">
        <v>74</v>
      </c>
      <c r="BA88" t="s">
        <v>74</v>
      </c>
      <c r="BB88">
        <v>604</v>
      </c>
      <c r="BC88">
        <v>610</v>
      </c>
      <c r="BD88" t="s">
        <v>74</v>
      </c>
      <c r="BE88" t="s">
        <v>1951</v>
      </c>
      <c r="BF88" t="str">
        <f>HYPERLINK("http://dx.doi.org/10.1134/S0026261721102117","http://dx.doi.org/10.1134/S0026261721102117")</f>
        <v>http://dx.doi.org/10.1134/S0026261721102117</v>
      </c>
      <c r="BG88" t="s">
        <v>74</v>
      </c>
      <c r="BH88" t="s">
        <v>74</v>
      </c>
      <c r="BI88">
        <v>7</v>
      </c>
      <c r="BJ88" t="s">
        <v>214</v>
      </c>
      <c r="BK88" t="s">
        <v>100</v>
      </c>
      <c r="BL88" t="s">
        <v>214</v>
      </c>
      <c r="BM88" t="s">
        <v>1952</v>
      </c>
      <c r="BN88" t="s">
        <v>74</v>
      </c>
      <c r="BO88" t="s">
        <v>74</v>
      </c>
      <c r="BP88" t="s">
        <v>74</v>
      </c>
      <c r="BQ88" t="s">
        <v>74</v>
      </c>
      <c r="BR88" t="s">
        <v>103</v>
      </c>
      <c r="BS88" t="s">
        <v>1953</v>
      </c>
      <c r="BT88" t="str">
        <f>HYPERLINK("https%3A%2F%2Fwww.webofscience.com%2Fwos%2Fwoscc%2Ffull-record%2FWOS:000857342200015","View Full Record in Web of Science")</f>
        <v>View Full Record in Web of Science</v>
      </c>
    </row>
    <row r="89" spans="1:72" x14ac:dyDescent="0.15">
      <c r="A89" t="s">
        <v>72</v>
      </c>
      <c r="B89" t="s">
        <v>1954</v>
      </c>
      <c r="C89" t="s">
        <v>74</v>
      </c>
      <c r="D89" t="s">
        <v>74</v>
      </c>
      <c r="E89" t="s">
        <v>74</v>
      </c>
      <c r="F89" t="s">
        <v>1955</v>
      </c>
      <c r="G89" t="s">
        <v>74</v>
      </c>
      <c r="H89" t="s">
        <v>74</v>
      </c>
      <c r="I89" t="s">
        <v>1956</v>
      </c>
      <c r="J89" t="s">
        <v>1957</v>
      </c>
      <c r="K89" t="s">
        <v>74</v>
      </c>
      <c r="L89" t="s">
        <v>74</v>
      </c>
      <c r="M89" t="s">
        <v>78</v>
      </c>
      <c r="N89" t="s">
        <v>79</v>
      </c>
      <c r="O89" t="s">
        <v>74</v>
      </c>
      <c r="P89" t="s">
        <v>74</v>
      </c>
      <c r="Q89" t="s">
        <v>74</v>
      </c>
      <c r="R89" t="s">
        <v>74</v>
      </c>
      <c r="S89" t="s">
        <v>74</v>
      </c>
      <c r="T89" t="s">
        <v>1958</v>
      </c>
      <c r="U89" t="s">
        <v>74</v>
      </c>
      <c r="V89" t="s">
        <v>1959</v>
      </c>
      <c r="W89" t="s">
        <v>1960</v>
      </c>
      <c r="X89" t="s">
        <v>443</v>
      </c>
      <c r="Y89" t="s">
        <v>1961</v>
      </c>
      <c r="Z89" t="s">
        <v>1962</v>
      </c>
      <c r="AA89" t="s">
        <v>74</v>
      </c>
      <c r="AB89" t="s">
        <v>74</v>
      </c>
      <c r="AC89" t="s">
        <v>74</v>
      </c>
      <c r="AD89" t="s">
        <v>74</v>
      </c>
      <c r="AE89" t="s">
        <v>74</v>
      </c>
      <c r="AF89" t="s">
        <v>74</v>
      </c>
      <c r="AG89">
        <v>18</v>
      </c>
      <c r="AH89">
        <v>0</v>
      </c>
      <c r="AI89">
        <v>0</v>
      </c>
      <c r="AJ89">
        <v>0</v>
      </c>
      <c r="AK89">
        <v>0</v>
      </c>
      <c r="AL89" t="s">
        <v>577</v>
      </c>
      <c r="AM89" t="s">
        <v>450</v>
      </c>
      <c r="AN89" t="s">
        <v>578</v>
      </c>
      <c r="AO89" t="s">
        <v>1963</v>
      </c>
      <c r="AP89" t="s">
        <v>1964</v>
      </c>
      <c r="AQ89" t="s">
        <v>74</v>
      </c>
      <c r="AR89" t="s">
        <v>1965</v>
      </c>
      <c r="AS89" t="s">
        <v>1966</v>
      </c>
      <c r="AT89" t="s">
        <v>428</v>
      </c>
      <c r="AU89">
        <v>2022</v>
      </c>
      <c r="AV89">
        <v>49</v>
      </c>
      <c r="AW89">
        <v>5</v>
      </c>
      <c r="AX89" t="s">
        <v>74</v>
      </c>
      <c r="AY89" t="s">
        <v>74</v>
      </c>
      <c r="AZ89" t="s">
        <v>74</v>
      </c>
      <c r="BA89" t="s">
        <v>74</v>
      </c>
      <c r="BB89">
        <v>781</v>
      </c>
      <c r="BC89">
        <v>795</v>
      </c>
      <c r="BD89" t="s">
        <v>74</v>
      </c>
      <c r="BE89" t="s">
        <v>1967</v>
      </c>
      <c r="BF89" t="str">
        <f>HYPERLINK("http://dx.doi.org/10.1134/S0097807822050037","http://dx.doi.org/10.1134/S0097807822050037")</f>
        <v>http://dx.doi.org/10.1134/S0097807822050037</v>
      </c>
      <c r="BG89" t="s">
        <v>74</v>
      </c>
      <c r="BH89" t="s">
        <v>74</v>
      </c>
      <c r="BI89">
        <v>15</v>
      </c>
      <c r="BJ89" t="s">
        <v>1968</v>
      </c>
      <c r="BK89" t="s">
        <v>100</v>
      </c>
      <c r="BL89" t="s">
        <v>1968</v>
      </c>
      <c r="BM89" t="s">
        <v>1969</v>
      </c>
      <c r="BN89" t="s">
        <v>74</v>
      </c>
      <c r="BO89" t="s">
        <v>74</v>
      </c>
      <c r="BP89" t="s">
        <v>74</v>
      </c>
      <c r="BQ89" t="s">
        <v>74</v>
      </c>
      <c r="BR89" t="s">
        <v>103</v>
      </c>
      <c r="BS89" t="s">
        <v>1970</v>
      </c>
      <c r="BT89" t="str">
        <f>HYPERLINK("https%3A%2F%2Fwww.webofscience.com%2Fwos%2Fwoscc%2Ffull-record%2FWOS:000853347400003","View Full Record in Web of Science")</f>
        <v>View Full Record in Web of Science</v>
      </c>
    </row>
    <row r="90" spans="1:72" x14ac:dyDescent="0.15">
      <c r="A90" t="s">
        <v>72</v>
      </c>
      <c r="B90" t="s">
        <v>1971</v>
      </c>
      <c r="C90" t="s">
        <v>74</v>
      </c>
      <c r="D90" t="s">
        <v>74</v>
      </c>
      <c r="E90" t="s">
        <v>74</v>
      </c>
      <c r="F90" t="s">
        <v>1972</v>
      </c>
      <c r="G90" t="s">
        <v>74</v>
      </c>
      <c r="H90" t="s">
        <v>74</v>
      </c>
      <c r="I90" t="s">
        <v>1973</v>
      </c>
      <c r="J90" t="s">
        <v>1957</v>
      </c>
      <c r="K90" t="s">
        <v>74</v>
      </c>
      <c r="L90" t="s">
        <v>74</v>
      </c>
      <c r="M90" t="s">
        <v>78</v>
      </c>
      <c r="N90" t="s">
        <v>79</v>
      </c>
      <c r="O90" t="s">
        <v>74</v>
      </c>
      <c r="P90" t="s">
        <v>74</v>
      </c>
      <c r="Q90" t="s">
        <v>74</v>
      </c>
      <c r="R90" t="s">
        <v>74</v>
      </c>
      <c r="S90" t="s">
        <v>74</v>
      </c>
      <c r="T90" t="s">
        <v>1974</v>
      </c>
      <c r="U90" t="s">
        <v>74</v>
      </c>
      <c r="V90" t="s">
        <v>1975</v>
      </c>
      <c r="W90" t="s">
        <v>1976</v>
      </c>
      <c r="X90" t="s">
        <v>443</v>
      </c>
      <c r="Y90" t="s">
        <v>1977</v>
      </c>
      <c r="Z90" t="s">
        <v>1978</v>
      </c>
      <c r="AA90" t="s">
        <v>74</v>
      </c>
      <c r="AB90" t="s">
        <v>74</v>
      </c>
      <c r="AC90" t="s">
        <v>74</v>
      </c>
      <c r="AD90" t="s">
        <v>74</v>
      </c>
      <c r="AE90" t="s">
        <v>74</v>
      </c>
      <c r="AF90" t="s">
        <v>74</v>
      </c>
      <c r="AG90">
        <v>42</v>
      </c>
      <c r="AH90">
        <v>2</v>
      </c>
      <c r="AI90">
        <v>2</v>
      </c>
      <c r="AJ90">
        <v>1</v>
      </c>
      <c r="AK90">
        <v>1</v>
      </c>
      <c r="AL90" t="s">
        <v>577</v>
      </c>
      <c r="AM90" t="s">
        <v>450</v>
      </c>
      <c r="AN90" t="s">
        <v>578</v>
      </c>
      <c r="AO90" t="s">
        <v>1963</v>
      </c>
      <c r="AP90" t="s">
        <v>1964</v>
      </c>
      <c r="AQ90" t="s">
        <v>74</v>
      </c>
      <c r="AR90" t="s">
        <v>1965</v>
      </c>
      <c r="AS90" t="s">
        <v>1966</v>
      </c>
      <c r="AT90" t="s">
        <v>428</v>
      </c>
      <c r="AU90">
        <v>2022</v>
      </c>
      <c r="AV90">
        <v>49</v>
      </c>
      <c r="AW90">
        <v>5</v>
      </c>
      <c r="AX90" t="s">
        <v>74</v>
      </c>
      <c r="AY90" t="s">
        <v>74</v>
      </c>
      <c r="AZ90" t="s">
        <v>74</v>
      </c>
      <c r="BA90" t="s">
        <v>74</v>
      </c>
      <c r="BB90">
        <v>796</v>
      </c>
      <c r="BC90">
        <v>807</v>
      </c>
      <c r="BD90" t="s">
        <v>74</v>
      </c>
      <c r="BE90" t="s">
        <v>1979</v>
      </c>
      <c r="BF90" t="str">
        <f>HYPERLINK("http://dx.doi.org/10.1134/S0097807822050153","http://dx.doi.org/10.1134/S0097807822050153")</f>
        <v>http://dx.doi.org/10.1134/S0097807822050153</v>
      </c>
      <c r="BG90" t="s">
        <v>74</v>
      </c>
      <c r="BH90" t="s">
        <v>74</v>
      </c>
      <c r="BI90">
        <v>12</v>
      </c>
      <c r="BJ90" t="s">
        <v>1968</v>
      </c>
      <c r="BK90" t="s">
        <v>100</v>
      </c>
      <c r="BL90" t="s">
        <v>1968</v>
      </c>
      <c r="BM90" t="s">
        <v>1969</v>
      </c>
      <c r="BN90" t="s">
        <v>74</v>
      </c>
      <c r="BO90" t="s">
        <v>74</v>
      </c>
      <c r="BP90" t="s">
        <v>74</v>
      </c>
      <c r="BQ90" t="s">
        <v>74</v>
      </c>
      <c r="BR90" t="s">
        <v>103</v>
      </c>
      <c r="BS90" t="s">
        <v>1980</v>
      </c>
      <c r="BT90" t="str">
        <f>HYPERLINK("https%3A%2F%2Fwww.webofscience.com%2Fwos%2Fwoscc%2Ffull-record%2FWOS:000853347400004","View Full Record in Web of Science")</f>
        <v>View Full Record in Web of Science</v>
      </c>
    </row>
    <row r="91" spans="1:72" x14ac:dyDescent="0.15">
      <c r="A91" t="s">
        <v>72</v>
      </c>
      <c r="B91" t="s">
        <v>1981</v>
      </c>
      <c r="C91" t="s">
        <v>74</v>
      </c>
      <c r="D91" t="s">
        <v>74</v>
      </c>
      <c r="E91" t="s">
        <v>74</v>
      </c>
      <c r="F91" t="s">
        <v>1982</v>
      </c>
      <c r="G91" t="s">
        <v>74</v>
      </c>
      <c r="H91" t="s">
        <v>74</v>
      </c>
      <c r="I91" t="s">
        <v>1983</v>
      </c>
      <c r="J91" t="s">
        <v>1957</v>
      </c>
      <c r="K91" t="s">
        <v>74</v>
      </c>
      <c r="L91" t="s">
        <v>74</v>
      </c>
      <c r="M91" t="s">
        <v>78</v>
      </c>
      <c r="N91" t="s">
        <v>79</v>
      </c>
      <c r="O91" t="s">
        <v>74</v>
      </c>
      <c r="P91" t="s">
        <v>74</v>
      </c>
      <c r="Q91" t="s">
        <v>74</v>
      </c>
      <c r="R91" t="s">
        <v>74</v>
      </c>
      <c r="S91" t="s">
        <v>74</v>
      </c>
      <c r="T91" t="s">
        <v>1984</v>
      </c>
      <c r="U91" t="s">
        <v>1985</v>
      </c>
      <c r="V91" t="s">
        <v>1986</v>
      </c>
      <c r="W91" t="s">
        <v>1987</v>
      </c>
      <c r="X91" t="s">
        <v>1988</v>
      </c>
      <c r="Y91" t="s">
        <v>1989</v>
      </c>
      <c r="Z91" t="s">
        <v>1978</v>
      </c>
      <c r="AA91" t="s">
        <v>74</v>
      </c>
      <c r="AB91" t="s">
        <v>1990</v>
      </c>
      <c r="AC91" t="s">
        <v>1991</v>
      </c>
      <c r="AD91" t="s">
        <v>1992</v>
      </c>
      <c r="AE91" t="s">
        <v>1993</v>
      </c>
      <c r="AF91" t="s">
        <v>74</v>
      </c>
      <c r="AG91">
        <v>53</v>
      </c>
      <c r="AH91">
        <v>1</v>
      </c>
      <c r="AI91">
        <v>1</v>
      </c>
      <c r="AJ91">
        <v>2</v>
      </c>
      <c r="AK91">
        <v>7</v>
      </c>
      <c r="AL91" t="s">
        <v>577</v>
      </c>
      <c r="AM91" t="s">
        <v>450</v>
      </c>
      <c r="AN91" t="s">
        <v>578</v>
      </c>
      <c r="AO91" t="s">
        <v>1963</v>
      </c>
      <c r="AP91" t="s">
        <v>1964</v>
      </c>
      <c r="AQ91" t="s">
        <v>74</v>
      </c>
      <c r="AR91" t="s">
        <v>1965</v>
      </c>
      <c r="AS91" t="s">
        <v>1966</v>
      </c>
      <c r="AT91" t="s">
        <v>428</v>
      </c>
      <c r="AU91">
        <v>2022</v>
      </c>
      <c r="AV91">
        <v>49</v>
      </c>
      <c r="AW91">
        <v>5</v>
      </c>
      <c r="AX91" t="s">
        <v>74</v>
      </c>
      <c r="AY91" t="s">
        <v>74</v>
      </c>
      <c r="AZ91" t="s">
        <v>74</v>
      </c>
      <c r="BA91" t="s">
        <v>74</v>
      </c>
      <c r="BB91">
        <v>820</v>
      </c>
      <c r="BC91">
        <v>835</v>
      </c>
      <c r="BD91" t="s">
        <v>74</v>
      </c>
      <c r="BE91" t="s">
        <v>1994</v>
      </c>
      <c r="BF91" t="str">
        <f>HYPERLINK("http://dx.doi.org/10.1134/S0097807822050165","http://dx.doi.org/10.1134/S0097807822050165")</f>
        <v>http://dx.doi.org/10.1134/S0097807822050165</v>
      </c>
      <c r="BG91" t="s">
        <v>74</v>
      </c>
      <c r="BH91" t="s">
        <v>74</v>
      </c>
      <c r="BI91">
        <v>16</v>
      </c>
      <c r="BJ91" t="s">
        <v>1968</v>
      </c>
      <c r="BK91" t="s">
        <v>100</v>
      </c>
      <c r="BL91" t="s">
        <v>1968</v>
      </c>
      <c r="BM91" t="s">
        <v>1969</v>
      </c>
      <c r="BN91" t="s">
        <v>74</v>
      </c>
      <c r="BO91" t="s">
        <v>74</v>
      </c>
      <c r="BP91" t="s">
        <v>74</v>
      </c>
      <c r="BQ91" t="s">
        <v>74</v>
      </c>
      <c r="BR91" t="s">
        <v>103</v>
      </c>
      <c r="BS91" t="s">
        <v>1995</v>
      </c>
      <c r="BT91" t="str">
        <f>HYPERLINK("https%3A%2F%2Fwww.webofscience.com%2Fwos%2Fwoscc%2Ffull-record%2FWOS:000853347400006","View Full Record in Web of Science")</f>
        <v>View Full Record in Web of Science</v>
      </c>
    </row>
    <row r="92" spans="1:72" x14ac:dyDescent="0.15">
      <c r="A92" t="s">
        <v>72</v>
      </c>
      <c r="B92" t="s">
        <v>1996</v>
      </c>
      <c r="C92" t="s">
        <v>74</v>
      </c>
      <c r="D92" t="s">
        <v>74</v>
      </c>
      <c r="E92" t="s">
        <v>74</v>
      </c>
      <c r="F92" t="s">
        <v>1997</v>
      </c>
      <c r="G92" t="s">
        <v>74</v>
      </c>
      <c r="H92" t="s">
        <v>74</v>
      </c>
      <c r="I92" t="s">
        <v>1998</v>
      </c>
      <c r="J92" t="s">
        <v>1999</v>
      </c>
      <c r="K92" t="s">
        <v>74</v>
      </c>
      <c r="L92" t="s">
        <v>74</v>
      </c>
      <c r="M92" t="s">
        <v>78</v>
      </c>
      <c r="N92" t="s">
        <v>79</v>
      </c>
      <c r="O92" t="s">
        <v>74</v>
      </c>
      <c r="P92" t="s">
        <v>74</v>
      </c>
      <c r="Q92" t="s">
        <v>74</v>
      </c>
      <c r="R92" t="s">
        <v>74</v>
      </c>
      <c r="S92" t="s">
        <v>74</v>
      </c>
      <c r="T92" t="s">
        <v>2000</v>
      </c>
      <c r="U92" t="s">
        <v>2001</v>
      </c>
      <c r="V92" t="s">
        <v>2002</v>
      </c>
      <c r="W92" t="s">
        <v>2003</v>
      </c>
      <c r="X92" t="s">
        <v>2004</v>
      </c>
      <c r="Y92" t="s">
        <v>2005</v>
      </c>
      <c r="Z92" t="s">
        <v>2006</v>
      </c>
      <c r="AA92" t="s">
        <v>2007</v>
      </c>
      <c r="AB92" t="s">
        <v>2008</v>
      </c>
      <c r="AC92" t="s">
        <v>2009</v>
      </c>
      <c r="AD92" t="s">
        <v>2010</v>
      </c>
      <c r="AE92" t="s">
        <v>2011</v>
      </c>
      <c r="AF92" t="s">
        <v>74</v>
      </c>
      <c r="AG92">
        <v>56</v>
      </c>
      <c r="AH92">
        <v>2</v>
      </c>
      <c r="AI92">
        <v>2</v>
      </c>
      <c r="AJ92">
        <v>3</v>
      </c>
      <c r="AK92">
        <v>19</v>
      </c>
      <c r="AL92" t="s">
        <v>2012</v>
      </c>
      <c r="AM92" t="s">
        <v>755</v>
      </c>
      <c r="AN92" t="s">
        <v>2013</v>
      </c>
      <c r="AO92" t="s">
        <v>2014</v>
      </c>
      <c r="AP92" t="s">
        <v>2015</v>
      </c>
      <c r="AQ92" t="s">
        <v>74</v>
      </c>
      <c r="AR92" t="s">
        <v>2016</v>
      </c>
      <c r="AS92" t="s">
        <v>2017</v>
      </c>
      <c r="AT92" t="s">
        <v>428</v>
      </c>
      <c r="AU92">
        <v>2022</v>
      </c>
      <c r="AV92">
        <v>84</v>
      </c>
      <c r="AW92">
        <v>4</v>
      </c>
      <c r="AX92" t="s">
        <v>74</v>
      </c>
      <c r="AY92" t="s">
        <v>74</v>
      </c>
      <c r="AZ92" t="s">
        <v>74</v>
      </c>
      <c r="BA92" t="s">
        <v>74</v>
      </c>
      <c r="BB92" t="s">
        <v>74</v>
      </c>
      <c r="BC92" t="s">
        <v>74</v>
      </c>
      <c r="BD92">
        <v>54</v>
      </c>
      <c r="BE92" t="s">
        <v>2018</v>
      </c>
      <c r="BF92" t="str">
        <f>HYPERLINK("http://dx.doi.org/10.1007/s00027-022-00876-1","http://dx.doi.org/10.1007/s00027-022-00876-1")</f>
        <v>http://dx.doi.org/10.1007/s00027-022-00876-1</v>
      </c>
      <c r="BG92" t="s">
        <v>74</v>
      </c>
      <c r="BH92" t="s">
        <v>74</v>
      </c>
      <c r="BI92">
        <v>11</v>
      </c>
      <c r="BJ92" t="s">
        <v>2019</v>
      </c>
      <c r="BK92" t="s">
        <v>100</v>
      </c>
      <c r="BL92" t="s">
        <v>264</v>
      </c>
      <c r="BM92" t="s">
        <v>2020</v>
      </c>
      <c r="BN92" t="s">
        <v>74</v>
      </c>
      <c r="BO92" t="s">
        <v>74</v>
      </c>
      <c r="BP92" t="s">
        <v>74</v>
      </c>
      <c r="BQ92" t="s">
        <v>74</v>
      </c>
      <c r="BR92" t="s">
        <v>103</v>
      </c>
      <c r="BS92" t="s">
        <v>2021</v>
      </c>
      <c r="BT92" t="str">
        <f>HYPERLINK("https%3A%2F%2Fwww.webofscience.com%2Fwos%2Fwoscc%2Ffull-record%2FWOS:000850795200001","View Full Record in Web of Science")</f>
        <v>View Full Record in Web of Science</v>
      </c>
    </row>
    <row r="93" spans="1:72" x14ac:dyDescent="0.15">
      <c r="A93" t="s">
        <v>72</v>
      </c>
      <c r="B93" t="s">
        <v>2022</v>
      </c>
      <c r="C93" t="s">
        <v>74</v>
      </c>
      <c r="D93" t="s">
        <v>74</v>
      </c>
      <c r="E93" t="s">
        <v>74</v>
      </c>
      <c r="F93" t="s">
        <v>2023</v>
      </c>
      <c r="G93" t="s">
        <v>74</v>
      </c>
      <c r="H93" t="s">
        <v>74</v>
      </c>
      <c r="I93" t="s">
        <v>2024</v>
      </c>
      <c r="J93" t="s">
        <v>2025</v>
      </c>
      <c r="K93" t="s">
        <v>74</v>
      </c>
      <c r="L93" t="s">
        <v>74</v>
      </c>
      <c r="M93" t="s">
        <v>78</v>
      </c>
      <c r="N93" t="s">
        <v>79</v>
      </c>
      <c r="O93" t="s">
        <v>74</v>
      </c>
      <c r="P93" t="s">
        <v>74</v>
      </c>
      <c r="Q93" t="s">
        <v>74</v>
      </c>
      <c r="R93" t="s">
        <v>74</v>
      </c>
      <c r="S93" t="s">
        <v>74</v>
      </c>
      <c r="T93" t="s">
        <v>2026</v>
      </c>
      <c r="U93" t="s">
        <v>2027</v>
      </c>
      <c r="V93" t="s">
        <v>2028</v>
      </c>
      <c r="W93" t="s">
        <v>2029</v>
      </c>
      <c r="X93" t="s">
        <v>2030</v>
      </c>
      <c r="Y93" t="s">
        <v>2031</v>
      </c>
      <c r="Z93" t="s">
        <v>2032</v>
      </c>
      <c r="AA93" t="s">
        <v>74</v>
      </c>
      <c r="AB93" t="s">
        <v>74</v>
      </c>
      <c r="AC93" t="s">
        <v>2033</v>
      </c>
      <c r="AD93" t="s">
        <v>447</v>
      </c>
      <c r="AE93" t="s">
        <v>2034</v>
      </c>
      <c r="AF93" t="s">
        <v>74</v>
      </c>
      <c r="AG93">
        <v>35</v>
      </c>
      <c r="AH93">
        <v>2</v>
      </c>
      <c r="AI93">
        <v>2</v>
      </c>
      <c r="AJ93">
        <v>7</v>
      </c>
      <c r="AK93">
        <v>17</v>
      </c>
      <c r="AL93" t="s">
        <v>178</v>
      </c>
      <c r="AM93" t="s">
        <v>179</v>
      </c>
      <c r="AN93" t="s">
        <v>180</v>
      </c>
      <c r="AO93" t="s">
        <v>2035</v>
      </c>
      <c r="AP93" t="s">
        <v>2036</v>
      </c>
      <c r="AQ93" t="s">
        <v>74</v>
      </c>
      <c r="AR93" t="s">
        <v>2037</v>
      </c>
      <c r="AS93" t="s">
        <v>2038</v>
      </c>
      <c r="AT93" t="s">
        <v>428</v>
      </c>
      <c r="AU93">
        <v>2022</v>
      </c>
      <c r="AV93">
        <v>194</v>
      </c>
      <c r="AW93">
        <v>10</v>
      </c>
      <c r="AX93" t="s">
        <v>74</v>
      </c>
      <c r="AY93" t="s">
        <v>74</v>
      </c>
      <c r="AZ93" t="s">
        <v>74</v>
      </c>
      <c r="BA93" t="s">
        <v>74</v>
      </c>
      <c r="BB93" t="s">
        <v>74</v>
      </c>
      <c r="BC93" t="s">
        <v>74</v>
      </c>
      <c r="BD93">
        <v>749</v>
      </c>
      <c r="BE93" t="s">
        <v>2039</v>
      </c>
      <c r="BF93" t="str">
        <f>HYPERLINK("http://dx.doi.org/10.1007/s10661-022-10419-8","http://dx.doi.org/10.1007/s10661-022-10419-8")</f>
        <v>http://dx.doi.org/10.1007/s10661-022-10419-8</v>
      </c>
      <c r="BG93" t="s">
        <v>74</v>
      </c>
      <c r="BH93" t="s">
        <v>74</v>
      </c>
      <c r="BI93">
        <v>11</v>
      </c>
      <c r="BJ93" t="s">
        <v>2040</v>
      </c>
      <c r="BK93" t="s">
        <v>100</v>
      </c>
      <c r="BL93" t="s">
        <v>2041</v>
      </c>
      <c r="BM93" t="s">
        <v>2042</v>
      </c>
      <c r="BN93">
        <v>36070025</v>
      </c>
      <c r="BO93" t="s">
        <v>74</v>
      </c>
      <c r="BP93" t="s">
        <v>74</v>
      </c>
      <c r="BQ93" t="s">
        <v>74</v>
      </c>
      <c r="BR93" t="s">
        <v>103</v>
      </c>
      <c r="BS93" t="s">
        <v>2043</v>
      </c>
      <c r="BT93" t="str">
        <f>HYPERLINK("https%3A%2F%2Fwww.webofscience.com%2Fwos%2Fwoscc%2Ffull-record%2FWOS:000850885700002","View Full Record in Web of Science")</f>
        <v>View Full Record in Web of Science</v>
      </c>
    </row>
    <row r="94" spans="1:72" x14ac:dyDescent="0.15">
      <c r="A94" t="s">
        <v>72</v>
      </c>
      <c r="B94" t="s">
        <v>2044</v>
      </c>
      <c r="C94" t="s">
        <v>74</v>
      </c>
      <c r="D94" t="s">
        <v>74</v>
      </c>
      <c r="E94" t="s">
        <v>74</v>
      </c>
      <c r="F94" t="s">
        <v>2045</v>
      </c>
      <c r="G94" t="s">
        <v>74</v>
      </c>
      <c r="H94" t="s">
        <v>74</v>
      </c>
      <c r="I94" t="s">
        <v>2046</v>
      </c>
      <c r="J94" t="s">
        <v>2047</v>
      </c>
      <c r="K94" t="s">
        <v>74</v>
      </c>
      <c r="L94" t="s">
        <v>74</v>
      </c>
      <c r="M94" t="s">
        <v>78</v>
      </c>
      <c r="N94" t="s">
        <v>79</v>
      </c>
      <c r="O94" t="s">
        <v>74</v>
      </c>
      <c r="P94" t="s">
        <v>74</v>
      </c>
      <c r="Q94" t="s">
        <v>74</v>
      </c>
      <c r="R94" t="s">
        <v>74</v>
      </c>
      <c r="S94" t="s">
        <v>74</v>
      </c>
      <c r="T94" t="s">
        <v>2048</v>
      </c>
      <c r="U94" t="s">
        <v>2049</v>
      </c>
      <c r="V94" t="s">
        <v>2050</v>
      </c>
      <c r="W94" t="s">
        <v>2051</v>
      </c>
      <c r="X94" t="s">
        <v>2052</v>
      </c>
      <c r="Y94" t="s">
        <v>2053</v>
      </c>
      <c r="Z94" t="s">
        <v>2054</v>
      </c>
      <c r="AA94" t="s">
        <v>74</v>
      </c>
      <c r="AB94" t="s">
        <v>2055</v>
      </c>
      <c r="AC94" t="s">
        <v>2056</v>
      </c>
      <c r="AD94" t="s">
        <v>2057</v>
      </c>
      <c r="AE94" t="s">
        <v>2058</v>
      </c>
      <c r="AF94" t="s">
        <v>74</v>
      </c>
      <c r="AG94">
        <v>73</v>
      </c>
      <c r="AH94">
        <v>2</v>
      </c>
      <c r="AI94">
        <v>2</v>
      </c>
      <c r="AJ94">
        <v>1</v>
      </c>
      <c r="AK94">
        <v>5</v>
      </c>
      <c r="AL94" t="s">
        <v>2059</v>
      </c>
      <c r="AM94" t="s">
        <v>2060</v>
      </c>
      <c r="AN94" t="s">
        <v>2061</v>
      </c>
      <c r="AO94" t="s">
        <v>2062</v>
      </c>
      <c r="AP94" t="s">
        <v>74</v>
      </c>
      <c r="AQ94" t="s">
        <v>74</v>
      </c>
      <c r="AR94" t="s">
        <v>2063</v>
      </c>
      <c r="AS94" t="s">
        <v>2064</v>
      </c>
      <c r="AT94" t="s">
        <v>428</v>
      </c>
      <c r="AU94">
        <v>2022</v>
      </c>
      <c r="AV94">
        <v>26</v>
      </c>
      <c r="AW94">
        <v>4</v>
      </c>
      <c r="AX94" t="s">
        <v>74</v>
      </c>
      <c r="AY94" t="s">
        <v>74</v>
      </c>
      <c r="AZ94" t="s">
        <v>74</v>
      </c>
      <c r="BA94" t="s">
        <v>74</v>
      </c>
      <c r="BB94">
        <v>440</v>
      </c>
      <c r="BC94">
        <v>454</v>
      </c>
      <c r="BD94" t="s">
        <v>74</v>
      </c>
      <c r="BE94" t="s">
        <v>2065</v>
      </c>
      <c r="BF94" t="str">
        <f>HYPERLINK("http://dx.doi.org/10.2517/PR210011","http://dx.doi.org/10.2517/PR210011")</f>
        <v>http://dx.doi.org/10.2517/PR210011</v>
      </c>
      <c r="BG94" t="s">
        <v>74</v>
      </c>
      <c r="BH94" t="s">
        <v>74</v>
      </c>
      <c r="BI94">
        <v>15</v>
      </c>
      <c r="BJ94" t="s">
        <v>2066</v>
      </c>
      <c r="BK94" t="s">
        <v>100</v>
      </c>
      <c r="BL94" t="s">
        <v>2066</v>
      </c>
      <c r="BM94" t="s">
        <v>2067</v>
      </c>
      <c r="BN94" t="s">
        <v>74</v>
      </c>
      <c r="BO94" t="s">
        <v>74</v>
      </c>
      <c r="BP94" t="s">
        <v>74</v>
      </c>
      <c r="BQ94" t="s">
        <v>74</v>
      </c>
      <c r="BR94" t="s">
        <v>103</v>
      </c>
      <c r="BS94" t="s">
        <v>2068</v>
      </c>
      <c r="BT94" t="str">
        <f>HYPERLINK("https%3A%2F%2Fwww.webofscience.com%2Fwos%2Fwoscc%2Ffull-record%2FWOS:000837074900008","View Full Record in Web of Science")</f>
        <v>View Full Record in Web of Science</v>
      </c>
    </row>
    <row r="95" spans="1:72" x14ac:dyDescent="0.15">
      <c r="A95" t="s">
        <v>72</v>
      </c>
      <c r="B95" t="s">
        <v>2069</v>
      </c>
      <c r="C95" t="s">
        <v>74</v>
      </c>
      <c r="D95" t="s">
        <v>74</v>
      </c>
      <c r="E95" t="s">
        <v>74</v>
      </c>
      <c r="F95" t="s">
        <v>2070</v>
      </c>
      <c r="G95" t="s">
        <v>74</v>
      </c>
      <c r="H95" t="s">
        <v>74</v>
      </c>
      <c r="I95" t="s">
        <v>2071</v>
      </c>
      <c r="J95" t="s">
        <v>2072</v>
      </c>
      <c r="K95" t="s">
        <v>74</v>
      </c>
      <c r="L95" t="s">
        <v>74</v>
      </c>
      <c r="M95" t="s">
        <v>78</v>
      </c>
      <c r="N95" t="s">
        <v>79</v>
      </c>
      <c r="O95" t="s">
        <v>74</v>
      </c>
      <c r="P95" t="s">
        <v>74</v>
      </c>
      <c r="Q95" t="s">
        <v>74</v>
      </c>
      <c r="R95" t="s">
        <v>74</v>
      </c>
      <c r="S95" t="s">
        <v>74</v>
      </c>
      <c r="T95" t="s">
        <v>2073</v>
      </c>
      <c r="U95" t="s">
        <v>2074</v>
      </c>
      <c r="V95" t="s">
        <v>2075</v>
      </c>
      <c r="W95" t="s">
        <v>2076</v>
      </c>
      <c r="X95" t="s">
        <v>2077</v>
      </c>
      <c r="Y95" t="s">
        <v>2078</v>
      </c>
      <c r="Z95" t="s">
        <v>2079</v>
      </c>
      <c r="AA95" t="s">
        <v>2080</v>
      </c>
      <c r="AB95" t="s">
        <v>2081</v>
      </c>
      <c r="AC95" t="s">
        <v>2082</v>
      </c>
      <c r="AD95" t="s">
        <v>2083</v>
      </c>
      <c r="AE95" t="s">
        <v>2084</v>
      </c>
      <c r="AF95" t="s">
        <v>74</v>
      </c>
      <c r="AG95">
        <v>113</v>
      </c>
      <c r="AH95">
        <v>7</v>
      </c>
      <c r="AI95">
        <v>7</v>
      </c>
      <c r="AJ95">
        <v>5</v>
      </c>
      <c r="AK95">
        <v>32</v>
      </c>
      <c r="AL95" t="s">
        <v>501</v>
      </c>
      <c r="AM95" t="s">
        <v>502</v>
      </c>
      <c r="AN95" t="s">
        <v>503</v>
      </c>
      <c r="AO95" t="s">
        <v>2085</v>
      </c>
      <c r="AP95" t="s">
        <v>2086</v>
      </c>
      <c r="AQ95" t="s">
        <v>74</v>
      </c>
      <c r="AR95" t="s">
        <v>2087</v>
      </c>
      <c r="AS95" t="s">
        <v>2088</v>
      </c>
      <c r="AT95" t="s">
        <v>428</v>
      </c>
      <c r="AU95">
        <v>2022</v>
      </c>
      <c r="AV95">
        <v>234</v>
      </c>
      <c r="AW95" t="s">
        <v>74</v>
      </c>
      <c r="AX95" t="s">
        <v>74</v>
      </c>
      <c r="AY95" t="s">
        <v>74</v>
      </c>
      <c r="AZ95" t="s">
        <v>74</v>
      </c>
      <c r="BA95" t="s">
        <v>74</v>
      </c>
      <c r="BB95" t="s">
        <v>74</v>
      </c>
      <c r="BC95" t="s">
        <v>74</v>
      </c>
      <c r="BD95">
        <v>103774</v>
      </c>
      <c r="BE95" t="s">
        <v>2089</v>
      </c>
      <c r="BF95" t="str">
        <f>HYPERLINK("http://dx.doi.org/10.1016/j.jmarsys.2022.103774","http://dx.doi.org/10.1016/j.jmarsys.2022.103774")</f>
        <v>http://dx.doi.org/10.1016/j.jmarsys.2022.103774</v>
      </c>
      <c r="BG95" t="s">
        <v>74</v>
      </c>
      <c r="BH95" t="s">
        <v>74</v>
      </c>
      <c r="BI95">
        <v>13</v>
      </c>
      <c r="BJ95" t="s">
        <v>2090</v>
      </c>
      <c r="BK95" t="s">
        <v>100</v>
      </c>
      <c r="BL95" t="s">
        <v>2091</v>
      </c>
      <c r="BM95" t="s">
        <v>2092</v>
      </c>
      <c r="BN95" t="s">
        <v>74</v>
      </c>
      <c r="BO95" t="s">
        <v>831</v>
      </c>
      <c r="BP95" t="s">
        <v>74</v>
      </c>
      <c r="BQ95" t="s">
        <v>74</v>
      </c>
      <c r="BR95" t="s">
        <v>103</v>
      </c>
      <c r="BS95" t="s">
        <v>2093</v>
      </c>
      <c r="BT95" t="str">
        <f>HYPERLINK("https%3A%2F%2Fwww.webofscience.com%2Fwos%2Fwoscc%2Ffull-record%2FWOS:000833322900001","View Full Record in Web of Science")</f>
        <v>View Full Record in Web of Science</v>
      </c>
    </row>
    <row r="96" spans="1:72" x14ac:dyDescent="0.15">
      <c r="A96" t="s">
        <v>72</v>
      </c>
      <c r="B96" t="s">
        <v>2094</v>
      </c>
      <c r="C96" t="s">
        <v>74</v>
      </c>
      <c r="D96" t="s">
        <v>74</v>
      </c>
      <c r="E96" t="s">
        <v>74</v>
      </c>
      <c r="F96" t="s">
        <v>2095</v>
      </c>
      <c r="G96" t="s">
        <v>74</v>
      </c>
      <c r="H96" t="s">
        <v>74</v>
      </c>
      <c r="I96" t="s">
        <v>2096</v>
      </c>
      <c r="J96" t="s">
        <v>81</v>
      </c>
      <c r="K96" t="s">
        <v>74</v>
      </c>
      <c r="L96" t="s">
        <v>74</v>
      </c>
      <c r="M96" t="s">
        <v>78</v>
      </c>
      <c r="N96" t="s">
        <v>79</v>
      </c>
      <c r="O96" t="s">
        <v>74</v>
      </c>
      <c r="P96" t="s">
        <v>74</v>
      </c>
      <c r="Q96" t="s">
        <v>74</v>
      </c>
      <c r="R96" t="s">
        <v>74</v>
      </c>
      <c r="S96" t="s">
        <v>74</v>
      </c>
      <c r="T96" t="s">
        <v>74</v>
      </c>
      <c r="U96" t="s">
        <v>2097</v>
      </c>
      <c r="V96" t="s">
        <v>2098</v>
      </c>
      <c r="W96" t="s">
        <v>2099</v>
      </c>
      <c r="X96" t="s">
        <v>2100</v>
      </c>
      <c r="Y96" t="s">
        <v>2101</v>
      </c>
      <c r="Z96" t="s">
        <v>2102</v>
      </c>
      <c r="AA96" t="s">
        <v>2103</v>
      </c>
      <c r="AB96" t="s">
        <v>2104</v>
      </c>
      <c r="AC96" t="s">
        <v>2105</v>
      </c>
      <c r="AD96" t="s">
        <v>2106</v>
      </c>
      <c r="AE96" t="s">
        <v>2107</v>
      </c>
      <c r="AF96" t="s">
        <v>74</v>
      </c>
      <c r="AG96">
        <v>40</v>
      </c>
      <c r="AH96">
        <v>33</v>
      </c>
      <c r="AI96">
        <v>36</v>
      </c>
      <c r="AJ96">
        <v>38</v>
      </c>
      <c r="AK96">
        <v>126</v>
      </c>
      <c r="AL96" t="s">
        <v>2108</v>
      </c>
      <c r="AM96" t="s">
        <v>207</v>
      </c>
      <c r="AN96" t="s">
        <v>2109</v>
      </c>
      <c r="AO96" t="s">
        <v>2110</v>
      </c>
      <c r="AP96" t="s">
        <v>2111</v>
      </c>
      <c r="AQ96" t="s">
        <v>74</v>
      </c>
      <c r="AR96" t="s">
        <v>81</v>
      </c>
      <c r="AS96" t="s">
        <v>2112</v>
      </c>
      <c r="AT96" t="s">
        <v>2113</v>
      </c>
      <c r="AU96">
        <v>2022</v>
      </c>
      <c r="AV96">
        <v>377</v>
      </c>
      <c r="AW96">
        <v>6614</v>
      </c>
      <c r="AX96" t="s">
        <v>74</v>
      </c>
      <c r="AY96" t="s">
        <v>74</v>
      </c>
      <c r="AZ96" t="s">
        <v>74</v>
      </c>
      <c r="BA96" t="s">
        <v>74</v>
      </c>
      <c r="BB96">
        <v>1544</v>
      </c>
      <c r="BC96" t="s">
        <v>2114</v>
      </c>
      <c r="BD96" t="s">
        <v>74</v>
      </c>
      <c r="BE96" t="s">
        <v>2115</v>
      </c>
      <c r="BF96" t="str">
        <f>HYPERLINK("http://dx.doi.org/10.1126/science.abo0383","http://dx.doi.org/10.1126/science.abo0383")</f>
        <v>http://dx.doi.org/10.1126/science.abo0383</v>
      </c>
      <c r="BG96" t="s">
        <v>74</v>
      </c>
      <c r="BH96" t="s">
        <v>74</v>
      </c>
      <c r="BI96">
        <v>7</v>
      </c>
      <c r="BJ96" t="s">
        <v>156</v>
      </c>
      <c r="BK96" t="s">
        <v>100</v>
      </c>
      <c r="BL96" t="s">
        <v>157</v>
      </c>
      <c r="BM96" t="s">
        <v>2116</v>
      </c>
      <c r="BN96">
        <v>36173841</v>
      </c>
      <c r="BO96" t="s">
        <v>74</v>
      </c>
      <c r="BP96" t="s">
        <v>74</v>
      </c>
      <c r="BQ96" t="s">
        <v>74</v>
      </c>
      <c r="BR96" t="s">
        <v>103</v>
      </c>
      <c r="BS96" t="s">
        <v>2117</v>
      </c>
      <c r="BT96" t="str">
        <f>HYPERLINK("https%3A%2F%2Fwww.webofscience.com%2Fwos%2Fwoscc%2Ffull-record%2FWOS:000891713300029","View Full Record in Web of Science")</f>
        <v>View Full Record in Web of Science</v>
      </c>
    </row>
    <row r="97" spans="1:72" x14ac:dyDescent="0.15">
      <c r="A97" t="s">
        <v>72</v>
      </c>
      <c r="B97" t="s">
        <v>2118</v>
      </c>
      <c r="C97" t="s">
        <v>74</v>
      </c>
      <c r="D97" t="s">
        <v>74</v>
      </c>
      <c r="E97" t="s">
        <v>74</v>
      </c>
      <c r="F97" t="s">
        <v>2119</v>
      </c>
      <c r="G97" t="s">
        <v>74</v>
      </c>
      <c r="H97" t="s">
        <v>74</v>
      </c>
      <c r="I97" t="s">
        <v>2120</v>
      </c>
      <c r="J97" t="s">
        <v>2121</v>
      </c>
      <c r="K97" t="s">
        <v>74</v>
      </c>
      <c r="L97" t="s">
        <v>74</v>
      </c>
      <c r="M97" t="s">
        <v>78</v>
      </c>
      <c r="N97" t="s">
        <v>2122</v>
      </c>
      <c r="O97" t="s">
        <v>74</v>
      </c>
      <c r="P97" t="s">
        <v>74</v>
      </c>
      <c r="Q97" t="s">
        <v>74</v>
      </c>
      <c r="R97" t="s">
        <v>74</v>
      </c>
      <c r="S97" t="s">
        <v>74</v>
      </c>
      <c r="T97" t="s">
        <v>74</v>
      </c>
      <c r="U97" t="s">
        <v>2123</v>
      </c>
      <c r="V97" t="s">
        <v>2124</v>
      </c>
      <c r="W97" t="s">
        <v>2125</v>
      </c>
      <c r="X97" t="s">
        <v>2126</v>
      </c>
      <c r="Y97" t="s">
        <v>2127</v>
      </c>
      <c r="Z97" t="s">
        <v>2128</v>
      </c>
      <c r="AA97" t="s">
        <v>2129</v>
      </c>
      <c r="AB97" t="s">
        <v>2130</v>
      </c>
      <c r="AC97" t="s">
        <v>2131</v>
      </c>
      <c r="AD97" t="s">
        <v>2132</v>
      </c>
      <c r="AE97" t="s">
        <v>2133</v>
      </c>
      <c r="AF97" t="s">
        <v>74</v>
      </c>
      <c r="AG97">
        <v>120</v>
      </c>
      <c r="AH97">
        <v>4</v>
      </c>
      <c r="AI97">
        <v>4</v>
      </c>
      <c r="AJ97">
        <v>3</v>
      </c>
      <c r="AK97">
        <v>9</v>
      </c>
      <c r="AL97" t="s">
        <v>2134</v>
      </c>
      <c r="AM97" t="s">
        <v>2135</v>
      </c>
      <c r="AN97" t="s">
        <v>2136</v>
      </c>
      <c r="AO97" t="s">
        <v>2137</v>
      </c>
      <c r="AP97" t="s">
        <v>2138</v>
      </c>
      <c r="AQ97" t="s">
        <v>74</v>
      </c>
      <c r="AR97" t="s">
        <v>2139</v>
      </c>
      <c r="AS97" t="s">
        <v>2140</v>
      </c>
      <c r="AT97" t="s">
        <v>2141</v>
      </c>
      <c r="AU97">
        <v>2022</v>
      </c>
      <c r="AV97" t="s">
        <v>74</v>
      </c>
      <c r="AW97" t="s">
        <v>74</v>
      </c>
      <c r="AX97" t="s">
        <v>74</v>
      </c>
      <c r="AY97" t="s">
        <v>74</v>
      </c>
      <c r="AZ97" t="s">
        <v>74</v>
      </c>
      <c r="BA97" t="s">
        <v>74</v>
      </c>
      <c r="BB97" t="s">
        <v>74</v>
      </c>
      <c r="BC97" t="s">
        <v>74</v>
      </c>
      <c r="BD97" t="s">
        <v>74</v>
      </c>
      <c r="BE97" t="s">
        <v>2142</v>
      </c>
      <c r="BF97" t="str">
        <f>HYPERLINK("http://dx.doi.org/10.1144/jgs2022-067","http://dx.doi.org/10.1144/jgs2022-067")</f>
        <v>http://dx.doi.org/10.1144/jgs2022-067</v>
      </c>
      <c r="BG97" t="s">
        <v>74</v>
      </c>
      <c r="BH97" t="s">
        <v>2143</v>
      </c>
      <c r="BI97">
        <v>18</v>
      </c>
      <c r="BJ97" t="s">
        <v>129</v>
      </c>
      <c r="BK97" t="s">
        <v>100</v>
      </c>
      <c r="BL97" t="s">
        <v>130</v>
      </c>
      <c r="BM97" t="s">
        <v>2144</v>
      </c>
      <c r="BN97" t="s">
        <v>74</v>
      </c>
      <c r="BO97" t="s">
        <v>74</v>
      </c>
      <c r="BP97" t="s">
        <v>74</v>
      </c>
      <c r="BQ97" t="s">
        <v>74</v>
      </c>
      <c r="BR97" t="s">
        <v>103</v>
      </c>
      <c r="BS97" t="s">
        <v>2145</v>
      </c>
      <c r="BT97" t="str">
        <f>HYPERLINK("https%3A%2F%2Fwww.webofscience.com%2Fwos%2Fwoscc%2Ffull-record%2FWOS:000912157200001","View Full Record in Web of Science")</f>
        <v>View Full Record in Web of Science</v>
      </c>
    </row>
    <row r="98" spans="1:72" x14ac:dyDescent="0.15">
      <c r="A98" t="s">
        <v>72</v>
      </c>
      <c r="B98" t="s">
        <v>2146</v>
      </c>
      <c r="C98" t="s">
        <v>74</v>
      </c>
      <c r="D98" t="s">
        <v>74</v>
      </c>
      <c r="E98" t="s">
        <v>74</v>
      </c>
      <c r="F98" t="s">
        <v>2147</v>
      </c>
      <c r="G98" t="s">
        <v>74</v>
      </c>
      <c r="H98" t="s">
        <v>74</v>
      </c>
      <c r="I98" t="s">
        <v>2148</v>
      </c>
      <c r="J98" t="s">
        <v>247</v>
      </c>
      <c r="K98" t="s">
        <v>74</v>
      </c>
      <c r="L98" t="s">
        <v>74</v>
      </c>
      <c r="M98" t="s">
        <v>78</v>
      </c>
      <c r="N98" t="s">
        <v>165</v>
      </c>
      <c r="O98" t="s">
        <v>74</v>
      </c>
      <c r="P98" t="s">
        <v>74</v>
      </c>
      <c r="Q98" t="s">
        <v>74</v>
      </c>
      <c r="R98" t="s">
        <v>74</v>
      </c>
      <c r="S98" t="s">
        <v>74</v>
      </c>
      <c r="T98" t="s">
        <v>2149</v>
      </c>
      <c r="U98" t="s">
        <v>2150</v>
      </c>
      <c r="V98" t="s">
        <v>2151</v>
      </c>
      <c r="W98" t="s">
        <v>2152</v>
      </c>
      <c r="X98" t="s">
        <v>2153</v>
      </c>
      <c r="Y98" t="s">
        <v>2154</v>
      </c>
      <c r="Z98" t="s">
        <v>2155</v>
      </c>
      <c r="AA98" t="s">
        <v>74</v>
      </c>
      <c r="AB98" t="s">
        <v>74</v>
      </c>
      <c r="AC98" t="s">
        <v>74</v>
      </c>
      <c r="AD98" t="s">
        <v>74</v>
      </c>
      <c r="AE98" t="s">
        <v>74</v>
      </c>
      <c r="AF98" t="s">
        <v>74</v>
      </c>
      <c r="AG98">
        <v>25</v>
      </c>
      <c r="AH98">
        <v>1</v>
      </c>
      <c r="AI98">
        <v>1</v>
      </c>
      <c r="AJ98">
        <v>0</v>
      </c>
      <c r="AK98">
        <v>3</v>
      </c>
      <c r="AL98" t="s">
        <v>121</v>
      </c>
      <c r="AM98" t="s">
        <v>122</v>
      </c>
      <c r="AN98" t="s">
        <v>123</v>
      </c>
      <c r="AO98" t="s">
        <v>74</v>
      </c>
      <c r="AP98" t="s">
        <v>258</v>
      </c>
      <c r="AQ98" t="s">
        <v>74</v>
      </c>
      <c r="AR98" t="s">
        <v>259</v>
      </c>
      <c r="AS98" t="s">
        <v>260</v>
      </c>
      <c r="AT98" t="s">
        <v>2113</v>
      </c>
      <c r="AU98">
        <v>2022</v>
      </c>
      <c r="AV98">
        <v>9</v>
      </c>
      <c r="AW98" t="s">
        <v>74</v>
      </c>
      <c r="AX98" t="s">
        <v>74</v>
      </c>
      <c r="AY98" t="s">
        <v>74</v>
      </c>
      <c r="AZ98" t="s">
        <v>74</v>
      </c>
      <c r="BA98" t="s">
        <v>74</v>
      </c>
      <c r="BB98" t="s">
        <v>74</v>
      </c>
      <c r="BC98" t="s">
        <v>74</v>
      </c>
      <c r="BD98">
        <v>971894</v>
      </c>
      <c r="BE98" t="s">
        <v>2156</v>
      </c>
      <c r="BF98" t="str">
        <f>HYPERLINK("http://dx.doi.org/10.3389/fmars.2022.971894","http://dx.doi.org/10.3389/fmars.2022.971894")</f>
        <v>http://dx.doi.org/10.3389/fmars.2022.971894</v>
      </c>
      <c r="BG98" t="s">
        <v>74</v>
      </c>
      <c r="BH98" t="s">
        <v>74</v>
      </c>
      <c r="BI98">
        <v>15</v>
      </c>
      <c r="BJ98" t="s">
        <v>263</v>
      </c>
      <c r="BK98" t="s">
        <v>100</v>
      </c>
      <c r="BL98" t="s">
        <v>264</v>
      </c>
      <c r="BM98" t="s">
        <v>2157</v>
      </c>
      <c r="BN98" t="s">
        <v>74</v>
      </c>
      <c r="BO98" t="s">
        <v>266</v>
      </c>
      <c r="BP98" t="s">
        <v>74</v>
      </c>
      <c r="BQ98" t="s">
        <v>74</v>
      </c>
      <c r="BR98" t="s">
        <v>103</v>
      </c>
      <c r="BS98" t="s">
        <v>2158</v>
      </c>
      <c r="BT98" t="str">
        <f>HYPERLINK("https%3A%2F%2Fwww.webofscience.com%2Fwos%2Fwoscc%2Ffull-record%2FWOS:000870026500001","View Full Record in Web of Science")</f>
        <v>View Full Record in Web of Science</v>
      </c>
    </row>
    <row r="99" spans="1:72" x14ac:dyDescent="0.15">
      <c r="A99" t="s">
        <v>72</v>
      </c>
      <c r="B99" t="s">
        <v>2159</v>
      </c>
      <c r="C99" t="s">
        <v>74</v>
      </c>
      <c r="D99" t="s">
        <v>74</v>
      </c>
      <c r="E99" t="s">
        <v>74</v>
      </c>
      <c r="F99" t="s">
        <v>2160</v>
      </c>
      <c r="G99" t="s">
        <v>74</v>
      </c>
      <c r="H99" t="s">
        <v>74</v>
      </c>
      <c r="I99" t="s">
        <v>2161</v>
      </c>
      <c r="J99" t="s">
        <v>2162</v>
      </c>
      <c r="K99" t="s">
        <v>74</v>
      </c>
      <c r="L99" t="s">
        <v>74</v>
      </c>
      <c r="M99" t="s">
        <v>78</v>
      </c>
      <c r="N99" t="s">
        <v>79</v>
      </c>
      <c r="O99" t="s">
        <v>74</v>
      </c>
      <c r="P99" t="s">
        <v>74</v>
      </c>
      <c r="Q99" t="s">
        <v>74</v>
      </c>
      <c r="R99" t="s">
        <v>74</v>
      </c>
      <c r="S99" t="s">
        <v>74</v>
      </c>
      <c r="T99" t="s">
        <v>74</v>
      </c>
      <c r="U99" t="s">
        <v>2163</v>
      </c>
      <c r="V99" t="s">
        <v>2164</v>
      </c>
      <c r="W99" t="s">
        <v>2165</v>
      </c>
      <c r="X99" t="s">
        <v>2166</v>
      </c>
      <c r="Y99" t="s">
        <v>2167</v>
      </c>
      <c r="Z99" t="s">
        <v>2168</v>
      </c>
      <c r="AA99" t="s">
        <v>2169</v>
      </c>
      <c r="AB99" t="s">
        <v>2170</v>
      </c>
      <c r="AC99" t="s">
        <v>2171</v>
      </c>
      <c r="AD99" t="s">
        <v>2172</v>
      </c>
      <c r="AE99" t="s">
        <v>2173</v>
      </c>
      <c r="AF99" t="s">
        <v>74</v>
      </c>
      <c r="AG99">
        <v>32</v>
      </c>
      <c r="AH99">
        <v>3</v>
      </c>
      <c r="AI99">
        <v>3</v>
      </c>
      <c r="AJ99">
        <v>2</v>
      </c>
      <c r="AK99">
        <v>14</v>
      </c>
      <c r="AL99" t="s">
        <v>2174</v>
      </c>
      <c r="AM99" t="s">
        <v>207</v>
      </c>
      <c r="AN99" t="s">
        <v>2175</v>
      </c>
      <c r="AO99" t="s">
        <v>2176</v>
      </c>
      <c r="AP99" t="s">
        <v>2177</v>
      </c>
      <c r="AQ99" t="s">
        <v>74</v>
      </c>
      <c r="AR99" t="s">
        <v>2178</v>
      </c>
      <c r="AS99" t="s">
        <v>2179</v>
      </c>
      <c r="AT99" t="s">
        <v>2180</v>
      </c>
      <c r="AU99">
        <v>2022</v>
      </c>
      <c r="AV99">
        <v>85</v>
      </c>
      <c r="AW99">
        <v>10</v>
      </c>
      <c r="AX99" t="s">
        <v>74</v>
      </c>
      <c r="AY99" t="s">
        <v>74</v>
      </c>
      <c r="AZ99" t="s">
        <v>74</v>
      </c>
      <c r="BA99" t="s">
        <v>74</v>
      </c>
      <c r="BB99">
        <v>2454</v>
      </c>
      <c r="BC99">
        <v>2460</v>
      </c>
      <c r="BD99" t="s">
        <v>74</v>
      </c>
      <c r="BE99" t="s">
        <v>2181</v>
      </c>
      <c r="BF99" t="str">
        <f>HYPERLINK("http://dx.doi.org/10.1021/acs.jnatprod.2c00684","http://dx.doi.org/10.1021/acs.jnatprod.2c00684")</f>
        <v>http://dx.doi.org/10.1021/acs.jnatprod.2c00684</v>
      </c>
      <c r="BG99" t="s">
        <v>74</v>
      </c>
      <c r="BH99" t="s">
        <v>2143</v>
      </c>
      <c r="BI99">
        <v>7</v>
      </c>
      <c r="BJ99" t="s">
        <v>2182</v>
      </c>
      <c r="BK99" t="s">
        <v>2183</v>
      </c>
      <c r="BL99" t="s">
        <v>2184</v>
      </c>
      <c r="BM99" t="s">
        <v>2185</v>
      </c>
      <c r="BN99">
        <v>36178104</v>
      </c>
      <c r="BO99" t="s">
        <v>74</v>
      </c>
      <c r="BP99" t="s">
        <v>74</v>
      </c>
      <c r="BQ99" t="s">
        <v>74</v>
      </c>
      <c r="BR99" t="s">
        <v>103</v>
      </c>
      <c r="BS99" t="s">
        <v>2186</v>
      </c>
      <c r="BT99" t="str">
        <f>HYPERLINK("https%3A%2F%2Fwww.webofscience.com%2Fwos%2Fwoscc%2Ffull-record%2FWOS:000869703000001","View Full Record in Web of Science")</f>
        <v>View Full Record in Web of Science</v>
      </c>
    </row>
    <row r="100" spans="1:72" x14ac:dyDescent="0.15">
      <c r="A100" t="s">
        <v>72</v>
      </c>
      <c r="B100" t="s">
        <v>2187</v>
      </c>
      <c r="C100" t="s">
        <v>74</v>
      </c>
      <c r="D100" t="s">
        <v>74</v>
      </c>
      <c r="E100" t="s">
        <v>74</v>
      </c>
      <c r="F100" t="s">
        <v>2188</v>
      </c>
      <c r="G100" t="s">
        <v>74</v>
      </c>
      <c r="H100" t="s">
        <v>74</v>
      </c>
      <c r="I100" t="s">
        <v>2189</v>
      </c>
      <c r="J100" t="s">
        <v>2190</v>
      </c>
      <c r="K100" t="s">
        <v>74</v>
      </c>
      <c r="L100" t="s">
        <v>74</v>
      </c>
      <c r="M100" t="s">
        <v>78</v>
      </c>
      <c r="N100" t="s">
        <v>79</v>
      </c>
      <c r="O100" t="s">
        <v>74</v>
      </c>
      <c r="P100" t="s">
        <v>74</v>
      </c>
      <c r="Q100" t="s">
        <v>74</v>
      </c>
      <c r="R100" t="s">
        <v>74</v>
      </c>
      <c r="S100" t="s">
        <v>74</v>
      </c>
      <c r="T100" t="s">
        <v>2191</v>
      </c>
      <c r="U100" t="s">
        <v>2192</v>
      </c>
      <c r="V100" t="s">
        <v>2193</v>
      </c>
      <c r="W100" t="s">
        <v>2194</v>
      </c>
      <c r="X100" t="s">
        <v>2195</v>
      </c>
      <c r="Y100" t="s">
        <v>2196</v>
      </c>
      <c r="Z100" t="s">
        <v>2197</v>
      </c>
      <c r="AA100" t="s">
        <v>2198</v>
      </c>
      <c r="AB100" t="s">
        <v>74</v>
      </c>
      <c r="AC100" t="s">
        <v>2199</v>
      </c>
      <c r="AD100" t="s">
        <v>2200</v>
      </c>
      <c r="AE100" t="s">
        <v>2201</v>
      </c>
      <c r="AF100" t="s">
        <v>74</v>
      </c>
      <c r="AG100">
        <v>14</v>
      </c>
      <c r="AH100">
        <v>0</v>
      </c>
      <c r="AI100">
        <v>0</v>
      </c>
      <c r="AJ100">
        <v>0</v>
      </c>
      <c r="AK100">
        <v>3</v>
      </c>
      <c r="AL100" t="s">
        <v>2202</v>
      </c>
      <c r="AM100" t="s">
        <v>2203</v>
      </c>
      <c r="AN100" t="s">
        <v>2204</v>
      </c>
      <c r="AO100" t="s">
        <v>2205</v>
      </c>
      <c r="AP100" t="s">
        <v>2206</v>
      </c>
      <c r="AQ100" t="s">
        <v>74</v>
      </c>
      <c r="AR100" t="s">
        <v>2207</v>
      </c>
      <c r="AS100" t="s">
        <v>2208</v>
      </c>
      <c r="AT100" t="s">
        <v>2113</v>
      </c>
      <c r="AU100">
        <v>2022</v>
      </c>
      <c r="AV100">
        <v>54</v>
      </c>
      <c r="AW100">
        <v>1</v>
      </c>
      <c r="AX100" t="s">
        <v>74</v>
      </c>
      <c r="AY100" t="s">
        <v>74</v>
      </c>
      <c r="AZ100" t="s">
        <v>74</v>
      </c>
      <c r="BA100" t="s">
        <v>74</v>
      </c>
      <c r="BB100" t="s">
        <v>74</v>
      </c>
      <c r="BC100" t="s">
        <v>74</v>
      </c>
      <c r="BD100" t="s">
        <v>2209</v>
      </c>
      <c r="BE100" t="s">
        <v>2210</v>
      </c>
      <c r="BF100" t="str">
        <f>HYPERLINK("http://dx.doi.org/10.2478/jofnem-2022-0035","http://dx.doi.org/10.2478/jofnem-2022-0035")</f>
        <v>http://dx.doi.org/10.2478/jofnem-2022-0035</v>
      </c>
      <c r="BG100" t="s">
        <v>74</v>
      </c>
      <c r="BH100" t="s">
        <v>74</v>
      </c>
      <c r="BI100">
        <v>4</v>
      </c>
      <c r="BJ100" t="s">
        <v>2211</v>
      </c>
      <c r="BK100" t="s">
        <v>100</v>
      </c>
      <c r="BL100" t="s">
        <v>2211</v>
      </c>
      <c r="BM100" t="s">
        <v>2212</v>
      </c>
      <c r="BN100">
        <v>36338426</v>
      </c>
      <c r="BO100" t="s">
        <v>159</v>
      </c>
      <c r="BP100" t="s">
        <v>74</v>
      </c>
      <c r="BQ100" t="s">
        <v>74</v>
      </c>
      <c r="BR100" t="s">
        <v>103</v>
      </c>
      <c r="BS100" t="s">
        <v>2213</v>
      </c>
      <c r="BT100" t="str">
        <f>HYPERLINK("https%3A%2F%2Fwww.webofscience.com%2Fwos%2Fwoscc%2Ffull-record%2FWOS:000864850200002","View Full Record in Web of Science")</f>
        <v>View Full Record in Web of Science</v>
      </c>
    </row>
    <row r="101" spans="1:72" x14ac:dyDescent="0.15">
      <c r="A101" t="s">
        <v>72</v>
      </c>
      <c r="B101" t="s">
        <v>2214</v>
      </c>
      <c r="C101" t="s">
        <v>74</v>
      </c>
      <c r="D101" t="s">
        <v>74</v>
      </c>
      <c r="E101" t="s">
        <v>74</v>
      </c>
      <c r="F101" t="s">
        <v>2215</v>
      </c>
      <c r="G101" t="s">
        <v>74</v>
      </c>
      <c r="H101" t="s">
        <v>74</v>
      </c>
      <c r="I101" t="s">
        <v>2216</v>
      </c>
      <c r="J101" t="s">
        <v>2217</v>
      </c>
      <c r="K101" t="s">
        <v>74</v>
      </c>
      <c r="L101" t="s">
        <v>74</v>
      </c>
      <c r="M101" t="s">
        <v>78</v>
      </c>
      <c r="N101" t="s">
        <v>79</v>
      </c>
      <c r="O101" t="s">
        <v>74</v>
      </c>
      <c r="P101" t="s">
        <v>74</v>
      </c>
      <c r="Q101" t="s">
        <v>74</v>
      </c>
      <c r="R101" t="s">
        <v>74</v>
      </c>
      <c r="S101" t="s">
        <v>74</v>
      </c>
      <c r="T101" t="s">
        <v>2218</v>
      </c>
      <c r="U101" t="s">
        <v>2219</v>
      </c>
      <c r="V101" t="s">
        <v>2220</v>
      </c>
      <c r="W101" t="s">
        <v>2221</v>
      </c>
      <c r="X101" t="s">
        <v>2222</v>
      </c>
      <c r="Y101" t="s">
        <v>2223</v>
      </c>
      <c r="Z101" t="s">
        <v>2224</v>
      </c>
      <c r="AA101" t="s">
        <v>74</v>
      </c>
      <c r="AB101" t="s">
        <v>2225</v>
      </c>
      <c r="AC101" t="s">
        <v>2226</v>
      </c>
      <c r="AD101" t="s">
        <v>2227</v>
      </c>
      <c r="AE101" t="s">
        <v>2226</v>
      </c>
      <c r="AF101" t="s">
        <v>74</v>
      </c>
      <c r="AG101">
        <v>63</v>
      </c>
      <c r="AH101">
        <v>0</v>
      </c>
      <c r="AI101">
        <v>0</v>
      </c>
      <c r="AJ101">
        <v>0</v>
      </c>
      <c r="AK101">
        <v>6</v>
      </c>
      <c r="AL101" t="s">
        <v>231</v>
      </c>
      <c r="AM101" t="s">
        <v>232</v>
      </c>
      <c r="AN101" t="s">
        <v>233</v>
      </c>
      <c r="AO101" t="s">
        <v>2228</v>
      </c>
      <c r="AP101" t="s">
        <v>2229</v>
      </c>
      <c r="AQ101" t="s">
        <v>74</v>
      </c>
      <c r="AR101" t="s">
        <v>2230</v>
      </c>
      <c r="AS101" t="s">
        <v>2231</v>
      </c>
      <c r="AT101" t="s">
        <v>325</v>
      </c>
      <c r="AU101">
        <v>2022</v>
      </c>
      <c r="AV101">
        <v>67</v>
      </c>
      <c r="AW101">
        <v>12</v>
      </c>
      <c r="AX101" t="s">
        <v>74</v>
      </c>
      <c r="AY101" t="s">
        <v>74</v>
      </c>
      <c r="AZ101" t="s">
        <v>74</v>
      </c>
      <c r="BA101" t="s">
        <v>74</v>
      </c>
      <c r="BB101">
        <v>2113</v>
      </c>
      <c r="BC101">
        <v>2129</v>
      </c>
      <c r="BD101" t="s">
        <v>74</v>
      </c>
      <c r="BE101" t="s">
        <v>2232</v>
      </c>
      <c r="BF101" t="str">
        <f>HYPERLINK("http://dx.doi.org/10.1111/fwb.14000","http://dx.doi.org/10.1111/fwb.14000")</f>
        <v>http://dx.doi.org/10.1111/fwb.14000</v>
      </c>
      <c r="BG101" t="s">
        <v>74</v>
      </c>
      <c r="BH101" t="s">
        <v>2143</v>
      </c>
      <c r="BI101">
        <v>17</v>
      </c>
      <c r="BJ101" t="s">
        <v>2233</v>
      </c>
      <c r="BK101" t="s">
        <v>100</v>
      </c>
      <c r="BL101" t="s">
        <v>264</v>
      </c>
      <c r="BM101" t="s">
        <v>2234</v>
      </c>
      <c r="BN101" t="s">
        <v>74</v>
      </c>
      <c r="BO101" t="s">
        <v>831</v>
      </c>
      <c r="BP101" t="s">
        <v>74</v>
      </c>
      <c r="BQ101" t="s">
        <v>74</v>
      </c>
      <c r="BR101" t="s">
        <v>103</v>
      </c>
      <c r="BS101" t="s">
        <v>2235</v>
      </c>
      <c r="BT101" t="str">
        <f>HYPERLINK("https%3A%2F%2Fwww.webofscience.com%2Fwos%2Fwoscc%2Ffull-record%2FWOS:000862029100001","View Full Record in Web of Science")</f>
        <v>View Full Record in Web of Science</v>
      </c>
    </row>
    <row r="102" spans="1:72" x14ac:dyDescent="0.15">
      <c r="A102" t="s">
        <v>72</v>
      </c>
      <c r="B102" t="s">
        <v>2236</v>
      </c>
      <c r="C102" t="s">
        <v>74</v>
      </c>
      <c r="D102" t="s">
        <v>74</v>
      </c>
      <c r="E102" t="s">
        <v>74</v>
      </c>
      <c r="F102" t="s">
        <v>2237</v>
      </c>
      <c r="G102" t="s">
        <v>74</v>
      </c>
      <c r="H102" t="s">
        <v>74</v>
      </c>
      <c r="I102" t="s">
        <v>2238</v>
      </c>
      <c r="J102" t="s">
        <v>2239</v>
      </c>
      <c r="K102" t="s">
        <v>74</v>
      </c>
      <c r="L102" t="s">
        <v>74</v>
      </c>
      <c r="M102" t="s">
        <v>78</v>
      </c>
      <c r="N102" t="s">
        <v>79</v>
      </c>
      <c r="O102" t="s">
        <v>74</v>
      </c>
      <c r="P102" t="s">
        <v>74</v>
      </c>
      <c r="Q102" t="s">
        <v>74</v>
      </c>
      <c r="R102" t="s">
        <v>74</v>
      </c>
      <c r="S102" t="s">
        <v>74</v>
      </c>
      <c r="T102" t="s">
        <v>2240</v>
      </c>
      <c r="U102" t="s">
        <v>2241</v>
      </c>
      <c r="V102" t="s">
        <v>2242</v>
      </c>
      <c r="W102" t="s">
        <v>2243</v>
      </c>
      <c r="X102" t="s">
        <v>2244</v>
      </c>
      <c r="Y102" t="s">
        <v>2245</v>
      </c>
      <c r="Z102" t="s">
        <v>2246</v>
      </c>
      <c r="AA102" t="s">
        <v>2247</v>
      </c>
      <c r="AB102" t="s">
        <v>2248</v>
      </c>
      <c r="AC102" t="s">
        <v>74</v>
      </c>
      <c r="AD102" t="s">
        <v>74</v>
      </c>
      <c r="AE102" t="s">
        <v>74</v>
      </c>
      <c r="AF102" t="s">
        <v>74</v>
      </c>
      <c r="AG102">
        <v>132</v>
      </c>
      <c r="AH102">
        <v>5</v>
      </c>
      <c r="AI102">
        <v>6</v>
      </c>
      <c r="AJ102">
        <v>3</v>
      </c>
      <c r="AK102">
        <v>22</v>
      </c>
      <c r="AL102" t="s">
        <v>2249</v>
      </c>
      <c r="AM102" t="s">
        <v>90</v>
      </c>
      <c r="AN102" t="s">
        <v>2250</v>
      </c>
      <c r="AO102" t="s">
        <v>2251</v>
      </c>
      <c r="AP102" t="s">
        <v>2252</v>
      </c>
      <c r="AQ102" t="s">
        <v>74</v>
      </c>
      <c r="AR102" t="s">
        <v>2253</v>
      </c>
      <c r="AS102" t="s">
        <v>2254</v>
      </c>
      <c r="AT102" t="s">
        <v>325</v>
      </c>
      <c r="AU102">
        <v>2022</v>
      </c>
      <c r="AV102">
        <v>146</v>
      </c>
      <c r="AW102" t="s">
        <v>74</v>
      </c>
      <c r="AX102" t="s">
        <v>74</v>
      </c>
      <c r="AY102" t="s">
        <v>74</v>
      </c>
      <c r="AZ102" t="s">
        <v>74</v>
      </c>
      <c r="BA102" t="s">
        <v>74</v>
      </c>
      <c r="BB102" t="s">
        <v>74</v>
      </c>
      <c r="BC102" t="s">
        <v>74</v>
      </c>
      <c r="BD102">
        <v>105301</v>
      </c>
      <c r="BE102" t="s">
        <v>2255</v>
      </c>
      <c r="BF102" t="str">
        <f>HYPERLINK("http://dx.doi.org/10.1016/j.marpol.2022.105301","http://dx.doi.org/10.1016/j.marpol.2022.105301")</f>
        <v>http://dx.doi.org/10.1016/j.marpol.2022.105301</v>
      </c>
      <c r="BG102" t="s">
        <v>74</v>
      </c>
      <c r="BH102" t="s">
        <v>2143</v>
      </c>
      <c r="BI102">
        <v>11</v>
      </c>
      <c r="BJ102" t="s">
        <v>2256</v>
      </c>
      <c r="BK102" t="s">
        <v>2257</v>
      </c>
      <c r="BL102" t="s">
        <v>2258</v>
      </c>
      <c r="BM102" t="s">
        <v>2259</v>
      </c>
      <c r="BN102" t="s">
        <v>74</v>
      </c>
      <c r="BO102" t="s">
        <v>2260</v>
      </c>
      <c r="BP102" t="s">
        <v>74</v>
      </c>
      <c r="BQ102" t="s">
        <v>74</v>
      </c>
      <c r="BR102" t="s">
        <v>103</v>
      </c>
      <c r="BS102" t="s">
        <v>2261</v>
      </c>
      <c r="BT102" t="str">
        <f>HYPERLINK("https%3A%2F%2Fwww.webofscience.com%2Fwos%2Fwoscc%2Ffull-record%2FWOS:000878635600007","View Full Record in Web of Science")</f>
        <v>View Full Record in Web of Science</v>
      </c>
    </row>
    <row r="103" spans="1:72" x14ac:dyDescent="0.15">
      <c r="A103" t="s">
        <v>72</v>
      </c>
      <c r="B103" t="s">
        <v>2262</v>
      </c>
      <c r="C103" t="s">
        <v>74</v>
      </c>
      <c r="D103" t="s">
        <v>74</v>
      </c>
      <c r="E103" t="s">
        <v>74</v>
      </c>
      <c r="F103" t="s">
        <v>2263</v>
      </c>
      <c r="G103" t="s">
        <v>74</v>
      </c>
      <c r="H103" t="s">
        <v>74</v>
      </c>
      <c r="I103" t="s">
        <v>2264</v>
      </c>
      <c r="J103" t="s">
        <v>2265</v>
      </c>
      <c r="K103" t="s">
        <v>74</v>
      </c>
      <c r="L103" t="s">
        <v>74</v>
      </c>
      <c r="M103" t="s">
        <v>78</v>
      </c>
      <c r="N103" t="s">
        <v>79</v>
      </c>
      <c r="O103" t="s">
        <v>74</v>
      </c>
      <c r="P103" t="s">
        <v>74</v>
      </c>
      <c r="Q103" t="s">
        <v>74</v>
      </c>
      <c r="R103" t="s">
        <v>74</v>
      </c>
      <c r="S103" t="s">
        <v>74</v>
      </c>
      <c r="T103" t="s">
        <v>2266</v>
      </c>
      <c r="U103" t="s">
        <v>2267</v>
      </c>
      <c r="V103" t="s">
        <v>2268</v>
      </c>
      <c r="W103" t="s">
        <v>2269</v>
      </c>
      <c r="X103" t="s">
        <v>2270</v>
      </c>
      <c r="Y103" t="s">
        <v>2271</v>
      </c>
      <c r="Z103" t="s">
        <v>2272</v>
      </c>
      <c r="AA103" t="s">
        <v>2273</v>
      </c>
      <c r="AB103" t="s">
        <v>2274</v>
      </c>
      <c r="AC103" t="s">
        <v>74</v>
      </c>
      <c r="AD103" t="s">
        <v>74</v>
      </c>
      <c r="AE103" t="s">
        <v>74</v>
      </c>
      <c r="AF103" t="s">
        <v>74</v>
      </c>
      <c r="AG103">
        <v>73</v>
      </c>
      <c r="AH103">
        <v>0</v>
      </c>
      <c r="AI103">
        <v>0</v>
      </c>
      <c r="AJ103">
        <v>0</v>
      </c>
      <c r="AK103">
        <v>10</v>
      </c>
      <c r="AL103" t="s">
        <v>2275</v>
      </c>
      <c r="AM103" t="s">
        <v>90</v>
      </c>
      <c r="AN103" t="s">
        <v>2276</v>
      </c>
      <c r="AO103" t="s">
        <v>2277</v>
      </c>
      <c r="AP103" t="s">
        <v>2278</v>
      </c>
      <c r="AQ103" t="s">
        <v>74</v>
      </c>
      <c r="AR103" t="s">
        <v>2279</v>
      </c>
      <c r="AS103" t="s">
        <v>2280</v>
      </c>
      <c r="AT103" t="s">
        <v>2281</v>
      </c>
      <c r="AU103">
        <v>2022</v>
      </c>
      <c r="AV103">
        <v>184</v>
      </c>
      <c r="AW103" t="s">
        <v>74</v>
      </c>
      <c r="AX103" t="s">
        <v>74</v>
      </c>
      <c r="AY103" t="s">
        <v>74</v>
      </c>
      <c r="AZ103" t="s">
        <v>74</v>
      </c>
      <c r="BA103" t="s">
        <v>74</v>
      </c>
      <c r="BB103" t="s">
        <v>74</v>
      </c>
      <c r="BC103" t="s">
        <v>74</v>
      </c>
      <c r="BD103">
        <v>114137</v>
      </c>
      <c r="BE103" t="s">
        <v>2282</v>
      </c>
      <c r="BF103" t="str">
        <f>HYPERLINK("http://dx.doi.org/10.1016/j.marpolbul.2022.114137","http://dx.doi.org/10.1016/j.marpolbul.2022.114137")</f>
        <v>http://dx.doi.org/10.1016/j.marpolbul.2022.114137</v>
      </c>
      <c r="BG103" t="s">
        <v>74</v>
      </c>
      <c r="BH103" t="s">
        <v>2143</v>
      </c>
      <c r="BI103">
        <v>8</v>
      </c>
      <c r="BJ103" t="s">
        <v>263</v>
      </c>
      <c r="BK103" t="s">
        <v>100</v>
      </c>
      <c r="BL103" t="s">
        <v>264</v>
      </c>
      <c r="BM103" t="s">
        <v>2283</v>
      </c>
      <c r="BN103">
        <v>36183510</v>
      </c>
      <c r="BO103" t="s">
        <v>74</v>
      </c>
      <c r="BP103" t="s">
        <v>74</v>
      </c>
      <c r="BQ103" t="s">
        <v>74</v>
      </c>
      <c r="BR103" t="s">
        <v>103</v>
      </c>
      <c r="BS103" t="s">
        <v>2284</v>
      </c>
      <c r="BT103" t="str">
        <f>HYPERLINK("https%3A%2F%2Fwww.webofscience.com%2Fwos%2Fwoscc%2Ffull-record%2FWOS:000876648700002","View Full Record in Web of Science")</f>
        <v>View Full Record in Web of Science</v>
      </c>
    </row>
    <row r="104" spans="1:72" x14ac:dyDescent="0.15">
      <c r="A104" t="s">
        <v>72</v>
      </c>
      <c r="B104" t="s">
        <v>2285</v>
      </c>
      <c r="C104" t="s">
        <v>74</v>
      </c>
      <c r="D104" t="s">
        <v>74</v>
      </c>
      <c r="E104" t="s">
        <v>74</v>
      </c>
      <c r="F104" t="s">
        <v>2286</v>
      </c>
      <c r="G104" t="s">
        <v>74</v>
      </c>
      <c r="H104" t="s">
        <v>74</v>
      </c>
      <c r="I104" t="s">
        <v>2287</v>
      </c>
      <c r="J104" t="s">
        <v>2288</v>
      </c>
      <c r="K104" t="s">
        <v>74</v>
      </c>
      <c r="L104" t="s">
        <v>74</v>
      </c>
      <c r="M104" t="s">
        <v>78</v>
      </c>
      <c r="N104" t="s">
        <v>79</v>
      </c>
      <c r="O104" t="s">
        <v>74</v>
      </c>
      <c r="P104" t="s">
        <v>74</v>
      </c>
      <c r="Q104" t="s">
        <v>74</v>
      </c>
      <c r="R104" t="s">
        <v>74</v>
      </c>
      <c r="S104" t="s">
        <v>74</v>
      </c>
      <c r="T104" t="s">
        <v>2289</v>
      </c>
      <c r="U104" t="s">
        <v>2290</v>
      </c>
      <c r="V104" t="s">
        <v>2291</v>
      </c>
      <c r="W104" t="s">
        <v>2292</v>
      </c>
      <c r="X104" t="s">
        <v>2293</v>
      </c>
      <c r="Y104" t="s">
        <v>2294</v>
      </c>
      <c r="Z104" t="s">
        <v>2295</v>
      </c>
      <c r="AA104" t="s">
        <v>2296</v>
      </c>
      <c r="AB104" t="s">
        <v>2297</v>
      </c>
      <c r="AC104" t="s">
        <v>2298</v>
      </c>
      <c r="AD104" t="s">
        <v>2299</v>
      </c>
      <c r="AE104" t="s">
        <v>2300</v>
      </c>
      <c r="AF104" t="s">
        <v>74</v>
      </c>
      <c r="AG104">
        <v>41</v>
      </c>
      <c r="AH104">
        <v>8</v>
      </c>
      <c r="AI104">
        <v>9</v>
      </c>
      <c r="AJ104">
        <v>15</v>
      </c>
      <c r="AK104">
        <v>72</v>
      </c>
      <c r="AL104" t="s">
        <v>2249</v>
      </c>
      <c r="AM104" t="s">
        <v>90</v>
      </c>
      <c r="AN104" t="s">
        <v>2250</v>
      </c>
      <c r="AO104" t="s">
        <v>2301</v>
      </c>
      <c r="AP104" t="s">
        <v>2302</v>
      </c>
      <c r="AQ104" t="s">
        <v>74</v>
      </c>
      <c r="AR104" t="s">
        <v>2303</v>
      </c>
      <c r="AS104" t="s">
        <v>2304</v>
      </c>
      <c r="AT104" t="s">
        <v>2305</v>
      </c>
      <c r="AU104">
        <v>2023</v>
      </c>
      <c r="AV104">
        <v>403</v>
      </c>
      <c r="AW104" t="s">
        <v>74</v>
      </c>
      <c r="AX104" t="s">
        <v>74</v>
      </c>
      <c r="AY104" t="s">
        <v>74</v>
      </c>
      <c r="AZ104" t="s">
        <v>74</v>
      </c>
      <c r="BA104" t="s">
        <v>74</v>
      </c>
      <c r="BB104" t="s">
        <v>74</v>
      </c>
      <c r="BC104" t="s">
        <v>74</v>
      </c>
      <c r="BD104">
        <v>134388</v>
      </c>
      <c r="BE104" t="s">
        <v>2306</v>
      </c>
      <c r="BF104" t="str">
        <f>HYPERLINK("http://dx.doi.org/10.1016/j.foodchem.2022.134388","http://dx.doi.org/10.1016/j.foodchem.2022.134388")</f>
        <v>http://dx.doi.org/10.1016/j.foodchem.2022.134388</v>
      </c>
      <c r="BG104" t="s">
        <v>74</v>
      </c>
      <c r="BH104" t="s">
        <v>2143</v>
      </c>
      <c r="BI104">
        <v>9</v>
      </c>
      <c r="BJ104" t="s">
        <v>2307</v>
      </c>
      <c r="BK104" t="s">
        <v>100</v>
      </c>
      <c r="BL104" t="s">
        <v>2308</v>
      </c>
      <c r="BM104" t="s">
        <v>2309</v>
      </c>
      <c r="BN104">
        <v>36183471</v>
      </c>
      <c r="BO104" t="s">
        <v>74</v>
      </c>
      <c r="BP104" t="s">
        <v>74</v>
      </c>
      <c r="BQ104" t="s">
        <v>74</v>
      </c>
      <c r="BR104" t="s">
        <v>103</v>
      </c>
      <c r="BS104" t="s">
        <v>2310</v>
      </c>
      <c r="BT104" t="str">
        <f>HYPERLINK("https%3A%2F%2Fwww.webofscience.com%2Fwos%2Fwoscc%2Ffull-record%2FWOS:000872533500009","View Full Record in Web of Science")</f>
        <v>View Full Record in Web of Science</v>
      </c>
    </row>
    <row r="105" spans="1:72" x14ac:dyDescent="0.15">
      <c r="A105" t="s">
        <v>72</v>
      </c>
      <c r="B105" t="s">
        <v>2311</v>
      </c>
      <c r="C105" t="s">
        <v>74</v>
      </c>
      <c r="D105" t="s">
        <v>74</v>
      </c>
      <c r="E105" t="s">
        <v>74</v>
      </c>
      <c r="F105" t="s">
        <v>2312</v>
      </c>
      <c r="G105" t="s">
        <v>74</v>
      </c>
      <c r="H105" t="s">
        <v>74</v>
      </c>
      <c r="I105" t="s">
        <v>2313</v>
      </c>
      <c r="J105" t="s">
        <v>2314</v>
      </c>
      <c r="K105" t="s">
        <v>74</v>
      </c>
      <c r="L105" t="s">
        <v>74</v>
      </c>
      <c r="M105" t="s">
        <v>78</v>
      </c>
      <c r="N105" t="s">
        <v>79</v>
      </c>
      <c r="O105" t="s">
        <v>74</v>
      </c>
      <c r="P105" t="s">
        <v>74</v>
      </c>
      <c r="Q105" t="s">
        <v>74</v>
      </c>
      <c r="R105" t="s">
        <v>74</v>
      </c>
      <c r="S105" t="s">
        <v>74</v>
      </c>
      <c r="T105" t="s">
        <v>74</v>
      </c>
      <c r="U105" t="s">
        <v>2315</v>
      </c>
      <c r="V105" t="s">
        <v>2316</v>
      </c>
      <c r="W105" t="s">
        <v>2317</v>
      </c>
      <c r="X105" t="s">
        <v>2318</v>
      </c>
      <c r="Y105" t="s">
        <v>2319</v>
      </c>
      <c r="Z105" t="s">
        <v>2320</v>
      </c>
      <c r="AA105" t="s">
        <v>2321</v>
      </c>
      <c r="AB105" t="s">
        <v>2322</v>
      </c>
      <c r="AC105" t="s">
        <v>2323</v>
      </c>
      <c r="AD105" t="s">
        <v>2324</v>
      </c>
      <c r="AE105" t="s">
        <v>2325</v>
      </c>
      <c r="AF105" t="s">
        <v>74</v>
      </c>
      <c r="AG105">
        <v>84</v>
      </c>
      <c r="AH105">
        <v>22</v>
      </c>
      <c r="AI105">
        <v>23</v>
      </c>
      <c r="AJ105">
        <v>6</v>
      </c>
      <c r="AK105">
        <v>21</v>
      </c>
      <c r="AL105" t="s">
        <v>149</v>
      </c>
      <c r="AM105" t="s">
        <v>150</v>
      </c>
      <c r="AN105" t="s">
        <v>151</v>
      </c>
      <c r="AO105" t="s">
        <v>2326</v>
      </c>
      <c r="AP105" t="s">
        <v>2327</v>
      </c>
      <c r="AQ105" t="s">
        <v>74</v>
      </c>
      <c r="AR105" t="s">
        <v>2328</v>
      </c>
      <c r="AS105" t="s">
        <v>2329</v>
      </c>
      <c r="AT105" t="s">
        <v>428</v>
      </c>
      <c r="AU105">
        <v>2022</v>
      </c>
      <c r="AV105">
        <v>12</v>
      </c>
      <c r="AW105">
        <v>10</v>
      </c>
      <c r="AX105" t="s">
        <v>74</v>
      </c>
      <c r="AY105" t="s">
        <v>74</v>
      </c>
      <c r="AZ105" t="s">
        <v>74</v>
      </c>
      <c r="BA105" t="s">
        <v>74</v>
      </c>
      <c r="BB105">
        <v>910</v>
      </c>
      <c r="BC105" t="s">
        <v>2114</v>
      </c>
      <c r="BD105" t="s">
        <v>74</v>
      </c>
      <c r="BE105" t="s">
        <v>2330</v>
      </c>
      <c r="BF105" t="str">
        <f>HYPERLINK("http://dx.doi.org/10.1038/s41558-022-01478-3","http://dx.doi.org/10.1038/s41558-022-01478-3")</f>
        <v>http://dx.doi.org/10.1038/s41558-022-01478-3</v>
      </c>
      <c r="BG105" t="s">
        <v>74</v>
      </c>
      <c r="BH105" t="s">
        <v>2143</v>
      </c>
      <c r="BI105">
        <v>19</v>
      </c>
      <c r="BJ105" t="s">
        <v>2331</v>
      </c>
      <c r="BK105" t="s">
        <v>2332</v>
      </c>
      <c r="BL105" t="s">
        <v>1130</v>
      </c>
      <c r="BM105" t="s">
        <v>2333</v>
      </c>
      <c r="BN105" t="s">
        <v>74</v>
      </c>
      <c r="BO105" t="s">
        <v>1341</v>
      </c>
      <c r="BP105" t="s">
        <v>74</v>
      </c>
      <c r="BQ105" t="s">
        <v>74</v>
      </c>
      <c r="BR105" t="s">
        <v>103</v>
      </c>
      <c r="BS105" t="s">
        <v>2334</v>
      </c>
      <c r="BT105" t="str">
        <f>HYPERLINK("https%3A%2F%2Fwww.webofscience.com%2Fwos%2Fwoscc%2Ffull-record%2FWOS:000863215100004","View Full Record in Web of Science")</f>
        <v>View Full Record in Web of Science</v>
      </c>
    </row>
    <row r="106" spans="1:72" x14ac:dyDescent="0.15">
      <c r="A106" t="s">
        <v>72</v>
      </c>
      <c r="B106" t="s">
        <v>2335</v>
      </c>
      <c r="C106" t="s">
        <v>74</v>
      </c>
      <c r="D106" t="s">
        <v>74</v>
      </c>
      <c r="E106" t="s">
        <v>74</v>
      </c>
      <c r="F106" t="s">
        <v>2336</v>
      </c>
      <c r="G106" t="s">
        <v>74</v>
      </c>
      <c r="H106" t="s">
        <v>74</v>
      </c>
      <c r="I106" t="s">
        <v>2337</v>
      </c>
      <c r="J106" t="s">
        <v>2314</v>
      </c>
      <c r="K106" t="s">
        <v>74</v>
      </c>
      <c r="L106" t="s">
        <v>74</v>
      </c>
      <c r="M106" t="s">
        <v>78</v>
      </c>
      <c r="N106" t="s">
        <v>79</v>
      </c>
      <c r="O106" t="s">
        <v>74</v>
      </c>
      <c r="P106" t="s">
        <v>74</v>
      </c>
      <c r="Q106" t="s">
        <v>74</v>
      </c>
      <c r="R106" t="s">
        <v>74</v>
      </c>
      <c r="S106" t="s">
        <v>74</v>
      </c>
      <c r="T106" t="s">
        <v>74</v>
      </c>
      <c r="U106" t="s">
        <v>2338</v>
      </c>
      <c r="V106" t="s">
        <v>2339</v>
      </c>
      <c r="W106" t="s">
        <v>2340</v>
      </c>
      <c r="X106" t="s">
        <v>2341</v>
      </c>
      <c r="Y106" t="s">
        <v>2342</v>
      </c>
      <c r="Z106" t="s">
        <v>2343</v>
      </c>
      <c r="AA106" t="s">
        <v>2344</v>
      </c>
      <c r="AB106" t="s">
        <v>2345</v>
      </c>
      <c r="AC106" t="s">
        <v>2346</v>
      </c>
      <c r="AD106" t="s">
        <v>2347</v>
      </c>
      <c r="AE106" t="s">
        <v>2348</v>
      </c>
      <c r="AF106" t="s">
        <v>74</v>
      </c>
      <c r="AG106">
        <v>75</v>
      </c>
      <c r="AH106">
        <v>12</v>
      </c>
      <c r="AI106">
        <v>12</v>
      </c>
      <c r="AJ106">
        <v>3</v>
      </c>
      <c r="AK106">
        <v>18</v>
      </c>
      <c r="AL106" t="s">
        <v>149</v>
      </c>
      <c r="AM106" t="s">
        <v>150</v>
      </c>
      <c r="AN106" t="s">
        <v>151</v>
      </c>
      <c r="AO106" t="s">
        <v>2326</v>
      </c>
      <c r="AP106" t="s">
        <v>2327</v>
      </c>
      <c r="AQ106" t="s">
        <v>74</v>
      </c>
      <c r="AR106" t="s">
        <v>2328</v>
      </c>
      <c r="AS106" t="s">
        <v>2329</v>
      </c>
      <c r="AT106" t="s">
        <v>428</v>
      </c>
      <c r="AU106">
        <v>2022</v>
      </c>
      <c r="AV106">
        <v>12</v>
      </c>
      <c r="AW106">
        <v>10</v>
      </c>
      <c r="AX106" t="s">
        <v>74</v>
      </c>
      <c r="AY106" t="s">
        <v>74</v>
      </c>
      <c r="AZ106" t="s">
        <v>74</v>
      </c>
      <c r="BA106" t="s">
        <v>74</v>
      </c>
      <c r="BB106">
        <v>928</v>
      </c>
      <c r="BC106" t="s">
        <v>2114</v>
      </c>
      <c r="BD106" t="s">
        <v>74</v>
      </c>
      <c r="BE106" t="s">
        <v>2349</v>
      </c>
      <c r="BF106" t="str">
        <f>HYPERLINK("http://dx.doi.org/10.1038/s41558-022-01479-2","http://dx.doi.org/10.1038/s41558-022-01479-2")</f>
        <v>http://dx.doi.org/10.1038/s41558-022-01479-2</v>
      </c>
      <c r="BG106" t="s">
        <v>74</v>
      </c>
      <c r="BH106" t="s">
        <v>2143</v>
      </c>
      <c r="BI106">
        <v>22</v>
      </c>
      <c r="BJ106" t="s">
        <v>2331</v>
      </c>
      <c r="BK106" t="s">
        <v>2332</v>
      </c>
      <c r="BL106" t="s">
        <v>1130</v>
      </c>
      <c r="BM106" t="s">
        <v>2333</v>
      </c>
      <c r="BN106" t="s">
        <v>74</v>
      </c>
      <c r="BO106" t="s">
        <v>2350</v>
      </c>
      <c r="BP106" t="s">
        <v>74</v>
      </c>
      <c r="BQ106" t="s">
        <v>74</v>
      </c>
      <c r="BR106" t="s">
        <v>103</v>
      </c>
      <c r="BS106" t="s">
        <v>2351</v>
      </c>
      <c r="BT106" t="str">
        <f>HYPERLINK("https%3A%2F%2Fwww.webofscience.com%2Fwos%2Fwoscc%2Ffull-record%2FWOS:000863215100001","View Full Record in Web of Science")</f>
        <v>View Full Record in Web of Science</v>
      </c>
    </row>
    <row r="107" spans="1:72" x14ac:dyDescent="0.15">
      <c r="A107" t="s">
        <v>72</v>
      </c>
      <c r="B107" t="s">
        <v>2352</v>
      </c>
      <c r="C107" t="s">
        <v>74</v>
      </c>
      <c r="D107" t="s">
        <v>74</v>
      </c>
      <c r="E107" t="s">
        <v>74</v>
      </c>
      <c r="F107" t="s">
        <v>2353</v>
      </c>
      <c r="G107" t="s">
        <v>74</v>
      </c>
      <c r="H107" t="s">
        <v>74</v>
      </c>
      <c r="I107" t="s">
        <v>2354</v>
      </c>
      <c r="J107" t="s">
        <v>2355</v>
      </c>
      <c r="K107" t="s">
        <v>74</v>
      </c>
      <c r="L107" t="s">
        <v>74</v>
      </c>
      <c r="M107" t="s">
        <v>78</v>
      </c>
      <c r="N107" t="s">
        <v>79</v>
      </c>
      <c r="O107" t="s">
        <v>74</v>
      </c>
      <c r="P107" t="s">
        <v>74</v>
      </c>
      <c r="Q107" t="s">
        <v>74</v>
      </c>
      <c r="R107" t="s">
        <v>74</v>
      </c>
      <c r="S107" t="s">
        <v>74</v>
      </c>
      <c r="T107" t="s">
        <v>2356</v>
      </c>
      <c r="U107" t="s">
        <v>2357</v>
      </c>
      <c r="V107" t="s">
        <v>2358</v>
      </c>
      <c r="W107" t="s">
        <v>2359</v>
      </c>
      <c r="X107" t="s">
        <v>2360</v>
      </c>
      <c r="Y107" t="s">
        <v>2361</v>
      </c>
      <c r="Z107" t="s">
        <v>2362</v>
      </c>
      <c r="AA107" t="s">
        <v>74</v>
      </c>
      <c r="AB107" t="s">
        <v>74</v>
      </c>
      <c r="AC107" t="s">
        <v>2363</v>
      </c>
      <c r="AD107" t="s">
        <v>2364</v>
      </c>
      <c r="AE107" t="s">
        <v>2365</v>
      </c>
      <c r="AF107" t="s">
        <v>74</v>
      </c>
      <c r="AG107">
        <v>82</v>
      </c>
      <c r="AH107">
        <v>1</v>
      </c>
      <c r="AI107">
        <v>1</v>
      </c>
      <c r="AJ107">
        <v>1</v>
      </c>
      <c r="AK107">
        <v>7</v>
      </c>
      <c r="AL107" t="s">
        <v>2366</v>
      </c>
      <c r="AM107" t="s">
        <v>2367</v>
      </c>
      <c r="AN107" t="s">
        <v>2368</v>
      </c>
      <c r="AO107" t="s">
        <v>2369</v>
      </c>
      <c r="AP107" t="s">
        <v>2370</v>
      </c>
      <c r="AQ107" t="s">
        <v>74</v>
      </c>
      <c r="AR107" t="s">
        <v>2355</v>
      </c>
      <c r="AS107" t="s">
        <v>2371</v>
      </c>
      <c r="AT107" t="s">
        <v>396</v>
      </c>
      <c r="AU107">
        <v>2022</v>
      </c>
      <c r="AV107">
        <v>64</v>
      </c>
      <c r="AW107">
        <v>4</v>
      </c>
      <c r="AX107" t="s">
        <v>74</v>
      </c>
      <c r="AY107" t="s">
        <v>74</v>
      </c>
      <c r="AZ107" t="s">
        <v>74</v>
      </c>
      <c r="BA107" t="s">
        <v>74</v>
      </c>
      <c r="BB107">
        <v>675</v>
      </c>
      <c r="BC107">
        <v>693</v>
      </c>
      <c r="BD107" t="s">
        <v>74</v>
      </c>
      <c r="BE107" t="s">
        <v>2372</v>
      </c>
      <c r="BF107" t="str">
        <f>HYPERLINK("http://dx.doi.org/10.1016/j.oceano.2022.06.003","http://dx.doi.org/10.1016/j.oceano.2022.06.003")</f>
        <v>http://dx.doi.org/10.1016/j.oceano.2022.06.003</v>
      </c>
      <c r="BG107" t="s">
        <v>74</v>
      </c>
      <c r="BH107" t="s">
        <v>2143</v>
      </c>
      <c r="BI107">
        <v>19</v>
      </c>
      <c r="BJ107" t="s">
        <v>674</v>
      </c>
      <c r="BK107" t="s">
        <v>100</v>
      </c>
      <c r="BL107" t="s">
        <v>674</v>
      </c>
      <c r="BM107" t="s">
        <v>2373</v>
      </c>
      <c r="BN107" t="s">
        <v>74</v>
      </c>
      <c r="BO107" t="s">
        <v>266</v>
      </c>
      <c r="BP107" t="s">
        <v>74</v>
      </c>
      <c r="BQ107" t="s">
        <v>74</v>
      </c>
      <c r="BR107" t="s">
        <v>103</v>
      </c>
      <c r="BS107" t="s">
        <v>2374</v>
      </c>
      <c r="BT107" t="str">
        <f>HYPERLINK("https%3A%2F%2Fwww.webofscience.com%2Fwos%2Fwoscc%2Ffull-record%2FWOS:000864787800009","View Full Record in Web of Science")</f>
        <v>View Full Record in Web of Science</v>
      </c>
    </row>
    <row r="108" spans="1:72" x14ac:dyDescent="0.15">
      <c r="A108" t="s">
        <v>72</v>
      </c>
      <c r="B108" t="s">
        <v>2375</v>
      </c>
      <c r="C108" t="s">
        <v>74</v>
      </c>
      <c r="D108" t="s">
        <v>74</v>
      </c>
      <c r="E108" t="s">
        <v>74</v>
      </c>
      <c r="F108" t="s">
        <v>2376</v>
      </c>
      <c r="G108" t="s">
        <v>74</v>
      </c>
      <c r="H108" t="s">
        <v>74</v>
      </c>
      <c r="I108" t="s">
        <v>2377</v>
      </c>
      <c r="J108" t="s">
        <v>2378</v>
      </c>
      <c r="K108" t="s">
        <v>74</v>
      </c>
      <c r="L108" t="s">
        <v>74</v>
      </c>
      <c r="M108" t="s">
        <v>78</v>
      </c>
      <c r="N108" t="s">
        <v>79</v>
      </c>
      <c r="O108" t="s">
        <v>74</v>
      </c>
      <c r="P108" t="s">
        <v>74</v>
      </c>
      <c r="Q108" t="s">
        <v>74</v>
      </c>
      <c r="R108" t="s">
        <v>74</v>
      </c>
      <c r="S108" t="s">
        <v>74</v>
      </c>
      <c r="T108" t="s">
        <v>2379</v>
      </c>
      <c r="U108" t="s">
        <v>2380</v>
      </c>
      <c r="V108" t="s">
        <v>2381</v>
      </c>
      <c r="W108" t="s">
        <v>2382</v>
      </c>
      <c r="X108" t="s">
        <v>2383</v>
      </c>
      <c r="Y108" t="s">
        <v>2384</v>
      </c>
      <c r="Z108" t="s">
        <v>2385</v>
      </c>
      <c r="AA108" t="s">
        <v>2386</v>
      </c>
      <c r="AB108" t="s">
        <v>2387</v>
      </c>
      <c r="AC108" t="s">
        <v>2388</v>
      </c>
      <c r="AD108" t="s">
        <v>2389</v>
      </c>
      <c r="AE108" t="s">
        <v>2390</v>
      </c>
      <c r="AF108" t="s">
        <v>74</v>
      </c>
      <c r="AG108">
        <v>53</v>
      </c>
      <c r="AH108">
        <v>1</v>
      </c>
      <c r="AI108">
        <v>1</v>
      </c>
      <c r="AJ108">
        <v>0</v>
      </c>
      <c r="AK108">
        <v>2</v>
      </c>
      <c r="AL108" t="s">
        <v>2391</v>
      </c>
      <c r="AM108" t="s">
        <v>2392</v>
      </c>
      <c r="AN108" t="s">
        <v>2393</v>
      </c>
      <c r="AO108" t="s">
        <v>2394</v>
      </c>
      <c r="AP108" t="s">
        <v>2395</v>
      </c>
      <c r="AQ108" t="s">
        <v>74</v>
      </c>
      <c r="AR108" t="s">
        <v>2396</v>
      </c>
      <c r="AS108" t="s">
        <v>2397</v>
      </c>
      <c r="AT108" t="s">
        <v>325</v>
      </c>
      <c r="AU108">
        <v>2022</v>
      </c>
      <c r="AV108">
        <v>21</v>
      </c>
      <c r="AW108">
        <v>4</v>
      </c>
      <c r="AX108" t="s">
        <v>74</v>
      </c>
      <c r="AY108" t="s">
        <v>74</v>
      </c>
      <c r="AZ108" t="s">
        <v>74</v>
      </c>
      <c r="BA108" t="s">
        <v>74</v>
      </c>
      <c r="BB108">
        <v>553</v>
      </c>
      <c r="BC108">
        <v>567</v>
      </c>
      <c r="BD108" t="s">
        <v>74</v>
      </c>
      <c r="BE108" t="s">
        <v>2398</v>
      </c>
      <c r="BF108" t="str">
        <f>HYPERLINK("http://dx.doi.org/10.1007/s40152-022-00283-0","http://dx.doi.org/10.1007/s40152-022-00283-0")</f>
        <v>http://dx.doi.org/10.1007/s40152-022-00283-0</v>
      </c>
      <c r="BG108" t="s">
        <v>74</v>
      </c>
      <c r="BH108" t="s">
        <v>2143</v>
      </c>
      <c r="BI108">
        <v>15</v>
      </c>
      <c r="BJ108" t="s">
        <v>2399</v>
      </c>
      <c r="BK108" t="s">
        <v>215</v>
      </c>
      <c r="BL108" t="s">
        <v>2041</v>
      </c>
      <c r="BM108" t="s">
        <v>2400</v>
      </c>
      <c r="BN108">
        <v>36193112</v>
      </c>
      <c r="BO108" t="s">
        <v>2401</v>
      </c>
      <c r="BP108" t="s">
        <v>74</v>
      </c>
      <c r="BQ108" t="s">
        <v>74</v>
      </c>
      <c r="BR108" t="s">
        <v>103</v>
      </c>
      <c r="BS108" t="s">
        <v>2402</v>
      </c>
      <c r="BT108" t="str">
        <f>HYPERLINK("https%3A%2F%2Fwww.webofscience.com%2Fwos%2Fwoscc%2Ffull-record%2FWOS:000863123700001","View Full Record in Web of Science")</f>
        <v>View Full Record in Web of Science</v>
      </c>
    </row>
    <row r="109" spans="1:72" x14ac:dyDescent="0.15">
      <c r="A109" t="s">
        <v>72</v>
      </c>
      <c r="B109" t="s">
        <v>2403</v>
      </c>
      <c r="C109" t="s">
        <v>74</v>
      </c>
      <c r="D109" t="s">
        <v>74</v>
      </c>
      <c r="E109" t="s">
        <v>74</v>
      </c>
      <c r="F109" t="s">
        <v>2404</v>
      </c>
      <c r="G109" t="s">
        <v>74</v>
      </c>
      <c r="H109" t="s">
        <v>74</v>
      </c>
      <c r="I109" t="s">
        <v>2405</v>
      </c>
      <c r="J109" t="s">
        <v>2406</v>
      </c>
      <c r="K109" t="s">
        <v>74</v>
      </c>
      <c r="L109" t="s">
        <v>74</v>
      </c>
      <c r="M109" t="s">
        <v>78</v>
      </c>
      <c r="N109" t="s">
        <v>79</v>
      </c>
      <c r="O109" t="s">
        <v>74</v>
      </c>
      <c r="P109" t="s">
        <v>74</v>
      </c>
      <c r="Q109" t="s">
        <v>74</v>
      </c>
      <c r="R109" t="s">
        <v>74</v>
      </c>
      <c r="S109" t="s">
        <v>74</v>
      </c>
      <c r="T109" t="s">
        <v>74</v>
      </c>
      <c r="U109" t="s">
        <v>2407</v>
      </c>
      <c r="V109" t="s">
        <v>2408</v>
      </c>
      <c r="W109" t="s">
        <v>2409</v>
      </c>
      <c r="X109" t="s">
        <v>2410</v>
      </c>
      <c r="Y109" t="s">
        <v>2411</v>
      </c>
      <c r="Z109" t="s">
        <v>2412</v>
      </c>
      <c r="AA109" t="s">
        <v>2413</v>
      </c>
      <c r="AB109" t="s">
        <v>74</v>
      </c>
      <c r="AC109" t="s">
        <v>74</v>
      </c>
      <c r="AD109" t="s">
        <v>74</v>
      </c>
      <c r="AE109" t="s">
        <v>74</v>
      </c>
      <c r="AF109" t="s">
        <v>74</v>
      </c>
      <c r="AG109">
        <v>38</v>
      </c>
      <c r="AH109">
        <v>0</v>
      </c>
      <c r="AI109">
        <v>0</v>
      </c>
      <c r="AJ109">
        <v>0</v>
      </c>
      <c r="AK109">
        <v>2</v>
      </c>
      <c r="AL109" t="s">
        <v>178</v>
      </c>
      <c r="AM109" t="s">
        <v>450</v>
      </c>
      <c r="AN109" t="s">
        <v>668</v>
      </c>
      <c r="AO109" t="s">
        <v>2414</v>
      </c>
      <c r="AP109" t="s">
        <v>2415</v>
      </c>
      <c r="AQ109" t="s">
        <v>74</v>
      </c>
      <c r="AR109" t="s">
        <v>2416</v>
      </c>
      <c r="AS109" t="s">
        <v>2417</v>
      </c>
      <c r="AT109" t="s">
        <v>2418</v>
      </c>
      <c r="AU109">
        <v>2022</v>
      </c>
      <c r="AV109">
        <v>64</v>
      </c>
      <c r="AW109">
        <v>11</v>
      </c>
      <c r="AX109" t="s">
        <v>74</v>
      </c>
      <c r="AY109" t="s">
        <v>74</v>
      </c>
      <c r="AZ109" t="s">
        <v>74</v>
      </c>
      <c r="BA109" t="s">
        <v>74</v>
      </c>
      <c r="BB109">
        <v>761</v>
      </c>
      <c r="BC109">
        <v>779</v>
      </c>
      <c r="BD109" t="s">
        <v>74</v>
      </c>
      <c r="BE109" t="s">
        <v>2419</v>
      </c>
      <c r="BF109" t="str">
        <f>HYPERLINK("http://dx.doi.org/10.1007/s11141-022-10177-0","http://dx.doi.org/10.1007/s11141-022-10177-0")</f>
        <v>http://dx.doi.org/10.1007/s11141-022-10177-0</v>
      </c>
      <c r="BG109" t="s">
        <v>74</v>
      </c>
      <c r="BH109" t="s">
        <v>2143</v>
      </c>
      <c r="BI109">
        <v>19</v>
      </c>
      <c r="BJ109" t="s">
        <v>2420</v>
      </c>
      <c r="BK109" t="s">
        <v>100</v>
      </c>
      <c r="BL109" t="s">
        <v>2421</v>
      </c>
      <c r="BM109" t="s">
        <v>2422</v>
      </c>
      <c r="BN109" t="s">
        <v>74</v>
      </c>
      <c r="BO109" t="s">
        <v>74</v>
      </c>
      <c r="BP109" t="s">
        <v>74</v>
      </c>
      <c r="BQ109" t="s">
        <v>74</v>
      </c>
      <c r="BR109" t="s">
        <v>103</v>
      </c>
      <c r="BS109" t="s">
        <v>2423</v>
      </c>
      <c r="BT109" t="str">
        <f>HYPERLINK("https%3A%2F%2Fwww.webofscience.com%2Fwos%2Fwoscc%2Ffull-record%2FWOS:000863176500001","View Full Record in Web of Science")</f>
        <v>View Full Record in Web of Science</v>
      </c>
    </row>
    <row r="110" spans="1:72" x14ac:dyDescent="0.15">
      <c r="A110" t="s">
        <v>72</v>
      </c>
      <c r="B110" t="s">
        <v>2424</v>
      </c>
      <c r="C110" t="s">
        <v>74</v>
      </c>
      <c r="D110" t="s">
        <v>74</v>
      </c>
      <c r="E110" t="s">
        <v>74</v>
      </c>
      <c r="F110" t="s">
        <v>2425</v>
      </c>
      <c r="G110" t="s">
        <v>74</v>
      </c>
      <c r="H110" t="s">
        <v>74</v>
      </c>
      <c r="I110" t="s">
        <v>2426</v>
      </c>
      <c r="J110" t="s">
        <v>2427</v>
      </c>
      <c r="K110" t="s">
        <v>74</v>
      </c>
      <c r="L110" t="s">
        <v>74</v>
      </c>
      <c r="M110" t="s">
        <v>78</v>
      </c>
      <c r="N110" t="s">
        <v>1346</v>
      </c>
      <c r="O110" t="s">
        <v>74</v>
      </c>
      <c r="P110" t="s">
        <v>74</v>
      </c>
      <c r="Q110" t="s">
        <v>74</v>
      </c>
      <c r="R110" t="s">
        <v>74</v>
      </c>
      <c r="S110" t="s">
        <v>74</v>
      </c>
      <c r="T110" t="s">
        <v>2428</v>
      </c>
      <c r="U110" t="s">
        <v>74</v>
      </c>
      <c r="V110" t="s">
        <v>2429</v>
      </c>
      <c r="W110" t="s">
        <v>2430</v>
      </c>
      <c r="X110" t="s">
        <v>2431</v>
      </c>
      <c r="Y110" t="s">
        <v>2432</v>
      </c>
      <c r="Z110" t="s">
        <v>2433</v>
      </c>
      <c r="AA110" t="s">
        <v>74</v>
      </c>
      <c r="AB110" t="s">
        <v>2434</v>
      </c>
      <c r="AC110" t="s">
        <v>74</v>
      </c>
      <c r="AD110" t="s">
        <v>74</v>
      </c>
      <c r="AE110" t="s">
        <v>74</v>
      </c>
      <c r="AF110" t="s">
        <v>74</v>
      </c>
      <c r="AG110">
        <v>22</v>
      </c>
      <c r="AH110">
        <v>1</v>
      </c>
      <c r="AI110">
        <v>1</v>
      </c>
      <c r="AJ110">
        <v>1</v>
      </c>
      <c r="AK110">
        <v>8</v>
      </c>
      <c r="AL110" t="s">
        <v>345</v>
      </c>
      <c r="AM110" t="s">
        <v>450</v>
      </c>
      <c r="AN110" t="s">
        <v>821</v>
      </c>
      <c r="AO110" t="s">
        <v>2435</v>
      </c>
      <c r="AP110" t="s">
        <v>2436</v>
      </c>
      <c r="AQ110" t="s">
        <v>74</v>
      </c>
      <c r="AR110" t="s">
        <v>2437</v>
      </c>
      <c r="AS110" t="s">
        <v>2438</v>
      </c>
      <c r="AT110" t="s">
        <v>2439</v>
      </c>
      <c r="AU110">
        <v>2022</v>
      </c>
      <c r="AV110">
        <v>58</v>
      </c>
      <c r="AW110" t="s">
        <v>74</v>
      </c>
      <c r="AX110" t="s">
        <v>74</v>
      </c>
      <c r="AY110" t="s">
        <v>74</v>
      </c>
      <c r="AZ110" t="s">
        <v>74</v>
      </c>
      <c r="BA110" t="s">
        <v>74</v>
      </c>
      <c r="BB110" t="s">
        <v>74</v>
      </c>
      <c r="BC110" t="s">
        <v>74</v>
      </c>
      <c r="BD110" t="s">
        <v>2440</v>
      </c>
      <c r="BE110" t="s">
        <v>2441</v>
      </c>
      <c r="BF110" t="str">
        <f>HYPERLINK("http://dx.doi.org/10.1017/S003224742100070X","http://dx.doi.org/10.1017/S003224742100070X")</f>
        <v>http://dx.doi.org/10.1017/S003224742100070X</v>
      </c>
      <c r="BG110" t="s">
        <v>74</v>
      </c>
      <c r="BH110" t="s">
        <v>74</v>
      </c>
      <c r="BI110">
        <v>5</v>
      </c>
      <c r="BJ110" t="s">
        <v>2442</v>
      </c>
      <c r="BK110" t="s">
        <v>100</v>
      </c>
      <c r="BL110" t="s">
        <v>2041</v>
      </c>
      <c r="BM110" t="s">
        <v>2443</v>
      </c>
      <c r="BN110" t="s">
        <v>74</v>
      </c>
      <c r="BO110" t="s">
        <v>74</v>
      </c>
      <c r="BP110" t="s">
        <v>74</v>
      </c>
      <c r="BQ110" t="s">
        <v>74</v>
      </c>
      <c r="BR110" t="s">
        <v>103</v>
      </c>
      <c r="BS110" t="s">
        <v>2444</v>
      </c>
      <c r="BT110" t="str">
        <f>HYPERLINK("https%3A%2F%2Fwww.webofscience.com%2Fwos%2Fwoscc%2Ffull-record%2FWOS:000861454300001","View Full Record in Web of Science")</f>
        <v>View Full Record in Web of Science</v>
      </c>
    </row>
    <row r="111" spans="1:72" x14ac:dyDescent="0.15">
      <c r="A111" t="s">
        <v>72</v>
      </c>
      <c r="B111" t="s">
        <v>2445</v>
      </c>
      <c r="C111" t="s">
        <v>74</v>
      </c>
      <c r="D111" t="s">
        <v>74</v>
      </c>
      <c r="E111" t="s">
        <v>74</v>
      </c>
      <c r="F111" t="s">
        <v>2446</v>
      </c>
      <c r="G111" t="s">
        <v>74</v>
      </c>
      <c r="H111" t="s">
        <v>74</v>
      </c>
      <c r="I111" t="s">
        <v>2447</v>
      </c>
      <c r="J111" t="s">
        <v>2448</v>
      </c>
      <c r="K111" t="s">
        <v>74</v>
      </c>
      <c r="L111" t="s">
        <v>74</v>
      </c>
      <c r="M111" t="s">
        <v>78</v>
      </c>
      <c r="N111" t="s">
        <v>79</v>
      </c>
      <c r="O111" t="s">
        <v>74</v>
      </c>
      <c r="P111" t="s">
        <v>74</v>
      </c>
      <c r="Q111" t="s">
        <v>74</v>
      </c>
      <c r="R111" t="s">
        <v>74</v>
      </c>
      <c r="S111" t="s">
        <v>74</v>
      </c>
      <c r="T111" t="s">
        <v>74</v>
      </c>
      <c r="U111" t="s">
        <v>2449</v>
      </c>
      <c r="V111" t="s">
        <v>2450</v>
      </c>
      <c r="W111" t="s">
        <v>2451</v>
      </c>
      <c r="X111" t="s">
        <v>2452</v>
      </c>
      <c r="Y111" t="s">
        <v>2453</v>
      </c>
      <c r="Z111" t="s">
        <v>2454</v>
      </c>
      <c r="AA111" t="s">
        <v>2455</v>
      </c>
      <c r="AB111" t="s">
        <v>2456</v>
      </c>
      <c r="AC111" t="s">
        <v>2457</v>
      </c>
      <c r="AD111" t="s">
        <v>2458</v>
      </c>
      <c r="AE111" t="s">
        <v>2459</v>
      </c>
      <c r="AF111" t="s">
        <v>74</v>
      </c>
      <c r="AG111">
        <v>100</v>
      </c>
      <c r="AH111">
        <v>2</v>
      </c>
      <c r="AI111">
        <v>2</v>
      </c>
      <c r="AJ111">
        <v>8</v>
      </c>
      <c r="AK111">
        <v>26</v>
      </c>
      <c r="AL111" t="s">
        <v>2460</v>
      </c>
      <c r="AM111" t="s">
        <v>2461</v>
      </c>
      <c r="AN111" t="s">
        <v>2462</v>
      </c>
      <c r="AO111" t="s">
        <v>2463</v>
      </c>
      <c r="AP111" t="s">
        <v>2464</v>
      </c>
      <c r="AQ111" t="s">
        <v>74</v>
      </c>
      <c r="AR111" t="s">
        <v>2448</v>
      </c>
      <c r="AS111" t="s">
        <v>2465</v>
      </c>
      <c r="AT111" t="s">
        <v>2439</v>
      </c>
      <c r="AU111">
        <v>2022</v>
      </c>
      <c r="AV111">
        <v>19</v>
      </c>
      <c r="AW111">
        <v>18</v>
      </c>
      <c r="AX111" t="s">
        <v>74</v>
      </c>
      <c r="AY111" t="s">
        <v>74</v>
      </c>
      <c r="AZ111" t="s">
        <v>74</v>
      </c>
      <c r="BA111" t="s">
        <v>74</v>
      </c>
      <c r="BB111">
        <v>4639</v>
      </c>
      <c r="BC111">
        <v>4654</v>
      </c>
      <c r="BD111" t="s">
        <v>74</v>
      </c>
      <c r="BE111" t="s">
        <v>2466</v>
      </c>
      <c r="BF111" t="str">
        <f>HYPERLINK("http://dx.doi.org/10.5194/bg-19-4639-2022","http://dx.doi.org/10.5194/bg-19-4639-2022")</f>
        <v>http://dx.doi.org/10.5194/bg-19-4639-2022</v>
      </c>
      <c r="BG111" t="s">
        <v>74</v>
      </c>
      <c r="BH111" t="s">
        <v>74</v>
      </c>
      <c r="BI111">
        <v>16</v>
      </c>
      <c r="BJ111" t="s">
        <v>2467</v>
      </c>
      <c r="BK111" t="s">
        <v>100</v>
      </c>
      <c r="BL111" t="s">
        <v>1219</v>
      </c>
      <c r="BM111" t="s">
        <v>2468</v>
      </c>
      <c r="BN111" t="s">
        <v>74</v>
      </c>
      <c r="BO111" t="s">
        <v>1195</v>
      </c>
      <c r="BP111" t="s">
        <v>74</v>
      </c>
      <c r="BQ111" t="s">
        <v>74</v>
      </c>
      <c r="BR111" t="s">
        <v>103</v>
      </c>
      <c r="BS111" t="s">
        <v>2469</v>
      </c>
      <c r="BT111" t="str">
        <f>HYPERLINK("https%3A%2F%2Fwww.webofscience.com%2Fwos%2Fwoscc%2Ffull-record%2FWOS:000861475000001","View Full Record in Web of Science")</f>
        <v>View Full Record in Web of Science</v>
      </c>
    </row>
    <row r="112" spans="1:72" x14ac:dyDescent="0.15">
      <c r="A112" t="s">
        <v>72</v>
      </c>
      <c r="B112" t="s">
        <v>2470</v>
      </c>
      <c r="C112" t="s">
        <v>74</v>
      </c>
      <c r="D112" t="s">
        <v>74</v>
      </c>
      <c r="E112" t="s">
        <v>74</v>
      </c>
      <c r="F112" t="s">
        <v>2471</v>
      </c>
      <c r="G112" t="s">
        <v>74</v>
      </c>
      <c r="H112" t="s">
        <v>74</v>
      </c>
      <c r="I112" t="s">
        <v>2472</v>
      </c>
      <c r="J112" t="s">
        <v>2473</v>
      </c>
      <c r="K112" t="s">
        <v>74</v>
      </c>
      <c r="L112" t="s">
        <v>74</v>
      </c>
      <c r="M112" t="s">
        <v>78</v>
      </c>
      <c r="N112" t="s">
        <v>79</v>
      </c>
      <c r="O112" t="s">
        <v>74</v>
      </c>
      <c r="P112" t="s">
        <v>74</v>
      </c>
      <c r="Q112" t="s">
        <v>74</v>
      </c>
      <c r="R112" t="s">
        <v>74</v>
      </c>
      <c r="S112" t="s">
        <v>74</v>
      </c>
      <c r="T112" t="s">
        <v>74</v>
      </c>
      <c r="U112" t="s">
        <v>2474</v>
      </c>
      <c r="V112" t="s">
        <v>2475</v>
      </c>
      <c r="W112" t="s">
        <v>2476</v>
      </c>
      <c r="X112" t="s">
        <v>2477</v>
      </c>
      <c r="Y112" t="s">
        <v>2478</v>
      </c>
      <c r="Z112" t="s">
        <v>2479</v>
      </c>
      <c r="AA112" t="s">
        <v>2480</v>
      </c>
      <c r="AB112" t="s">
        <v>2481</v>
      </c>
      <c r="AC112" t="s">
        <v>2482</v>
      </c>
      <c r="AD112" t="s">
        <v>2483</v>
      </c>
      <c r="AE112" t="s">
        <v>2484</v>
      </c>
      <c r="AF112" t="s">
        <v>74</v>
      </c>
      <c r="AG112">
        <v>52</v>
      </c>
      <c r="AH112">
        <v>2</v>
      </c>
      <c r="AI112">
        <v>2</v>
      </c>
      <c r="AJ112">
        <v>4</v>
      </c>
      <c r="AK112">
        <v>7</v>
      </c>
      <c r="AL112" t="s">
        <v>2460</v>
      </c>
      <c r="AM112" t="s">
        <v>2461</v>
      </c>
      <c r="AN112" t="s">
        <v>2462</v>
      </c>
      <c r="AO112" t="s">
        <v>2485</v>
      </c>
      <c r="AP112" t="s">
        <v>2486</v>
      </c>
      <c r="AQ112" t="s">
        <v>74</v>
      </c>
      <c r="AR112" t="s">
        <v>2473</v>
      </c>
      <c r="AS112" t="s">
        <v>2487</v>
      </c>
      <c r="AT112" t="s">
        <v>2439</v>
      </c>
      <c r="AU112">
        <v>2022</v>
      </c>
      <c r="AV112">
        <v>16</v>
      </c>
      <c r="AW112">
        <v>9</v>
      </c>
      <c r="AX112" t="s">
        <v>74</v>
      </c>
      <c r="AY112" t="s">
        <v>74</v>
      </c>
      <c r="AZ112" t="s">
        <v>74</v>
      </c>
      <c r="BA112" t="s">
        <v>74</v>
      </c>
      <c r="BB112">
        <v>3889</v>
      </c>
      <c r="BC112">
        <v>3905</v>
      </c>
      <c r="BD112" t="s">
        <v>74</v>
      </c>
      <c r="BE112" t="s">
        <v>2488</v>
      </c>
      <c r="BF112" t="str">
        <f>HYPERLINK("http://dx.doi.org/10.5194/tc-16-3889-2022","http://dx.doi.org/10.5194/tc-16-3889-2022")</f>
        <v>http://dx.doi.org/10.5194/tc-16-3889-2022</v>
      </c>
      <c r="BG112" t="s">
        <v>74</v>
      </c>
      <c r="BH112" t="s">
        <v>74</v>
      </c>
      <c r="BI112">
        <v>17</v>
      </c>
      <c r="BJ112" t="s">
        <v>354</v>
      </c>
      <c r="BK112" t="s">
        <v>100</v>
      </c>
      <c r="BL112" t="s">
        <v>241</v>
      </c>
      <c r="BM112" t="s">
        <v>2489</v>
      </c>
      <c r="BN112" t="s">
        <v>74</v>
      </c>
      <c r="BO112" t="s">
        <v>483</v>
      </c>
      <c r="BP112" t="s">
        <v>74</v>
      </c>
      <c r="BQ112" t="s">
        <v>74</v>
      </c>
      <c r="BR112" t="s">
        <v>103</v>
      </c>
      <c r="BS112" t="s">
        <v>2490</v>
      </c>
      <c r="BT112" t="str">
        <f>HYPERLINK("https%3A%2F%2Fwww.webofscience.com%2Fwos%2Fwoscc%2Ffull-record%2FWOS:000861475400001","View Full Record in Web of Science")</f>
        <v>View Full Record in Web of Science</v>
      </c>
    </row>
    <row r="113" spans="1:72" x14ac:dyDescent="0.15">
      <c r="A113" t="s">
        <v>72</v>
      </c>
      <c r="B113" t="s">
        <v>2491</v>
      </c>
      <c r="C113" t="s">
        <v>74</v>
      </c>
      <c r="D113" t="s">
        <v>74</v>
      </c>
      <c r="E113" t="s">
        <v>74</v>
      </c>
      <c r="F113" t="s">
        <v>2492</v>
      </c>
      <c r="G113" t="s">
        <v>74</v>
      </c>
      <c r="H113" t="s">
        <v>74</v>
      </c>
      <c r="I113" t="s">
        <v>2493</v>
      </c>
      <c r="J113" t="s">
        <v>2494</v>
      </c>
      <c r="K113" t="s">
        <v>74</v>
      </c>
      <c r="L113" t="s">
        <v>74</v>
      </c>
      <c r="M113" t="s">
        <v>78</v>
      </c>
      <c r="N113" t="s">
        <v>79</v>
      </c>
      <c r="O113" t="s">
        <v>74</v>
      </c>
      <c r="P113" t="s">
        <v>74</v>
      </c>
      <c r="Q113" t="s">
        <v>74</v>
      </c>
      <c r="R113" t="s">
        <v>74</v>
      </c>
      <c r="S113" t="s">
        <v>74</v>
      </c>
      <c r="T113" t="s">
        <v>2495</v>
      </c>
      <c r="U113" t="s">
        <v>2496</v>
      </c>
      <c r="V113" t="s">
        <v>2497</v>
      </c>
      <c r="W113" t="s">
        <v>2498</v>
      </c>
      <c r="X113" t="s">
        <v>2499</v>
      </c>
      <c r="Y113" t="s">
        <v>2500</v>
      </c>
      <c r="Z113" t="s">
        <v>2501</v>
      </c>
      <c r="AA113" t="s">
        <v>2502</v>
      </c>
      <c r="AB113" t="s">
        <v>2503</v>
      </c>
      <c r="AC113" t="s">
        <v>2504</v>
      </c>
      <c r="AD113" t="s">
        <v>2505</v>
      </c>
      <c r="AE113" t="s">
        <v>2506</v>
      </c>
      <c r="AF113" t="s">
        <v>74</v>
      </c>
      <c r="AG113">
        <v>100</v>
      </c>
      <c r="AH113">
        <v>1</v>
      </c>
      <c r="AI113">
        <v>1</v>
      </c>
      <c r="AJ113">
        <v>3</v>
      </c>
      <c r="AK113">
        <v>16</v>
      </c>
      <c r="AL113" t="s">
        <v>231</v>
      </c>
      <c r="AM113" t="s">
        <v>232</v>
      </c>
      <c r="AN113" t="s">
        <v>233</v>
      </c>
      <c r="AO113" t="s">
        <v>2507</v>
      </c>
      <c r="AP113" t="s">
        <v>2508</v>
      </c>
      <c r="AQ113" t="s">
        <v>74</v>
      </c>
      <c r="AR113" t="s">
        <v>2494</v>
      </c>
      <c r="AS113" t="s">
        <v>2509</v>
      </c>
      <c r="AT113" t="s">
        <v>238</v>
      </c>
      <c r="AU113">
        <v>2023</v>
      </c>
      <c r="AV113">
        <v>70</v>
      </c>
      <c r="AW113">
        <v>1</v>
      </c>
      <c r="AX113" t="s">
        <v>74</v>
      </c>
      <c r="AY113" t="s">
        <v>74</v>
      </c>
      <c r="AZ113" t="s">
        <v>74</v>
      </c>
      <c r="BA113" t="s">
        <v>74</v>
      </c>
      <c r="BB113">
        <v>235</v>
      </c>
      <c r="BC113">
        <v>258</v>
      </c>
      <c r="BD113" t="s">
        <v>74</v>
      </c>
      <c r="BE113" t="s">
        <v>2510</v>
      </c>
      <c r="BF113" t="str">
        <f>HYPERLINK("http://dx.doi.org/10.1111/sed.13037","http://dx.doi.org/10.1111/sed.13037")</f>
        <v>http://dx.doi.org/10.1111/sed.13037</v>
      </c>
      <c r="BG113" t="s">
        <v>74</v>
      </c>
      <c r="BH113" t="s">
        <v>2143</v>
      </c>
      <c r="BI113">
        <v>24</v>
      </c>
      <c r="BJ113" t="s">
        <v>130</v>
      </c>
      <c r="BK113" t="s">
        <v>100</v>
      </c>
      <c r="BL113" t="s">
        <v>130</v>
      </c>
      <c r="BM113" t="s">
        <v>2511</v>
      </c>
      <c r="BN113" t="s">
        <v>74</v>
      </c>
      <c r="BO113" t="s">
        <v>2512</v>
      </c>
      <c r="BP113" t="s">
        <v>74</v>
      </c>
      <c r="BQ113" t="s">
        <v>74</v>
      </c>
      <c r="BR113" t="s">
        <v>103</v>
      </c>
      <c r="BS113" t="s">
        <v>2513</v>
      </c>
      <c r="BT113" t="str">
        <f>HYPERLINK("https%3A%2F%2Fwww.webofscience.com%2Fwos%2Fwoscc%2Ffull-record%2FWOS:000861641200001","View Full Record in Web of Science")</f>
        <v>View Full Record in Web of Science</v>
      </c>
    </row>
    <row r="114" spans="1:72" x14ac:dyDescent="0.15">
      <c r="A114" t="s">
        <v>72</v>
      </c>
      <c r="B114" t="s">
        <v>2514</v>
      </c>
      <c r="C114" t="s">
        <v>74</v>
      </c>
      <c r="D114" t="s">
        <v>74</v>
      </c>
      <c r="E114" t="s">
        <v>74</v>
      </c>
      <c r="F114" t="s">
        <v>2515</v>
      </c>
      <c r="G114" t="s">
        <v>74</v>
      </c>
      <c r="H114" t="s">
        <v>74</v>
      </c>
      <c r="I114" t="s">
        <v>2516</v>
      </c>
      <c r="J114" t="s">
        <v>2427</v>
      </c>
      <c r="K114" t="s">
        <v>74</v>
      </c>
      <c r="L114" t="s">
        <v>74</v>
      </c>
      <c r="M114" t="s">
        <v>78</v>
      </c>
      <c r="N114" t="s">
        <v>79</v>
      </c>
      <c r="O114" t="s">
        <v>74</v>
      </c>
      <c r="P114" t="s">
        <v>74</v>
      </c>
      <c r="Q114" t="s">
        <v>74</v>
      </c>
      <c r="R114" t="s">
        <v>74</v>
      </c>
      <c r="S114" t="s">
        <v>74</v>
      </c>
      <c r="T114" t="s">
        <v>2517</v>
      </c>
      <c r="U114" t="s">
        <v>74</v>
      </c>
      <c r="V114" t="s">
        <v>2518</v>
      </c>
      <c r="W114" t="s">
        <v>2519</v>
      </c>
      <c r="X114" t="s">
        <v>2520</v>
      </c>
      <c r="Y114" t="s">
        <v>2521</v>
      </c>
      <c r="Z114" t="s">
        <v>2522</v>
      </c>
      <c r="AA114" t="s">
        <v>74</v>
      </c>
      <c r="AB114" t="s">
        <v>74</v>
      </c>
      <c r="AC114" t="s">
        <v>74</v>
      </c>
      <c r="AD114" t="s">
        <v>74</v>
      </c>
      <c r="AE114" t="s">
        <v>74</v>
      </c>
      <c r="AF114" t="s">
        <v>74</v>
      </c>
      <c r="AG114">
        <v>3</v>
      </c>
      <c r="AH114">
        <v>0</v>
      </c>
      <c r="AI114">
        <v>0</v>
      </c>
      <c r="AJ114">
        <v>0</v>
      </c>
      <c r="AK114">
        <v>0</v>
      </c>
      <c r="AL114" t="s">
        <v>345</v>
      </c>
      <c r="AM114" t="s">
        <v>450</v>
      </c>
      <c r="AN114" t="s">
        <v>821</v>
      </c>
      <c r="AO114" t="s">
        <v>2435</v>
      </c>
      <c r="AP114" t="s">
        <v>2436</v>
      </c>
      <c r="AQ114" t="s">
        <v>74</v>
      </c>
      <c r="AR114" t="s">
        <v>2437</v>
      </c>
      <c r="AS114" t="s">
        <v>2438</v>
      </c>
      <c r="AT114" t="s">
        <v>2523</v>
      </c>
      <c r="AU114">
        <v>2022</v>
      </c>
      <c r="AV114">
        <v>58</v>
      </c>
      <c r="AW114" t="s">
        <v>74</v>
      </c>
      <c r="AX114" t="s">
        <v>74</v>
      </c>
      <c r="AY114" t="s">
        <v>74</v>
      </c>
      <c r="AZ114" t="s">
        <v>74</v>
      </c>
      <c r="BA114" t="s">
        <v>74</v>
      </c>
      <c r="BB114" t="s">
        <v>74</v>
      </c>
      <c r="BC114" t="s">
        <v>74</v>
      </c>
      <c r="BD114" t="s">
        <v>2524</v>
      </c>
      <c r="BE114" t="s">
        <v>2525</v>
      </c>
      <c r="BF114" t="str">
        <f>HYPERLINK("http://dx.doi.org/10.1017/S0032247422000250","http://dx.doi.org/10.1017/S0032247422000250")</f>
        <v>http://dx.doi.org/10.1017/S0032247422000250</v>
      </c>
      <c r="BG114" t="s">
        <v>74</v>
      </c>
      <c r="BH114" t="s">
        <v>74</v>
      </c>
      <c r="BI114">
        <v>6</v>
      </c>
      <c r="BJ114" t="s">
        <v>2442</v>
      </c>
      <c r="BK114" t="s">
        <v>100</v>
      </c>
      <c r="BL114" t="s">
        <v>2041</v>
      </c>
      <c r="BM114" t="s">
        <v>2526</v>
      </c>
      <c r="BN114" t="s">
        <v>74</v>
      </c>
      <c r="BO114" t="s">
        <v>74</v>
      </c>
      <c r="BP114" t="s">
        <v>74</v>
      </c>
      <c r="BQ114" t="s">
        <v>74</v>
      </c>
      <c r="BR114" t="s">
        <v>103</v>
      </c>
      <c r="BS114" t="s">
        <v>2527</v>
      </c>
      <c r="BT114" t="str">
        <f>HYPERLINK("https%3A%2F%2Fwww.webofscience.com%2Fwos%2Fwoscc%2Ffull-record%2FWOS:000888625700001","View Full Record in Web of Science")</f>
        <v>View Full Record in Web of Science</v>
      </c>
    </row>
    <row r="115" spans="1:72" x14ac:dyDescent="0.15">
      <c r="A115" t="s">
        <v>72</v>
      </c>
      <c r="B115" t="s">
        <v>2528</v>
      </c>
      <c r="C115" t="s">
        <v>74</v>
      </c>
      <c r="D115" t="s">
        <v>74</v>
      </c>
      <c r="E115" t="s">
        <v>74</v>
      </c>
      <c r="F115" t="s">
        <v>2529</v>
      </c>
      <c r="G115" t="s">
        <v>74</v>
      </c>
      <c r="H115" t="s">
        <v>74</v>
      </c>
      <c r="I115" t="s">
        <v>2530</v>
      </c>
      <c r="J115" t="s">
        <v>2531</v>
      </c>
      <c r="K115" t="s">
        <v>74</v>
      </c>
      <c r="L115" t="s">
        <v>74</v>
      </c>
      <c r="M115" t="s">
        <v>78</v>
      </c>
      <c r="N115" t="s">
        <v>1346</v>
      </c>
      <c r="O115" t="s">
        <v>74</v>
      </c>
      <c r="P115" t="s">
        <v>74</v>
      </c>
      <c r="Q115" t="s">
        <v>74</v>
      </c>
      <c r="R115" t="s">
        <v>74</v>
      </c>
      <c r="S115" t="s">
        <v>74</v>
      </c>
      <c r="T115" t="s">
        <v>74</v>
      </c>
      <c r="U115" t="s">
        <v>2532</v>
      </c>
      <c r="V115" t="s">
        <v>74</v>
      </c>
      <c r="W115" t="s">
        <v>2533</v>
      </c>
      <c r="X115" t="s">
        <v>2534</v>
      </c>
      <c r="Y115" t="s">
        <v>2535</v>
      </c>
      <c r="Z115" t="s">
        <v>2536</v>
      </c>
      <c r="AA115" t="s">
        <v>2537</v>
      </c>
      <c r="AB115" t="s">
        <v>2538</v>
      </c>
      <c r="AC115" t="s">
        <v>74</v>
      </c>
      <c r="AD115" t="s">
        <v>74</v>
      </c>
      <c r="AE115" t="s">
        <v>74</v>
      </c>
      <c r="AF115" t="s">
        <v>74</v>
      </c>
      <c r="AG115">
        <v>74</v>
      </c>
      <c r="AH115">
        <v>7</v>
      </c>
      <c r="AI115">
        <v>7</v>
      </c>
      <c r="AJ115">
        <v>8</v>
      </c>
      <c r="AK115">
        <v>27</v>
      </c>
      <c r="AL115" t="s">
        <v>501</v>
      </c>
      <c r="AM115" t="s">
        <v>502</v>
      </c>
      <c r="AN115" t="s">
        <v>503</v>
      </c>
      <c r="AO115" t="s">
        <v>2539</v>
      </c>
      <c r="AP115" t="s">
        <v>2540</v>
      </c>
      <c r="AQ115" t="s">
        <v>74</v>
      </c>
      <c r="AR115" t="s">
        <v>2541</v>
      </c>
      <c r="AS115" t="s">
        <v>2542</v>
      </c>
      <c r="AT115" t="s">
        <v>325</v>
      </c>
      <c r="AU115">
        <v>2022</v>
      </c>
      <c r="AV115">
        <v>185</v>
      </c>
      <c r="AW115" t="s">
        <v>74</v>
      </c>
      <c r="AX115" t="s">
        <v>74</v>
      </c>
      <c r="AY115" t="s">
        <v>74</v>
      </c>
      <c r="AZ115" t="s">
        <v>74</v>
      </c>
      <c r="BA115" t="s">
        <v>74</v>
      </c>
      <c r="BB115" t="s">
        <v>74</v>
      </c>
      <c r="BC115" t="s">
        <v>74</v>
      </c>
      <c r="BD115">
        <v>958184</v>
      </c>
      <c r="BE115" t="s">
        <v>2543</v>
      </c>
      <c r="BF115" t="str">
        <f>HYPERLINK("http://dx.doi.org/10.1016/j.ecoleng.2022.106798","http://dx.doi.org/10.1016/j.ecoleng.2022.106798")</f>
        <v>http://dx.doi.org/10.1016/j.ecoleng.2022.106798</v>
      </c>
      <c r="BG115" t="s">
        <v>74</v>
      </c>
      <c r="BH115" t="s">
        <v>2143</v>
      </c>
      <c r="BI115">
        <v>6</v>
      </c>
      <c r="BJ115" t="s">
        <v>2544</v>
      </c>
      <c r="BK115" t="s">
        <v>100</v>
      </c>
      <c r="BL115" t="s">
        <v>2545</v>
      </c>
      <c r="BM115" t="s">
        <v>2546</v>
      </c>
      <c r="BN115" t="s">
        <v>74</v>
      </c>
      <c r="BO115" t="s">
        <v>74</v>
      </c>
      <c r="BP115" t="s">
        <v>74</v>
      </c>
      <c r="BQ115" t="s">
        <v>74</v>
      </c>
      <c r="BR115" t="s">
        <v>103</v>
      </c>
      <c r="BS115" t="s">
        <v>2547</v>
      </c>
      <c r="BT115" t="str">
        <f>HYPERLINK("https%3A%2F%2Fwww.webofscience.com%2Fwos%2Fwoscc%2Ffull-record%2FWOS:000864677500002","View Full Record in Web of Science")</f>
        <v>View Full Record in Web of Science</v>
      </c>
    </row>
    <row r="116" spans="1:72" x14ac:dyDescent="0.15">
      <c r="A116" t="s">
        <v>72</v>
      </c>
      <c r="B116" t="s">
        <v>2548</v>
      </c>
      <c r="C116" t="s">
        <v>74</v>
      </c>
      <c r="D116" t="s">
        <v>74</v>
      </c>
      <c r="E116" t="s">
        <v>74</v>
      </c>
      <c r="F116" t="s">
        <v>2549</v>
      </c>
      <c r="G116" t="s">
        <v>74</v>
      </c>
      <c r="H116" t="s">
        <v>74</v>
      </c>
      <c r="I116" t="s">
        <v>2550</v>
      </c>
      <c r="J116" t="s">
        <v>2551</v>
      </c>
      <c r="K116" t="s">
        <v>74</v>
      </c>
      <c r="L116" t="s">
        <v>74</v>
      </c>
      <c r="M116" t="s">
        <v>78</v>
      </c>
      <c r="N116" t="s">
        <v>79</v>
      </c>
      <c r="O116" t="s">
        <v>74</v>
      </c>
      <c r="P116" t="s">
        <v>74</v>
      </c>
      <c r="Q116" t="s">
        <v>74</v>
      </c>
      <c r="R116" t="s">
        <v>74</v>
      </c>
      <c r="S116" t="s">
        <v>74</v>
      </c>
      <c r="T116" t="s">
        <v>2552</v>
      </c>
      <c r="U116" t="s">
        <v>2553</v>
      </c>
      <c r="V116" t="s">
        <v>2554</v>
      </c>
      <c r="W116" t="s">
        <v>2555</v>
      </c>
      <c r="X116" t="s">
        <v>2556</v>
      </c>
      <c r="Y116" t="s">
        <v>2557</v>
      </c>
      <c r="Z116" t="s">
        <v>2558</v>
      </c>
      <c r="AA116" t="s">
        <v>74</v>
      </c>
      <c r="AB116" t="s">
        <v>2559</v>
      </c>
      <c r="AC116" t="s">
        <v>2560</v>
      </c>
      <c r="AD116" t="s">
        <v>2561</v>
      </c>
      <c r="AE116" t="s">
        <v>2562</v>
      </c>
      <c r="AF116" t="s">
        <v>74</v>
      </c>
      <c r="AG116">
        <v>47</v>
      </c>
      <c r="AH116">
        <v>10</v>
      </c>
      <c r="AI116">
        <v>10</v>
      </c>
      <c r="AJ116">
        <v>0</v>
      </c>
      <c r="AK116">
        <v>2</v>
      </c>
      <c r="AL116" t="s">
        <v>946</v>
      </c>
      <c r="AM116" t="s">
        <v>207</v>
      </c>
      <c r="AN116" t="s">
        <v>947</v>
      </c>
      <c r="AO116" t="s">
        <v>2563</v>
      </c>
      <c r="AP116" t="s">
        <v>2564</v>
      </c>
      <c r="AQ116" t="s">
        <v>74</v>
      </c>
      <c r="AR116" t="s">
        <v>2565</v>
      </c>
      <c r="AS116" t="s">
        <v>2566</v>
      </c>
      <c r="AT116" t="s">
        <v>2523</v>
      </c>
      <c r="AU116">
        <v>2022</v>
      </c>
      <c r="AV116">
        <v>49</v>
      </c>
      <c r="AW116">
        <v>18</v>
      </c>
      <c r="AX116" t="s">
        <v>74</v>
      </c>
      <c r="AY116" t="s">
        <v>74</v>
      </c>
      <c r="AZ116" t="s">
        <v>74</v>
      </c>
      <c r="BA116" t="s">
        <v>74</v>
      </c>
      <c r="BB116" t="s">
        <v>74</v>
      </c>
      <c r="BC116" t="s">
        <v>74</v>
      </c>
      <c r="BD116" t="s">
        <v>2567</v>
      </c>
      <c r="BE116" t="s">
        <v>2568</v>
      </c>
      <c r="BF116" t="str">
        <f>HYPERLINK("http://dx.doi.org/10.1029/2022GL100654","http://dx.doi.org/10.1029/2022GL100654")</f>
        <v>http://dx.doi.org/10.1029/2022GL100654</v>
      </c>
      <c r="BG116" t="s">
        <v>74</v>
      </c>
      <c r="BH116" t="s">
        <v>74</v>
      </c>
      <c r="BI116">
        <v>11</v>
      </c>
      <c r="BJ116" t="s">
        <v>129</v>
      </c>
      <c r="BK116" t="s">
        <v>100</v>
      </c>
      <c r="BL116" t="s">
        <v>130</v>
      </c>
      <c r="BM116" t="s">
        <v>2569</v>
      </c>
      <c r="BN116" t="s">
        <v>74</v>
      </c>
      <c r="BO116" t="s">
        <v>831</v>
      </c>
      <c r="BP116" t="s">
        <v>74</v>
      </c>
      <c r="BQ116" t="s">
        <v>74</v>
      </c>
      <c r="BR116" t="s">
        <v>103</v>
      </c>
      <c r="BS116" t="s">
        <v>2570</v>
      </c>
      <c r="BT116" t="str">
        <f>HYPERLINK("https%3A%2F%2Fwww.webofscience.com%2Fwos%2Fwoscc%2Ffull-record%2FWOS:000861222800001","View Full Record in Web of Science")</f>
        <v>View Full Record in Web of Science</v>
      </c>
    </row>
    <row r="117" spans="1:72" x14ac:dyDescent="0.15">
      <c r="A117" t="s">
        <v>72</v>
      </c>
      <c r="B117" t="s">
        <v>2571</v>
      </c>
      <c r="C117" t="s">
        <v>74</v>
      </c>
      <c r="D117" t="s">
        <v>74</v>
      </c>
      <c r="E117" t="s">
        <v>74</v>
      </c>
      <c r="F117" t="s">
        <v>2572</v>
      </c>
      <c r="G117" t="s">
        <v>74</v>
      </c>
      <c r="H117" t="s">
        <v>74</v>
      </c>
      <c r="I117" t="s">
        <v>2573</v>
      </c>
      <c r="J117" t="s">
        <v>2551</v>
      </c>
      <c r="K117" t="s">
        <v>74</v>
      </c>
      <c r="L117" t="s">
        <v>74</v>
      </c>
      <c r="M117" t="s">
        <v>78</v>
      </c>
      <c r="N117" t="s">
        <v>79</v>
      </c>
      <c r="O117" t="s">
        <v>74</v>
      </c>
      <c r="P117" t="s">
        <v>74</v>
      </c>
      <c r="Q117" t="s">
        <v>74</v>
      </c>
      <c r="R117" t="s">
        <v>74</v>
      </c>
      <c r="S117" t="s">
        <v>74</v>
      </c>
      <c r="T117" t="s">
        <v>74</v>
      </c>
      <c r="U117" t="s">
        <v>2574</v>
      </c>
      <c r="V117" t="s">
        <v>2575</v>
      </c>
      <c r="W117" t="s">
        <v>2576</v>
      </c>
      <c r="X117" t="s">
        <v>2577</v>
      </c>
      <c r="Y117" t="s">
        <v>2578</v>
      </c>
      <c r="Z117" t="s">
        <v>2579</v>
      </c>
      <c r="AA117" t="s">
        <v>2580</v>
      </c>
      <c r="AB117" t="s">
        <v>2581</v>
      </c>
      <c r="AC117" t="s">
        <v>2582</v>
      </c>
      <c r="AD117" t="s">
        <v>2583</v>
      </c>
      <c r="AE117" t="s">
        <v>2584</v>
      </c>
      <c r="AF117" t="s">
        <v>74</v>
      </c>
      <c r="AG117">
        <v>25</v>
      </c>
      <c r="AH117">
        <v>6</v>
      </c>
      <c r="AI117">
        <v>7</v>
      </c>
      <c r="AJ117">
        <v>2</v>
      </c>
      <c r="AK117">
        <v>5</v>
      </c>
      <c r="AL117" t="s">
        <v>946</v>
      </c>
      <c r="AM117" t="s">
        <v>207</v>
      </c>
      <c r="AN117" t="s">
        <v>947</v>
      </c>
      <c r="AO117" t="s">
        <v>2563</v>
      </c>
      <c r="AP117" t="s">
        <v>2564</v>
      </c>
      <c r="AQ117" t="s">
        <v>74</v>
      </c>
      <c r="AR117" t="s">
        <v>2565</v>
      </c>
      <c r="AS117" t="s">
        <v>2566</v>
      </c>
      <c r="AT117" t="s">
        <v>2523</v>
      </c>
      <c r="AU117">
        <v>2022</v>
      </c>
      <c r="AV117">
        <v>49</v>
      </c>
      <c r="AW117">
        <v>18</v>
      </c>
      <c r="AX117" t="s">
        <v>74</v>
      </c>
      <c r="AY117" t="s">
        <v>74</v>
      </c>
      <c r="AZ117" t="s">
        <v>74</v>
      </c>
      <c r="BA117" t="s">
        <v>74</v>
      </c>
      <c r="BB117" t="s">
        <v>74</v>
      </c>
      <c r="BC117" t="s">
        <v>74</v>
      </c>
      <c r="BD117" t="s">
        <v>2585</v>
      </c>
      <c r="BE117" t="s">
        <v>2586</v>
      </c>
      <c r="BF117" t="str">
        <f>HYPERLINK("http://dx.doi.org/10.1029/2022GL100526","http://dx.doi.org/10.1029/2022GL100526")</f>
        <v>http://dx.doi.org/10.1029/2022GL100526</v>
      </c>
      <c r="BG117" t="s">
        <v>74</v>
      </c>
      <c r="BH117" t="s">
        <v>74</v>
      </c>
      <c r="BI117">
        <v>7</v>
      </c>
      <c r="BJ117" t="s">
        <v>129</v>
      </c>
      <c r="BK117" t="s">
        <v>100</v>
      </c>
      <c r="BL117" t="s">
        <v>130</v>
      </c>
      <c r="BM117" t="s">
        <v>2587</v>
      </c>
      <c r="BN117" t="s">
        <v>74</v>
      </c>
      <c r="BO117" t="s">
        <v>2588</v>
      </c>
      <c r="BP117" t="s">
        <v>74</v>
      </c>
      <c r="BQ117" t="s">
        <v>74</v>
      </c>
      <c r="BR117" t="s">
        <v>103</v>
      </c>
      <c r="BS117" t="s">
        <v>2589</v>
      </c>
      <c r="BT117" t="str">
        <f>HYPERLINK("https%3A%2F%2Fwww.webofscience.com%2Fwos%2Fwoscc%2Ffull-record%2FWOS:000859828200001","View Full Record in Web of Science")</f>
        <v>View Full Record in Web of Science</v>
      </c>
    </row>
    <row r="118" spans="1:72" x14ac:dyDescent="0.15">
      <c r="A118" t="s">
        <v>72</v>
      </c>
      <c r="B118" t="s">
        <v>2590</v>
      </c>
      <c r="C118" t="s">
        <v>74</v>
      </c>
      <c r="D118" t="s">
        <v>74</v>
      </c>
      <c r="E118" t="s">
        <v>74</v>
      </c>
      <c r="F118" t="s">
        <v>2591</v>
      </c>
      <c r="G118" t="s">
        <v>74</v>
      </c>
      <c r="H118" t="s">
        <v>74</v>
      </c>
      <c r="I118" t="s">
        <v>2592</v>
      </c>
      <c r="J118" t="s">
        <v>2551</v>
      </c>
      <c r="K118" t="s">
        <v>74</v>
      </c>
      <c r="L118" t="s">
        <v>74</v>
      </c>
      <c r="M118" t="s">
        <v>78</v>
      </c>
      <c r="N118" t="s">
        <v>79</v>
      </c>
      <c r="O118" t="s">
        <v>74</v>
      </c>
      <c r="P118" t="s">
        <v>74</v>
      </c>
      <c r="Q118" t="s">
        <v>74</v>
      </c>
      <c r="R118" t="s">
        <v>74</v>
      </c>
      <c r="S118" t="s">
        <v>74</v>
      </c>
      <c r="T118" t="s">
        <v>74</v>
      </c>
      <c r="U118" t="s">
        <v>2593</v>
      </c>
      <c r="V118" t="s">
        <v>2594</v>
      </c>
      <c r="W118" t="s">
        <v>2595</v>
      </c>
      <c r="X118" t="s">
        <v>2596</v>
      </c>
      <c r="Y118" t="s">
        <v>2597</v>
      </c>
      <c r="Z118" t="s">
        <v>2598</v>
      </c>
      <c r="AA118" t="s">
        <v>2599</v>
      </c>
      <c r="AB118" t="s">
        <v>2600</v>
      </c>
      <c r="AC118" t="s">
        <v>2601</v>
      </c>
      <c r="AD118" t="s">
        <v>2602</v>
      </c>
      <c r="AE118" t="s">
        <v>2603</v>
      </c>
      <c r="AF118" t="s">
        <v>74</v>
      </c>
      <c r="AG118">
        <v>38</v>
      </c>
      <c r="AH118">
        <v>6</v>
      </c>
      <c r="AI118">
        <v>6</v>
      </c>
      <c r="AJ118">
        <v>5</v>
      </c>
      <c r="AK118">
        <v>14</v>
      </c>
      <c r="AL118" t="s">
        <v>946</v>
      </c>
      <c r="AM118" t="s">
        <v>207</v>
      </c>
      <c r="AN118" t="s">
        <v>947</v>
      </c>
      <c r="AO118" t="s">
        <v>2563</v>
      </c>
      <c r="AP118" t="s">
        <v>2564</v>
      </c>
      <c r="AQ118" t="s">
        <v>74</v>
      </c>
      <c r="AR118" t="s">
        <v>2565</v>
      </c>
      <c r="AS118" t="s">
        <v>2566</v>
      </c>
      <c r="AT118" t="s">
        <v>2523</v>
      </c>
      <c r="AU118">
        <v>2022</v>
      </c>
      <c r="AV118">
        <v>49</v>
      </c>
      <c r="AW118">
        <v>18</v>
      </c>
      <c r="AX118" t="s">
        <v>74</v>
      </c>
      <c r="AY118" t="s">
        <v>74</v>
      </c>
      <c r="AZ118" t="s">
        <v>74</v>
      </c>
      <c r="BA118" t="s">
        <v>74</v>
      </c>
      <c r="BB118" t="s">
        <v>74</v>
      </c>
      <c r="BC118" t="s">
        <v>74</v>
      </c>
      <c r="BD118" t="s">
        <v>2604</v>
      </c>
      <c r="BE118" t="s">
        <v>2605</v>
      </c>
      <c r="BF118" t="str">
        <f>HYPERLINK("http://dx.doi.org/10.1029/2022GL100460","http://dx.doi.org/10.1029/2022GL100460")</f>
        <v>http://dx.doi.org/10.1029/2022GL100460</v>
      </c>
      <c r="BG118" t="s">
        <v>74</v>
      </c>
      <c r="BH118" t="s">
        <v>74</v>
      </c>
      <c r="BI118">
        <v>9</v>
      </c>
      <c r="BJ118" t="s">
        <v>129</v>
      </c>
      <c r="BK118" t="s">
        <v>100</v>
      </c>
      <c r="BL118" t="s">
        <v>130</v>
      </c>
      <c r="BM118" t="s">
        <v>2606</v>
      </c>
      <c r="BN118" t="s">
        <v>74</v>
      </c>
      <c r="BO118" t="s">
        <v>2588</v>
      </c>
      <c r="BP118" t="s">
        <v>74</v>
      </c>
      <c r="BQ118" t="s">
        <v>74</v>
      </c>
      <c r="BR118" t="s">
        <v>103</v>
      </c>
      <c r="BS118" t="s">
        <v>2607</v>
      </c>
      <c r="BT118" t="str">
        <f>HYPERLINK("https%3A%2F%2Fwww.webofscience.com%2Fwos%2Fwoscc%2Ffull-record%2FWOS:000859736600001","View Full Record in Web of Science")</f>
        <v>View Full Record in Web of Science</v>
      </c>
    </row>
    <row r="119" spans="1:72" x14ac:dyDescent="0.15">
      <c r="A119" t="s">
        <v>72</v>
      </c>
      <c r="B119" t="s">
        <v>2608</v>
      </c>
      <c r="C119" t="s">
        <v>74</v>
      </c>
      <c r="D119" t="s">
        <v>74</v>
      </c>
      <c r="E119" t="s">
        <v>74</v>
      </c>
      <c r="F119" t="s">
        <v>2609</v>
      </c>
      <c r="G119" t="s">
        <v>74</v>
      </c>
      <c r="H119" t="s">
        <v>74</v>
      </c>
      <c r="I119" t="s">
        <v>2610</v>
      </c>
      <c r="J119" t="s">
        <v>2551</v>
      </c>
      <c r="K119" t="s">
        <v>74</v>
      </c>
      <c r="L119" t="s">
        <v>74</v>
      </c>
      <c r="M119" t="s">
        <v>78</v>
      </c>
      <c r="N119" t="s">
        <v>79</v>
      </c>
      <c r="O119" t="s">
        <v>74</v>
      </c>
      <c r="P119" t="s">
        <v>74</v>
      </c>
      <c r="Q119" t="s">
        <v>74</v>
      </c>
      <c r="R119" t="s">
        <v>74</v>
      </c>
      <c r="S119" t="s">
        <v>74</v>
      </c>
      <c r="T119" t="s">
        <v>2611</v>
      </c>
      <c r="U119" t="s">
        <v>2612</v>
      </c>
      <c r="V119" t="s">
        <v>2613</v>
      </c>
      <c r="W119" t="s">
        <v>2614</v>
      </c>
      <c r="X119" t="s">
        <v>2615</v>
      </c>
      <c r="Y119" t="s">
        <v>2616</v>
      </c>
      <c r="Z119" t="s">
        <v>2617</v>
      </c>
      <c r="AA119" t="s">
        <v>2618</v>
      </c>
      <c r="AB119" t="s">
        <v>2619</v>
      </c>
      <c r="AC119" t="s">
        <v>2620</v>
      </c>
      <c r="AD119" t="s">
        <v>2621</v>
      </c>
      <c r="AE119" t="s">
        <v>2622</v>
      </c>
      <c r="AF119" t="s">
        <v>74</v>
      </c>
      <c r="AG119">
        <v>33</v>
      </c>
      <c r="AH119">
        <v>16</v>
      </c>
      <c r="AI119">
        <v>16</v>
      </c>
      <c r="AJ119">
        <v>0</v>
      </c>
      <c r="AK119">
        <v>11</v>
      </c>
      <c r="AL119" t="s">
        <v>946</v>
      </c>
      <c r="AM119" t="s">
        <v>207</v>
      </c>
      <c r="AN119" t="s">
        <v>947</v>
      </c>
      <c r="AO119" t="s">
        <v>2563</v>
      </c>
      <c r="AP119" t="s">
        <v>2564</v>
      </c>
      <c r="AQ119" t="s">
        <v>74</v>
      </c>
      <c r="AR119" t="s">
        <v>2565</v>
      </c>
      <c r="AS119" t="s">
        <v>2566</v>
      </c>
      <c r="AT119" t="s">
        <v>2523</v>
      </c>
      <c r="AU119">
        <v>2022</v>
      </c>
      <c r="AV119">
        <v>49</v>
      </c>
      <c r="AW119">
        <v>18</v>
      </c>
      <c r="AX119" t="s">
        <v>74</v>
      </c>
      <c r="AY119" t="s">
        <v>74</v>
      </c>
      <c r="AZ119" t="s">
        <v>74</v>
      </c>
      <c r="BA119" t="s">
        <v>74</v>
      </c>
      <c r="BB119" t="s">
        <v>74</v>
      </c>
      <c r="BC119" t="s">
        <v>74</v>
      </c>
      <c r="BD119" t="s">
        <v>2623</v>
      </c>
      <c r="BE119" t="s">
        <v>2624</v>
      </c>
      <c r="BF119" t="str">
        <f>HYPERLINK("http://dx.doi.org/10.1029/2022GL100585","http://dx.doi.org/10.1029/2022GL100585")</f>
        <v>http://dx.doi.org/10.1029/2022GL100585</v>
      </c>
      <c r="BG119" t="s">
        <v>74</v>
      </c>
      <c r="BH119" t="s">
        <v>74</v>
      </c>
      <c r="BI119">
        <v>8</v>
      </c>
      <c r="BJ119" t="s">
        <v>129</v>
      </c>
      <c r="BK119" t="s">
        <v>100</v>
      </c>
      <c r="BL119" t="s">
        <v>130</v>
      </c>
      <c r="BM119" t="s">
        <v>2625</v>
      </c>
      <c r="BN119">
        <v>36246739</v>
      </c>
      <c r="BO119" t="s">
        <v>1221</v>
      </c>
      <c r="BP119" t="s">
        <v>74</v>
      </c>
      <c r="BQ119" t="s">
        <v>74</v>
      </c>
      <c r="BR119" t="s">
        <v>103</v>
      </c>
      <c r="BS119" t="s">
        <v>2626</v>
      </c>
      <c r="BT119" t="str">
        <f>HYPERLINK("https%3A%2F%2Fwww.webofscience.com%2Fwos%2Fwoscc%2Ffull-record%2FWOS:000855582100001","View Full Record in Web of Science")</f>
        <v>View Full Record in Web of Science</v>
      </c>
    </row>
    <row r="120" spans="1:72" x14ac:dyDescent="0.15">
      <c r="A120" t="s">
        <v>72</v>
      </c>
      <c r="B120" t="s">
        <v>2627</v>
      </c>
      <c r="C120" t="s">
        <v>74</v>
      </c>
      <c r="D120" t="s">
        <v>74</v>
      </c>
      <c r="E120" t="s">
        <v>74</v>
      </c>
      <c r="F120" t="s">
        <v>2628</v>
      </c>
      <c r="G120" t="s">
        <v>74</v>
      </c>
      <c r="H120" t="s">
        <v>74</v>
      </c>
      <c r="I120" t="s">
        <v>2629</v>
      </c>
      <c r="J120" t="s">
        <v>2630</v>
      </c>
      <c r="K120" t="s">
        <v>74</v>
      </c>
      <c r="L120" t="s">
        <v>74</v>
      </c>
      <c r="M120" t="s">
        <v>78</v>
      </c>
      <c r="N120" t="s">
        <v>79</v>
      </c>
      <c r="O120" t="s">
        <v>74</v>
      </c>
      <c r="P120" t="s">
        <v>74</v>
      </c>
      <c r="Q120" t="s">
        <v>74</v>
      </c>
      <c r="R120" t="s">
        <v>74</v>
      </c>
      <c r="S120" t="s">
        <v>74</v>
      </c>
      <c r="T120" t="s">
        <v>2631</v>
      </c>
      <c r="U120" t="s">
        <v>2632</v>
      </c>
      <c r="V120" t="s">
        <v>2633</v>
      </c>
      <c r="W120" t="s">
        <v>2634</v>
      </c>
      <c r="X120" t="s">
        <v>2635</v>
      </c>
      <c r="Y120" t="s">
        <v>2636</v>
      </c>
      <c r="Z120" t="s">
        <v>2637</v>
      </c>
      <c r="AA120" t="s">
        <v>2638</v>
      </c>
      <c r="AB120" t="s">
        <v>2639</v>
      </c>
      <c r="AC120" t="s">
        <v>2640</v>
      </c>
      <c r="AD120" t="s">
        <v>2641</v>
      </c>
      <c r="AE120" t="s">
        <v>2642</v>
      </c>
      <c r="AF120" t="s">
        <v>74</v>
      </c>
      <c r="AG120">
        <v>129</v>
      </c>
      <c r="AH120">
        <v>1</v>
      </c>
      <c r="AI120">
        <v>1</v>
      </c>
      <c r="AJ120">
        <v>12</v>
      </c>
      <c r="AK120">
        <v>30</v>
      </c>
      <c r="AL120" t="s">
        <v>231</v>
      </c>
      <c r="AM120" t="s">
        <v>232</v>
      </c>
      <c r="AN120" t="s">
        <v>233</v>
      </c>
      <c r="AO120" t="s">
        <v>2643</v>
      </c>
      <c r="AP120" t="s">
        <v>2644</v>
      </c>
      <c r="AQ120" t="s">
        <v>74</v>
      </c>
      <c r="AR120" t="s">
        <v>2645</v>
      </c>
      <c r="AS120" t="s">
        <v>2646</v>
      </c>
      <c r="AT120" t="s">
        <v>2281</v>
      </c>
      <c r="AU120">
        <v>2022</v>
      </c>
      <c r="AV120">
        <v>28</v>
      </c>
      <c r="AW120">
        <v>11</v>
      </c>
      <c r="AX120" t="s">
        <v>74</v>
      </c>
      <c r="AY120" t="s">
        <v>74</v>
      </c>
      <c r="AZ120" t="s">
        <v>74</v>
      </c>
      <c r="BA120" t="s">
        <v>74</v>
      </c>
      <c r="BB120">
        <v>2286</v>
      </c>
      <c r="BC120">
        <v>2302</v>
      </c>
      <c r="BD120" t="s">
        <v>74</v>
      </c>
      <c r="BE120" t="s">
        <v>2647</v>
      </c>
      <c r="BF120" t="str">
        <f>HYPERLINK("http://dx.doi.org/10.1111/ddi.13617","http://dx.doi.org/10.1111/ddi.13617")</f>
        <v>http://dx.doi.org/10.1111/ddi.13617</v>
      </c>
      <c r="BG120" t="s">
        <v>74</v>
      </c>
      <c r="BH120" t="s">
        <v>2143</v>
      </c>
      <c r="BI120">
        <v>17</v>
      </c>
      <c r="BJ120" t="s">
        <v>1169</v>
      </c>
      <c r="BK120" t="s">
        <v>100</v>
      </c>
      <c r="BL120" t="s">
        <v>1170</v>
      </c>
      <c r="BM120" t="s">
        <v>2648</v>
      </c>
      <c r="BN120" t="s">
        <v>74</v>
      </c>
      <c r="BO120" t="s">
        <v>763</v>
      </c>
      <c r="BP120" t="s">
        <v>74</v>
      </c>
      <c r="BQ120" t="s">
        <v>74</v>
      </c>
      <c r="BR120" t="s">
        <v>103</v>
      </c>
      <c r="BS120" t="s">
        <v>2649</v>
      </c>
      <c r="BT120" t="str">
        <f>HYPERLINK("https%3A%2F%2Fwww.webofscience.com%2Fwos%2Fwoscc%2Ffull-record%2FWOS:000860425800001","View Full Record in Web of Science")</f>
        <v>View Full Record in Web of Science</v>
      </c>
    </row>
    <row r="121" spans="1:72" x14ac:dyDescent="0.15">
      <c r="A121" t="s">
        <v>72</v>
      </c>
      <c r="B121" t="s">
        <v>2650</v>
      </c>
      <c r="C121" t="s">
        <v>74</v>
      </c>
      <c r="D121" t="s">
        <v>74</v>
      </c>
      <c r="E121" t="s">
        <v>74</v>
      </c>
      <c r="F121" t="s">
        <v>2651</v>
      </c>
      <c r="G121" t="s">
        <v>74</v>
      </c>
      <c r="H121" t="s">
        <v>74</v>
      </c>
      <c r="I121" t="s">
        <v>2652</v>
      </c>
      <c r="J121" t="s">
        <v>2653</v>
      </c>
      <c r="K121" t="s">
        <v>74</v>
      </c>
      <c r="L121" t="s">
        <v>74</v>
      </c>
      <c r="M121" t="s">
        <v>78</v>
      </c>
      <c r="N121" t="s">
        <v>79</v>
      </c>
      <c r="O121" t="s">
        <v>74</v>
      </c>
      <c r="P121" t="s">
        <v>74</v>
      </c>
      <c r="Q121" t="s">
        <v>74</v>
      </c>
      <c r="R121" t="s">
        <v>74</v>
      </c>
      <c r="S121" t="s">
        <v>74</v>
      </c>
      <c r="T121" t="s">
        <v>2654</v>
      </c>
      <c r="U121" t="s">
        <v>2655</v>
      </c>
      <c r="V121" t="s">
        <v>2656</v>
      </c>
      <c r="W121" t="s">
        <v>2657</v>
      </c>
      <c r="X121" t="s">
        <v>2658</v>
      </c>
      <c r="Y121" t="s">
        <v>2659</v>
      </c>
      <c r="Z121" t="s">
        <v>2660</v>
      </c>
      <c r="AA121" t="s">
        <v>2661</v>
      </c>
      <c r="AB121" t="s">
        <v>2662</v>
      </c>
      <c r="AC121" t="s">
        <v>2663</v>
      </c>
      <c r="AD121" t="s">
        <v>2664</v>
      </c>
      <c r="AE121" t="s">
        <v>2665</v>
      </c>
      <c r="AF121" t="s">
        <v>74</v>
      </c>
      <c r="AG121">
        <v>122</v>
      </c>
      <c r="AH121">
        <v>0</v>
      </c>
      <c r="AI121">
        <v>0</v>
      </c>
      <c r="AJ121">
        <v>4</v>
      </c>
      <c r="AK121">
        <v>10</v>
      </c>
      <c r="AL121" t="s">
        <v>2275</v>
      </c>
      <c r="AM121" t="s">
        <v>90</v>
      </c>
      <c r="AN121" t="s">
        <v>2276</v>
      </c>
      <c r="AO121" t="s">
        <v>2666</v>
      </c>
      <c r="AP121" t="s">
        <v>2667</v>
      </c>
      <c r="AQ121" t="s">
        <v>74</v>
      </c>
      <c r="AR121" t="s">
        <v>2668</v>
      </c>
      <c r="AS121" t="s">
        <v>2669</v>
      </c>
      <c r="AT121" t="s">
        <v>2670</v>
      </c>
      <c r="AU121">
        <v>2022</v>
      </c>
      <c r="AV121">
        <v>294</v>
      </c>
      <c r="AW121" t="s">
        <v>74</v>
      </c>
      <c r="AX121" t="s">
        <v>74</v>
      </c>
      <c r="AY121" t="s">
        <v>74</v>
      </c>
      <c r="AZ121" t="s">
        <v>74</v>
      </c>
      <c r="BA121" t="s">
        <v>74</v>
      </c>
      <c r="BB121" t="s">
        <v>74</v>
      </c>
      <c r="BC121" t="s">
        <v>74</v>
      </c>
      <c r="BD121">
        <v>107503</v>
      </c>
      <c r="BE121" t="s">
        <v>2671</v>
      </c>
      <c r="BF121" t="str">
        <f>HYPERLINK("http://dx.doi.org/10.1016/j.quascirev.2022.107503","http://dx.doi.org/10.1016/j.quascirev.2022.107503")</f>
        <v>http://dx.doi.org/10.1016/j.quascirev.2022.107503</v>
      </c>
      <c r="BG121" t="s">
        <v>74</v>
      </c>
      <c r="BH121" t="s">
        <v>2143</v>
      </c>
      <c r="BI121">
        <v>18</v>
      </c>
      <c r="BJ121" t="s">
        <v>354</v>
      </c>
      <c r="BK121" t="s">
        <v>100</v>
      </c>
      <c r="BL121" t="s">
        <v>241</v>
      </c>
      <c r="BM121" t="s">
        <v>2672</v>
      </c>
      <c r="BN121" t="s">
        <v>74</v>
      </c>
      <c r="BO121" t="s">
        <v>2260</v>
      </c>
      <c r="BP121" t="s">
        <v>74</v>
      </c>
      <c r="BQ121" t="s">
        <v>74</v>
      </c>
      <c r="BR121" t="s">
        <v>103</v>
      </c>
      <c r="BS121" t="s">
        <v>2673</v>
      </c>
      <c r="BT121" t="str">
        <f>HYPERLINK("https%3A%2F%2Fwww.webofscience.com%2Fwos%2Fwoscc%2Ffull-record%2FWOS:000886090600001","View Full Record in Web of Science")</f>
        <v>View Full Record in Web of Science</v>
      </c>
    </row>
    <row r="122" spans="1:72" x14ac:dyDescent="0.15">
      <c r="A122" t="s">
        <v>72</v>
      </c>
      <c r="B122" t="s">
        <v>2674</v>
      </c>
      <c r="C122" t="s">
        <v>74</v>
      </c>
      <c r="D122" t="s">
        <v>74</v>
      </c>
      <c r="E122" t="s">
        <v>74</v>
      </c>
      <c r="F122" t="s">
        <v>2675</v>
      </c>
      <c r="G122" t="s">
        <v>74</v>
      </c>
      <c r="H122" t="s">
        <v>74</v>
      </c>
      <c r="I122" t="s">
        <v>2676</v>
      </c>
      <c r="J122" t="s">
        <v>2677</v>
      </c>
      <c r="K122" t="s">
        <v>74</v>
      </c>
      <c r="L122" t="s">
        <v>74</v>
      </c>
      <c r="M122" t="s">
        <v>78</v>
      </c>
      <c r="N122" t="s">
        <v>79</v>
      </c>
      <c r="O122" t="s">
        <v>74</v>
      </c>
      <c r="P122" t="s">
        <v>74</v>
      </c>
      <c r="Q122" t="s">
        <v>74</v>
      </c>
      <c r="R122" t="s">
        <v>74</v>
      </c>
      <c r="S122" t="s">
        <v>74</v>
      </c>
      <c r="T122" t="s">
        <v>2678</v>
      </c>
      <c r="U122" t="s">
        <v>2679</v>
      </c>
      <c r="V122" t="s">
        <v>2680</v>
      </c>
      <c r="W122" t="s">
        <v>2681</v>
      </c>
      <c r="X122" t="s">
        <v>2682</v>
      </c>
      <c r="Y122" t="s">
        <v>2683</v>
      </c>
      <c r="Z122" t="s">
        <v>2684</v>
      </c>
      <c r="AA122" t="s">
        <v>2685</v>
      </c>
      <c r="AB122" t="s">
        <v>2686</v>
      </c>
      <c r="AC122" t="s">
        <v>2687</v>
      </c>
      <c r="AD122" t="s">
        <v>2688</v>
      </c>
      <c r="AE122" t="s">
        <v>2689</v>
      </c>
      <c r="AF122" t="s">
        <v>74</v>
      </c>
      <c r="AG122">
        <v>168</v>
      </c>
      <c r="AH122">
        <v>4</v>
      </c>
      <c r="AI122">
        <v>4</v>
      </c>
      <c r="AJ122">
        <v>3</v>
      </c>
      <c r="AK122">
        <v>15</v>
      </c>
      <c r="AL122" t="s">
        <v>501</v>
      </c>
      <c r="AM122" t="s">
        <v>502</v>
      </c>
      <c r="AN122" t="s">
        <v>503</v>
      </c>
      <c r="AO122" t="s">
        <v>2690</v>
      </c>
      <c r="AP122" t="s">
        <v>2691</v>
      </c>
      <c r="AQ122" t="s">
        <v>74</v>
      </c>
      <c r="AR122" t="s">
        <v>2692</v>
      </c>
      <c r="AS122" t="s">
        <v>2693</v>
      </c>
      <c r="AT122" t="s">
        <v>325</v>
      </c>
      <c r="AU122">
        <v>2022</v>
      </c>
      <c r="AV122">
        <v>112</v>
      </c>
      <c r="AW122" t="s">
        <v>74</v>
      </c>
      <c r="AX122" t="s">
        <v>74</v>
      </c>
      <c r="AY122" t="s">
        <v>74</v>
      </c>
      <c r="AZ122" t="s">
        <v>74</v>
      </c>
      <c r="BA122" t="s">
        <v>74</v>
      </c>
      <c r="BB122">
        <v>1</v>
      </c>
      <c r="BC122">
        <v>23</v>
      </c>
      <c r="BD122" t="s">
        <v>74</v>
      </c>
      <c r="BE122" t="s">
        <v>2694</v>
      </c>
      <c r="BF122" t="str">
        <f>HYPERLINK("http://dx.doi.org/10.1016/j.gr.2022.09.006","http://dx.doi.org/10.1016/j.gr.2022.09.006")</f>
        <v>http://dx.doi.org/10.1016/j.gr.2022.09.006</v>
      </c>
      <c r="BG122" t="s">
        <v>74</v>
      </c>
      <c r="BH122" t="s">
        <v>2143</v>
      </c>
      <c r="BI122">
        <v>23</v>
      </c>
      <c r="BJ122" t="s">
        <v>129</v>
      </c>
      <c r="BK122" t="s">
        <v>100</v>
      </c>
      <c r="BL122" t="s">
        <v>130</v>
      </c>
      <c r="BM122" t="s">
        <v>2695</v>
      </c>
      <c r="BN122" t="s">
        <v>74</v>
      </c>
      <c r="BO122" t="s">
        <v>2260</v>
      </c>
      <c r="BP122" t="s">
        <v>74</v>
      </c>
      <c r="BQ122" t="s">
        <v>74</v>
      </c>
      <c r="BR122" t="s">
        <v>103</v>
      </c>
      <c r="BS122" t="s">
        <v>2696</v>
      </c>
      <c r="BT122" t="str">
        <f>HYPERLINK("https%3A%2F%2Fwww.webofscience.com%2Fwos%2Fwoscc%2Ffull-record%2FWOS:000879536400001","View Full Record in Web of Science")</f>
        <v>View Full Record in Web of Science</v>
      </c>
    </row>
    <row r="123" spans="1:72" x14ac:dyDescent="0.15">
      <c r="A123" t="s">
        <v>72</v>
      </c>
      <c r="B123" t="s">
        <v>2697</v>
      </c>
      <c r="C123" t="s">
        <v>74</v>
      </c>
      <c r="D123" t="s">
        <v>74</v>
      </c>
      <c r="E123" t="s">
        <v>74</v>
      </c>
      <c r="F123" t="s">
        <v>2698</v>
      </c>
      <c r="G123" t="s">
        <v>74</v>
      </c>
      <c r="H123" t="s">
        <v>74</v>
      </c>
      <c r="I123" t="s">
        <v>2699</v>
      </c>
      <c r="J123" t="s">
        <v>247</v>
      </c>
      <c r="K123" t="s">
        <v>74</v>
      </c>
      <c r="L123" t="s">
        <v>74</v>
      </c>
      <c r="M123" t="s">
        <v>78</v>
      </c>
      <c r="N123" t="s">
        <v>79</v>
      </c>
      <c r="O123" t="s">
        <v>74</v>
      </c>
      <c r="P123" t="s">
        <v>74</v>
      </c>
      <c r="Q123" t="s">
        <v>74</v>
      </c>
      <c r="R123" t="s">
        <v>74</v>
      </c>
      <c r="S123" t="s">
        <v>74</v>
      </c>
      <c r="T123" t="s">
        <v>2700</v>
      </c>
      <c r="U123" t="s">
        <v>2701</v>
      </c>
      <c r="V123" t="s">
        <v>2702</v>
      </c>
      <c r="W123" t="s">
        <v>2703</v>
      </c>
      <c r="X123" t="s">
        <v>2704</v>
      </c>
      <c r="Y123" t="s">
        <v>2705</v>
      </c>
      <c r="Z123" t="s">
        <v>2706</v>
      </c>
      <c r="AA123" t="s">
        <v>2707</v>
      </c>
      <c r="AB123" t="s">
        <v>2708</v>
      </c>
      <c r="AC123" t="s">
        <v>2709</v>
      </c>
      <c r="AD123" t="s">
        <v>2710</v>
      </c>
      <c r="AE123" t="s">
        <v>2711</v>
      </c>
      <c r="AF123" t="s">
        <v>74</v>
      </c>
      <c r="AG123">
        <v>96</v>
      </c>
      <c r="AH123">
        <v>0</v>
      </c>
      <c r="AI123">
        <v>0</v>
      </c>
      <c r="AJ123">
        <v>1</v>
      </c>
      <c r="AK123">
        <v>5</v>
      </c>
      <c r="AL123" t="s">
        <v>121</v>
      </c>
      <c r="AM123" t="s">
        <v>122</v>
      </c>
      <c r="AN123" t="s">
        <v>123</v>
      </c>
      <c r="AO123" t="s">
        <v>74</v>
      </c>
      <c r="AP123" t="s">
        <v>258</v>
      </c>
      <c r="AQ123" t="s">
        <v>74</v>
      </c>
      <c r="AR123" t="s">
        <v>259</v>
      </c>
      <c r="AS123" t="s">
        <v>260</v>
      </c>
      <c r="AT123" t="s">
        <v>2712</v>
      </c>
      <c r="AU123">
        <v>2022</v>
      </c>
      <c r="AV123">
        <v>9</v>
      </c>
      <c r="AW123" t="s">
        <v>74</v>
      </c>
      <c r="AX123" t="s">
        <v>74</v>
      </c>
      <c r="AY123" t="s">
        <v>74</v>
      </c>
      <c r="AZ123" t="s">
        <v>74</v>
      </c>
      <c r="BA123" t="s">
        <v>74</v>
      </c>
      <c r="BB123" t="s">
        <v>74</v>
      </c>
      <c r="BC123" t="s">
        <v>74</v>
      </c>
      <c r="BD123">
        <v>950716</v>
      </c>
      <c r="BE123" t="s">
        <v>2713</v>
      </c>
      <c r="BF123" t="str">
        <f>HYPERLINK("http://dx.doi.org/10.3389/fmars.2022.950716","http://dx.doi.org/10.3389/fmars.2022.950716")</f>
        <v>http://dx.doi.org/10.3389/fmars.2022.950716</v>
      </c>
      <c r="BG123" t="s">
        <v>74</v>
      </c>
      <c r="BH123" t="s">
        <v>74</v>
      </c>
      <c r="BI123">
        <v>17</v>
      </c>
      <c r="BJ123" t="s">
        <v>263</v>
      </c>
      <c r="BK123" t="s">
        <v>100</v>
      </c>
      <c r="BL123" t="s">
        <v>264</v>
      </c>
      <c r="BM123" t="s">
        <v>2714</v>
      </c>
      <c r="BN123" t="s">
        <v>74</v>
      </c>
      <c r="BO123" t="s">
        <v>159</v>
      </c>
      <c r="BP123" t="s">
        <v>74</v>
      </c>
      <c r="BQ123" t="s">
        <v>74</v>
      </c>
      <c r="BR123" t="s">
        <v>103</v>
      </c>
      <c r="BS123" t="s">
        <v>2715</v>
      </c>
      <c r="BT123" t="str">
        <f>HYPERLINK("https%3A%2F%2Fwww.webofscience.com%2Fwos%2Fwoscc%2Ffull-record%2FWOS:000874593200001","View Full Record in Web of Science")</f>
        <v>View Full Record in Web of Science</v>
      </c>
    </row>
    <row r="124" spans="1:72" x14ac:dyDescent="0.15">
      <c r="A124" t="s">
        <v>72</v>
      </c>
      <c r="B124" t="s">
        <v>2716</v>
      </c>
      <c r="C124" t="s">
        <v>74</v>
      </c>
      <c r="D124" t="s">
        <v>74</v>
      </c>
      <c r="E124" t="s">
        <v>74</v>
      </c>
      <c r="F124" t="s">
        <v>2717</v>
      </c>
      <c r="G124" t="s">
        <v>74</v>
      </c>
      <c r="H124" t="s">
        <v>74</v>
      </c>
      <c r="I124" t="s">
        <v>2718</v>
      </c>
      <c r="J124" t="s">
        <v>2653</v>
      </c>
      <c r="K124" t="s">
        <v>74</v>
      </c>
      <c r="L124" t="s">
        <v>74</v>
      </c>
      <c r="M124" t="s">
        <v>78</v>
      </c>
      <c r="N124" t="s">
        <v>79</v>
      </c>
      <c r="O124" t="s">
        <v>74</v>
      </c>
      <c r="P124" t="s">
        <v>74</v>
      </c>
      <c r="Q124" t="s">
        <v>74</v>
      </c>
      <c r="R124" t="s">
        <v>74</v>
      </c>
      <c r="S124" t="s">
        <v>74</v>
      </c>
      <c r="T124" t="s">
        <v>2719</v>
      </c>
      <c r="U124" t="s">
        <v>2720</v>
      </c>
      <c r="V124" t="s">
        <v>2721</v>
      </c>
      <c r="W124" t="s">
        <v>2722</v>
      </c>
      <c r="X124" t="s">
        <v>2723</v>
      </c>
      <c r="Y124" t="s">
        <v>2724</v>
      </c>
      <c r="Z124" t="s">
        <v>2725</v>
      </c>
      <c r="AA124" t="s">
        <v>2726</v>
      </c>
      <c r="AB124" t="s">
        <v>2727</v>
      </c>
      <c r="AC124" t="s">
        <v>2728</v>
      </c>
      <c r="AD124" t="s">
        <v>2729</v>
      </c>
      <c r="AE124" t="s">
        <v>2730</v>
      </c>
      <c r="AF124" t="s">
        <v>74</v>
      </c>
      <c r="AG124">
        <v>140</v>
      </c>
      <c r="AH124">
        <v>4</v>
      </c>
      <c r="AI124">
        <v>4</v>
      </c>
      <c r="AJ124">
        <v>6</v>
      </c>
      <c r="AK124">
        <v>13</v>
      </c>
      <c r="AL124" t="s">
        <v>2275</v>
      </c>
      <c r="AM124" t="s">
        <v>90</v>
      </c>
      <c r="AN124" t="s">
        <v>2276</v>
      </c>
      <c r="AO124" t="s">
        <v>2666</v>
      </c>
      <c r="AP124" t="s">
        <v>2667</v>
      </c>
      <c r="AQ124" t="s">
        <v>74</v>
      </c>
      <c r="AR124" t="s">
        <v>2668</v>
      </c>
      <c r="AS124" t="s">
        <v>2669</v>
      </c>
      <c r="AT124" t="s">
        <v>2731</v>
      </c>
      <c r="AU124">
        <v>2022</v>
      </c>
      <c r="AV124">
        <v>295</v>
      </c>
      <c r="AW124" t="s">
        <v>74</v>
      </c>
      <c r="AX124" t="s">
        <v>74</v>
      </c>
      <c r="AY124" t="s">
        <v>74</v>
      </c>
      <c r="AZ124" t="s">
        <v>74</v>
      </c>
      <c r="BA124" t="s">
        <v>74</v>
      </c>
      <c r="BB124" t="s">
        <v>74</v>
      </c>
      <c r="BC124" t="s">
        <v>74</v>
      </c>
      <c r="BD124">
        <v>107768</v>
      </c>
      <c r="BE124" t="s">
        <v>2732</v>
      </c>
      <c r="BF124" t="str">
        <f>HYPERLINK("http://dx.doi.org/10.1016/j.quascirev.2022.107768","http://dx.doi.org/10.1016/j.quascirev.2022.107768")</f>
        <v>http://dx.doi.org/10.1016/j.quascirev.2022.107768</v>
      </c>
      <c r="BG124" t="s">
        <v>74</v>
      </c>
      <c r="BH124" t="s">
        <v>2143</v>
      </c>
      <c r="BI124">
        <v>18</v>
      </c>
      <c r="BJ124" t="s">
        <v>354</v>
      </c>
      <c r="BK124" t="s">
        <v>100</v>
      </c>
      <c r="BL124" t="s">
        <v>241</v>
      </c>
      <c r="BM124" t="s">
        <v>2733</v>
      </c>
      <c r="BN124" t="s">
        <v>74</v>
      </c>
      <c r="BO124" t="s">
        <v>74</v>
      </c>
      <c r="BP124" t="s">
        <v>74</v>
      </c>
      <c r="BQ124" t="s">
        <v>74</v>
      </c>
      <c r="BR124" t="s">
        <v>103</v>
      </c>
      <c r="BS124" t="s">
        <v>2734</v>
      </c>
      <c r="BT124" t="str">
        <f>HYPERLINK("https%3A%2F%2Fwww.webofscience.com%2Fwos%2Fwoscc%2Ffull-record%2FWOS:000866402400007","View Full Record in Web of Science")</f>
        <v>View Full Record in Web of Science</v>
      </c>
    </row>
    <row r="125" spans="1:72" x14ac:dyDescent="0.15">
      <c r="A125" t="s">
        <v>72</v>
      </c>
      <c r="B125" t="s">
        <v>2735</v>
      </c>
      <c r="C125" t="s">
        <v>74</v>
      </c>
      <c r="D125" t="s">
        <v>74</v>
      </c>
      <c r="E125" t="s">
        <v>74</v>
      </c>
      <c r="F125" t="s">
        <v>2736</v>
      </c>
      <c r="G125" t="s">
        <v>74</v>
      </c>
      <c r="H125" t="s">
        <v>74</v>
      </c>
      <c r="I125" t="s">
        <v>2737</v>
      </c>
      <c r="J125" t="s">
        <v>2738</v>
      </c>
      <c r="K125" t="s">
        <v>74</v>
      </c>
      <c r="L125" t="s">
        <v>74</v>
      </c>
      <c r="M125" t="s">
        <v>78</v>
      </c>
      <c r="N125" t="s">
        <v>1346</v>
      </c>
      <c r="O125" t="s">
        <v>74</v>
      </c>
      <c r="P125" t="s">
        <v>74</v>
      </c>
      <c r="Q125" t="s">
        <v>74</v>
      </c>
      <c r="R125" t="s">
        <v>74</v>
      </c>
      <c r="S125" t="s">
        <v>74</v>
      </c>
      <c r="T125" t="s">
        <v>2739</v>
      </c>
      <c r="U125" t="s">
        <v>2740</v>
      </c>
      <c r="V125" t="s">
        <v>2741</v>
      </c>
      <c r="W125" t="s">
        <v>2742</v>
      </c>
      <c r="X125" t="s">
        <v>2743</v>
      </c>
      <c r="Y125" t="s">
        <v>2744</v>
      </c>
      <c r="Z125" t="s">
        <v>2745</v>
      </c>
      <c r="AA125" t="s">
        <v>2746</v>
      </c>
      <c r="AB125" t="s">
        <v>2747</v>
      </c>
      <c r="AC125" t="s">
        <v>2748</v>
      </c>
      <c r="AD125" t="s">
        <v>2749</v>
      </c>
      <c r="AE125" t="s">
        <v>2750</v>
      </c>
      <c r="AF125" t="s">
        <v>74</v>
      </c>
      <c r="AG125">
        <v>52</v>
      </c>
      <c r="AH125">
        <v>0</v>
      </c>
      <c r="AI125">
        <v>0</v>
      </c>
      <c r="AJ125">
        <v>4</v>
      </c>
      <c r="AK125">
        <v>19</v>
      </c>
      <c r="AL125" t="s">
        <v>946</v>
      </c>
      <c r="AM125" t="s">
        <v>207</v>
      </c>
      <c r="AN125" t="s">
        <v>947</v>
      </c>
      <c r="AO125" t="s">
        <v>2751</v>
      </c>
      <c r="AP125" t="s">
        <v>2752</v>
      </c>
      <c r="AQ125" t="s">
        <v>74</v>
      </c>
      <c r="AR125" t="s">
        <v>2753</v>
      </c>
      <c r="AS125" t="s">
        <v>2754</v>
      </c>
      <c r="AT125" t="s">
        <v>2712</v>
      </c>
      <c r="AU125">
        <v>2022</v>
      </c>
      <c r="AV125">
        <v>127</v>
      </c>
      <c r="AW125">
        <v>18</v>
      </c>
      <c r="AX125" t="s">
        <v>74</v>
      </c>
      <c r="AY125" t="s">
        <v>74</v>
      </c>
      <c r="AZ125" t="s">
        <v>74</v>
      </c>
      <c r="BA125" t="s">
        <v>74</v>
      </c>
      <c r="BB125" t="s">
        <v>74</v>
      </c>
      <c r="BC125" t="s">
        <v>74</v>
      </c>
      <c r="BD125" t="s">
        <v>2755</v>
      </c>
      <c r="BE125" t="s">
        <v>2756</v>
      </c>
      <c r="BF125" t="str">
        <f>HYPERLINK("http://dx.doi.org/10.1029/2022JD037381","http://dx.doi.org/10.1029/2022JD037381")</f>
        <v>http://dx.doi.org/10.1029/2022JD037381</v>
      </c>
      <c r="BG125" t="s">
        <v>74</v>
      </c>
      <c r="BH125" t="s">
        <v>74</v>
      </c>
      <c r="BI125">
        <v>9</v>
      </c>
      <c r="BJ125" t="s">
        <v>457</v>
      </c>
      <c r="BK125" t="s">
        <v>100</v>
      </c>
      <c r="BL125" t="s">
        <v>457</v>
      </c>
      <c r="BM125" t="s">
        <v>2757</v>
      </c>
      <c r="BN125" t="s">
        <v>74</v>
      </c>
      <c r="BO125" t="s">
        <v>1341</v>
      </c>
      <c r="BP125" t="s">
        <v>74</v>
      </c>
      <c r="BQ125" t="s">
        <v>74</v>
      </c>
      <c r="BR125" t="s">
        <v>103</v>
      </c>
      <c r="BS125" t="s">
        <v>2758</v>
      </c>
      <c r="BT125" t="str">
        <f>HYPERLINK("https%3A%2F%2Fwww.webofscience.com%2Fwos%2Fwoscc%2Ffull-record%2FWOS:000859030700001","View Full Record in Web of Science")</f>
        <v>View Full Record in Web of Science</v>
      </c>
    </row>
    <row r="126" spans="1:72" x14ac:dyDescent="0.15">
      <c r="A126" t="s">
        <v>72</v>
      </c>
      <c r="B126" t="s">
        <v>2759</v>
      </c>
      <c r="C126" t="s">
        <v>74</v>
      </c>
      <c r="D126" t="s">
        <v>74</v>
      </c>
      <c r="E126" t="s">
        <v>74</v>
      </c>
      <c r="F126" t="s">
        <v>2760</v>
      </c>
      <c r="G126" t="s">
        <v>74</v>
      </c>
      <c r="H126" t="s">
        <v>74</v>
      </c>
      <c r="I126" t="s">
        <v>2761</v>
      </c>
      <c r="J126" t="s">
        <v>2762</v>
      </c>
      <c r="K126" t="s">
        <v>74</v>
      </c>
      <c r="L126" t="s">
        <v>74</v>
      </c>
      <c r="M126" t="s">
        <v>78</v>
      </c>
      <c r="N126" t="s">
        <v>79</v>
      </c>
      <c r="O126" t="s">
        <v>74</v>
      </c>
      <c r="P126" t="s">
        <v>74</v>
      </c>
      <c r="Q126" t="s">
        <v>74</v>
      </c>
      <c r="R126" t="s">
        <v>74</v>
      </c>
      <c r="S126" t="s">
        <v>74</v>
      </c>
      <c r="T126" t="s">
        <v>74</v>
      </c>
      <c r="U126" t="s">
        <v>2763</v>
      </c>
      <c r="V126" t="s">
        <v>2764</v>
      </c>
      <c r="W126" t="s">
        <v>2765</v>
      </c>
      <c r="X126" t="s">
        <v>2766</v>
      </c>
      <c r="Y126" t="s">
        <v>2767</v>
      </c>
      <c r="Z126" t="s">
        <v>2768</v>
      </c>
      <c r="AA126" t="s">
        <v>2769</v>
      </c>
      <c r="AB126" t="s">
        <v>2770</v>
      </c>
      <c r="AC126" t="s">
        <v>2771</v>
      </c>
      <c r="AD126" t="s">
        <v>2771</v>
      </c>
      <c r="AE126" t="s">
        <v>2772</v>
      </c>
      <c r="AF126" t="s">
        <v>74</v>
      </c>
      <c r="AG126">
        <v>62</v>
      </c>
      <c r="AH126">
        <v>5</v>
      </c>
      <c r="AI126">
        <v>5</v>
      </c>
      <c r="AJ126">
        <v>0</v>
      </c>
      <c r="AK126">
        <v>0</v>
      </c>
      <c r="AL126" t="s">
        <v>2773</v>
      </c>
      <c r="AM126" t="s">
        <v>2774</v>
      </c>
      <c r="AN126" t="s">
        <v>2775</v>
      </c>
      <c r="AO126" t="s">
        <v>74</v>
      </c>
      <c r="AP126" t="s">
        <v>2776</v>
      </c>
      <c r="AQ126" t="s">
        <v>74</v>
      </c>
      <c r="AR126" t="s">
        <v>2777</v>
      </c>
      <c r="AS126" t="s">
        <v>2778</v>
      </c>
      <c r="AT126" t="s">
        <v>2712</v>
      </c>
      <c r="AU126">
        <v>2022</v>
      </c>
      <c r="AV126">
        <v>2</v>
      </c>
      <c r="AW126">
        <v>1</v>
      </c>
      <c r="AX126" t="s">
        <v>74</v>
      </c>
      <c r="AY126" t="s">
        <v>74</v>
      </c>
      <c r="AZ126" t="s">
        <v>74</v>
      </c>
      <c r="BA126" t="s">
        <v>74</v>
      </c>
      <c r="BB126" t="s">
        <v>74</v>
      </c>
      <c r="BC126" t="s">
        <v>74</v>
      </c>
      <c r="BD126">
        <v>90</v>
      </c>
      <c r="BE126" t="s">
        <v>2779</v>
      </c>
      <c r="BF126" t="str">
        <f>HYPERLINK("http://dx.doi.org/10.1038/s43705-022-00173-w","http://dx.doi.org/10.1038/s43705-022-00173-w")</f>
        <v>http://dx.doi.org/10.1038/s43705-022-00173-w</v>
      </c>
      <c r="BG126" t="s">
        <v>74</v>
      </c>
      <c r="BH126" t="s">
        <v>74</v>
      </c>
      <c r="BI126">
        <v>12</v>
      </c>
      <c r="BJ126" t="s">
        <v>2780</v>
      </c>
      <c r="BK126" t="s">
        <v>215</v>
      </c>
      <c r="BL126" t="s">
        <v>2781</v>
      </c>
      <c r="BM126" t="s">
        <v>2782</v>
      </c>
      <c r="BN126">
        <v>37938734</v>
      </c>
      <c r="BO126" t="s">
        <v>132</v>
      </c>
      <c r="BP126" t="s">
        <v>74</v>
      </c>
      <c r="BQ126" t="s">
        <v>74</v>
      </c>
      <c r="BR126" t="s">
        <v>103</v>
      </c>
      <c r="BS126" t="s">
        <v>2783</v>
      </c>
      <c r="BT126" t="str">
        <f>HYPERLINK("https%3A%2F%2Fwww.webofscience.com%2Fwos%2Fwoscc%2Ffull-record%2FWOS:001105680800002","View Full Record in Web of Science")</f>
        <v>View Full Record in Web of Science</v>
      </c>
    </row>
    <row r="127" spans="1:72" x14ac:dyDescent="0.15">
      <c r="A127" t="s">
        <v>72</v>
      </c>
      <c r="B127" t="s">
        <v>2784</v>
      </c>
      <c r="C127" t="s">
        <v>74</v>
      </c>
      <c r="D127" t="s">
        <v>74</v>
      </c>
      <c r="E127" t="s">
        <v>74</v>
      </c>
      <c r="F127" t="s">
        <v>2785</v>
      </c>
      <c r="G127" t="s">
        <v>74</v>
      </c>
      <c r="H127" t="s">
        <v>74</v>
      </c>
      <c r="I127" t="s">
        <v>2786</v>
      </c>
      <c r="J127" t="s">
        <v>2738</v>
      </c>
      <c r="K127" t="s">
        <v>74</v>
      </c>
      <c r="L127" t="s">
        <v>74</v>
      </c>
      <c r="M127" t="s">
        <v>78</v>
      </c>
      <c r="N127" t="s">
        <v>79</v>
      </c>
      <c r="O127" t="s">
        <v>74</v>
      </c>
      <c r="P127" t="s">
        <v>74</v>
      </c>
      <c r="Q127" t="s">
        <v>74</v>
      </c>
      <c r="R127" t="s">
        <v>74</v>
      </c>
      <c r="S127" t="s">
        <v>74</v>
      </c>
      <c r="T127" t="s">
        <v>2787</v>
      </c>
      <c r="U127" t="s">
        <v>2788</v>
      </c>
      <c r="V127" t="s">
        <v>2789</v>
      </c>
      <c r="W127" t="s">
        <v>2790</v>
      </c>
      <c r="X127" t="s">
        <v>2791</v>
      </c>
      <c r="Y127" t="s">
        <v>2792</v>
      </c>
      <c r="Z127" t="s">
        <v>2793</v>
      </c>
      <c r="AA127" t="s">
        <v>74</v>
      </c>
      <c r="AB127" t="s">
        <v>2794</v>
      </c>
      <c r="AC127" t="s">
        <v>2795</v>
      </c>
      <c r="AD127" t="s">
        <v>2796</v>
      </c>
      <c r="AE127" t="s">
        <v>2797</v>
      </c>
      <c r="AF127" t="s">
        <v>74</v>
      </c>
      <c r="AG127">
        <v>84</v>
      </c>
      <c r="AH127">
        <v>4</v>
      </c>
      <c r="AI127">
        <v>4</v>
      </c>
      <c r="AJ127">
        <v>3</v>
      </c>
      <c r="AK127">
        <v>23</v>
      </c>
      <c r="AL127" t="s">
        <v>946</v>
      </c>
      <c r="AM127" t="s">
        <v>207</v>
      </c>
      <c r="AN127" t="s">
        <v>947</v>
      </c>
      <c r="AO127" t="s">
        <v>2751</v>
      </c>
      <c r="AP127" t="s">
        <v>2752</v>
      </c>
      <c r="AQ127" t="s">
        <v>74</v>
      </c>
      <c r="AR127" t="s">
        <v>2753</v>
      </c>
      <c r="AS127" t="s">
        <v>2754</v>
      </c>
      <c r="AT127" t="s">
        <v>2712</v>
      </c>
      <c r="AU127">
        <v>2022</v>
      </c>
      <c r="AV127">
        <v>127</v>
      </c>
      <c r="AW127">
        <v>18</v>
      </c>
      <c r="AX127" t="s">
        <v>74</v>
      </c>
      <c r="AY127" t="s">
        <v>74</v>
      </c>
      <c r="AZ127" t="s">
        <v>74</v>
      </c>
      <c r="BA127" t="s">
        <v>74</v>
      </c>
      <c r="BB127" t="s">
        <v>74</v>
      </c>
      <c r="BC127" t="s">
        <v>74</v>
      </c>
      <c r="BD127" t="s">
        <v>2798</v>
      </c>
      <c r="BE127" t="s">
        <v>2799</v>
      </c>
      <c r="BF127" t="str">
        <f>HYPERLINK("http://dx.doi.org/10.1029/2022JD037199","http://dx.doi.org/10.1029/2022JD037199")</f>
        <v>http://dx.doi.org/10.1029/2022JD037199</v>
      </c>
      <c r="BG127" t="s">
        <v>74</v>
      </c>
      <c r="BH127" t="s">
        <v>74</v>
      </c>
      <c r="BI127">
        <v>13</v>
      </c>
      <c r="BJ127" t="s">
        <v>457</v>
      </c>
      <c r="BK127" t="s">
        <v>100</v>
      </c>
      <c r="BL127" t="s">
        <v>457</v>
      </c>
      <c r="BM127" t="s">
        <v>2800</v>
      </c>
      <c r="BN127" t="s">
        <v>74</v>
      </c>
      <c r="BO127" t="s">
        <v>831</v>
      </c>
      <c r="BP127" t="s">
        <v>74</v>
      </c>
      <c r="BQ127" t="s">
        <v>74</v>
      </c>
      <c r="BR127" t="s">
        <v>103</v>
      </c>
      <c r="BS127" t="s">
        <v>2801</v>
      </c>
      <c r="BT127" t="str">
        <f>HYPERLINK("https%3A%2F%2Fwww.webofscience.com%2Fwos%2Fwoscc%2Ffull-record%2FWOS:000855304600001","View Full Record in Web of Science")</f>
        <v>View Full Record in Web of Science</v>
      </c>
    </row>
    <row r="128" spans="1:72" x14ac:dyDescent="0.15">
      <c r="A128" t="s">
        <v>72</v>
      </c>
      <c r="B128" t="s">
        <v>2802</v>
      </c>
      <c r="C128" t="s">
        <v>74</v>
      </c>
      <c r="D128" t="s">
        <v>74</v>
      </c>
      <c r="E128" t="s">
        <v>74</v>
      </c>
      <c r="F128" t="s">
        <v>2803</v>
      </c>
      <c r="G128" t="s">
        <v>74</v>
      </c>
      <c r="H128" t="s">
        <v>74</v>
      </c>
      <c r="I128" t="s">
        <v>2804</v>
      </c>
      <c r="J128" t="s">
        <v>2805</v>
      </c>
      <c r="K128" t="s">
        <v>74</v>
      </c>
      <c r="L128" t="s">
        <v>74</v>
      </c>
      <c r="M128" t="s">
        <v>78</v>
      </c>
      <c r="N128" t="s">
        <v>79</v>
      </c>
      <c r="O128" t="s">
        <v>74</v>
      </c>
      <c r="P128" t="s">
        <v>74</v>
      </c>
      <c r="Q128" t="s">
        <v>74</v>
      </c>
      <c r="R128" t="s">
        <v>74</v>
      </c>
      <c r="S128" t="s">
        <v>74</v>
      </c>
      <c r="T128" t="s">
        <v>2806</v>
      </c>
      <c r="U128" t="s">
        <v>2807</v>
      </c>
      <c r="V128" t="s">
        <v>2808</v>
      </c>
      <c r="W128" t="s">
        <v>2809</v>
      </c>
      <c r="X128" t="s">
        <v>2810</v>
      </c>
      <c r="Y128" t="s">
        <v>2811</v>
      </c>
      <c r="Z128" t="s">
        <v>2812</v>
      </c>
      <c r="AA128" t="s">
        <v>2813</v>
      </c>
      <c r="AB128" t="s">
        <v>2814</v>
      </c>
      <c r="AC128" t="s">
        <v>1670</v>
      </c>
      <c r="AD128" t="s">
        <v>1670</v>
      </c>
      <c r="AE128" t="s">
        <v>1671</v>
      </c>
      <c r="AF128" t="s">
        <v>74</v>
      </c>
      <c r="AG128">
        <v>43</v>
      </c>
      <c r="AH128">
        <v>2</v>
      </c>
      <c r="AI128">
        <v>2</v>
      </c>
      <c r="AJ128">
        <v>5</v>
      </c>
      <c r="AK128">
        <v>14</v>
      </c>
      <c r="AL128" t="s">
        <v>231</v>
      </c>
      <c r="AM128" t="s">
        <v>232</v>
      </c>
      <c r="AN128" t="s">
        <v>233</v>
      </c>
      <c r="AO128" t="s">
        <v>2815</v>
      </c>
      <c r="AP128" t="s">
        <v>2816</v>
      </c>
      <c r="AQ128" t="s">
        <v>74</v>
      </c>
      <c r="AR128" t="s">
        <v>2817</v>
      </c>
      <c r="AS128" t="s">
        <v>2818</v>
      </c>
      <c r="AT128" t="s">
        <v>325</v>
      </c>
      <c r="AU128">
        <v>2022</v>
      </c>
      <c r="AV128">
        <v>318</v>
      </c>
      <c r="AW128">
        <v>4</v>
      </c>
      <c r="AX128" t="s">
        <v>74</v>
      </c>
      <c r="AY128" t="s">
        <v>74</v>
      </c>
      <c r="AZ128" t="s">
        <v>74</v>
      </c>
      <c r="BA128" t="s">
        <v>74</v>
      </c>
      <c r="BB128">
        <v>253</v>
      </c>
      <c r="BC128">
        <v>259</v>
      </c>
      <c r="BD128" t="s">
        <v>74</v>
      </c>
      <c r="BE128" t="s">
        <v>2819</v>
      </c>
      <c r="BF128" t="str">
        <f>HYPERLINK("http://dx.doi.org/10.1111/jzo.13018","http://dx.doi.org/10.1111/jzo.13018")</f>
        <v>http://dx.doi.org/10.1111/jzo.13018</v>
      </c>
      <c r="BG128" t="s">
        <v>74</v>
      </c>
      <c r="BH128" t="s">
        <v>2143</v>
      </c>
      <c r="BI128">
        <v>7</v>
      </c>
      <c r="BJ128" t="s">
        <v>2211</v>
      </c>
      <c r="BK128" t="s">
        <v>100</v>
      </c>
      <c r="BL128" t="s">
        <v>2211</v>
      </c>
      <c r="BM128" t="s">
        <v>2820</v>
      </c>
      <c r="BN128" t="s">
        <v>74</v>
      </c>
      <c r="BO128" t="s">
        <v>1221</v>
      </c>
      <c r="BP128" t="s">
        <v>74</v>
      </c>
      <c r="BQ128" t="s">
        <v>74</v>
      </c>
      <c r="BR128" t="s">
        <v>103</v>
      </c>
      <c r="BS128" t="s">
        <v>2821</v>
      </c>
      <c r="BT128" t="str">
        <f>HYPERLINK("https%3A%2F%2Fwww.webofscience.com%2Fwos%2Fwoscc%2Ffull-record%2FWOS:000859168400001","View Full Record in Web of Science")</f>
        <v>View Full Record in Web of Science</v>
      </c>
    </row>
    <row r="129" spans="1:72" x14ac:dyDescent="0.15">
      <c r="A129" t="s">
        <v>72</v>
      </c>
      <c r="B129" t="s">
        <v>2822</v>
      </c>
      <c r="C129" t="s">
        <v>74</v>
      </c>
      <c r="D129" t="s">
        <v>74</v>
      </c>
      <c r="E129" t="s">
        <v>74</v>
      </c>
      <c r="F129" t="s">
        <v>2823</v>
      </c>
      <c r="G129" t="s">
        <v>74</v>
      </c>
      <c r="H129" t="s">
        <v>74</v>
      </c>
      <c r="I129" t="s">
        <v>2824</v>
      </c>
      <c r="J129" t="s">
        <v>2825</v>
      </c>
      <c r="K129" t="s">
        <v>74</v>
      </c>
      <c r="L129" t="s">
        <v>74</v>
      </c>
      <c r="M129" t="s">
        <v>78</v>
      </c>
      <c r="N129" t="s">
        <v>79</v>
      </c>
      <c r="O129" t="s">
        <v>74</v>
      </c>
      <c r="P129" t="s">
        <v>74</v>
      </c>
      <c r="Q129" t="s">
        <v>74</v>
      </c>
      <c r="R129" t="s">
        <v>74</v>
      </c>
      <c r="S129" t="s">
        <v>74</v>
      </c>
      <c r="T129" t="s">
        <v>2826</v>
      </c>
      <c r="U129" t="s">
        <v>2827</v>
      </c>
      <c r="V129" t="s">
        <v>2828</v>
      </c>
      <c r="W129" t="s">
        <v>2829</v>
      </c>
      <c r="X129" t="s">
        <v>2830</v>
      </c>
      <c r="Y129" t="s">
        <v>2831</v>
      </c>
      <c r="Z129" t="s">
        <v>2832</v>
      </c>
      <c r="AA129" t="s">
        <v>2833</v>
      </c>
      <c r="AB129" t="s">
        <v>2834</v>
      </c>
      <c r="AC129" t="s">
        <v>2835</v>
      </c>
      <c r="AD129" t="s">
        <v>2836</v>
      </c>
      <c r="AE129" t="s">
        <v>2837</v>
      </c>
      <c r="AF129" t="s">
        <v>74</v>
      </c>
      <c r="AG129">
        <v>90</v>
      </c>
      <c r="AH129">
        <v>6</v>
      </c>
      <c r="AI129">
        <v>6</v>
      </c>
      <c r="AJ129">
        <v>5</v>
      </c>
      <c r="AK129">
        <v>22</v>
      </c>
      <c r="AL129" t="s">
        <v>2275</v>
      </c>
      <c r="AM129" t="s">
        <v>90</v>
      </c>
      <c r="AN129" t="s">
        <v>2276</v>
      </c>
      <c r="AO129" t="s">
        <v>2838</v>
      </c>
      <c r="AP129" t="s">
        <v>2839</v>
      </c>
      <c r="AQ129" t="s">
        <v>74</v>
      </c>
      <c r="AR129" t="s">
        <v>2840</v>
      </c>
      <c r="AS129" t="s">
        <v>2841</v>
      </c>
      <c r="AT129" t="s">
        <v>2281</v>
      </c>
      <c r="AU129">
        <v>2022</v>
      </c>
      <c r="AV129">
        <v>169</v>
      </c>
      <c r="AW129" t="s">
        <v>74</v>
      </c>
      <c r="AX129" t="s">
        <v>74</v>
      </c>
      <c r="AY129" t="s">
        <v>74</v>
      </c>
      <c r="AZ129" t="s">
        <v>74</v>
      </c>
      <c r="BA129" t="s">
        <v>74</v>
      </c>
      <c r="BB129" t="s">
        <v>74</v>
      </c>
      <c r="BC129" t="s">
        <v>74</v>
      </c>
      <c r="BD129">
        <v>107492</v>
      </c>
      <c r="BE129" t="s">
        <v>2842</v>
      </c>
      <c r="BF129" t="str">
        <f>HYPERLINK("http://dx.doi.org/10.1016/j.envint.2022.107492","http://dx.doi.org/10.1016/j.envint.2022.107492")</f>
        <v>http://dx.doi.org/10.1016/j.envint.2022.107492</v>
      </c>
      <c r="BG129" t="s">
        <v>74</v>
      </c>
      <c r="BH129" t="s">
        <v>2143</v>
      </c>
      <c r="BI129">
        <v>14</v>
      </c>
      <c r="BJ129" t="s">
        <v>2040</v>
      </c>
      <c r="BK129" t="s">
        <v>100</v>
      </c>
      <c r="BL129" t="s">
        <v>2041</v>
      </c>
      <c r="BM129" t="s">
        <v>2843</v>
      </c>
      <c r="BN129">
        <v>36174481</v>
      </c>
      <c r="BO129" t="s">
        <v>2844</v>
      </c>
      <c r="BP129" t="s">
        <v>74</v>
      </c>
      <c r="BQ129" t="s">
        <v>74</v>
      </c>
      <c r="BR129" t="s">
        <v>103</v>
      </c>
      <c r="BS129" t="s">
        <v>2845</v>
      </c>
      <c r="BT129" t="str">
        <f>HYPERLINK("https%3A%2F%2Fwww.webofscience.com%2Fwos%2Fwoscc%2Ffull-record%2FWOS:000877566500002","View Full Record in Web of Science")</f>
        <v>View Full Record in Web of Science</v>
      </c>
    </row>
    <row r="130" spans="1:72" x14ac:dyDescent="0.15">
      <c r="A130" t="s">
        <v>72</v>
      </c>
      <c r="B130" t="s">
        <v>2846</v>
      </c>
      <c r="C130" t="s">
        <v>74</v>
      </c>
      <c r="D130" t="s">
        <v>74</v>
      </c>
      <c r="E130" t="s">
        <v>74</v>
      </c>
      <c r="F130" t="s">
        <v>2847</v>
      </c>
      <c r="G130" t="s">
        <v>74</v>
      </c>
      <c r="H130" t="s">
        <v>74</v>
      </c>
      <c r="I130" t="s">
        <v>2848</v>
      </c>
      <c r="J130" t="s">
        <v>2849</v>
      </c>
      <c r="K130" t="s">
        <v>74</v>
      </c>
      <c r="L130" t="s">
        <v>74</v>
      </c>
      <c r="M130" t="s">
        <v>78</v>
      </c>
      <c r="N130" t="s">
        <v>79</v>
      </c>
      <c r="O130" t="s">
        <v>74</v>
      </c>
      <c r="P130" t="s">
        <v>74</v>
      </c>
      <c r="Q130" t="s">
        <v>74</v>
      </c>
      <c r="R130" t="s">
        <v>74</v>
      </c>
      <c r="S130" t="s">
        <v>74</v>
      </c>
      <c r="T130" t="s">
        <v>2850</v>
      </c>
      <c r="U130" t="s">
        <v>2851</v>
      </c>
      <c r="V130" t="s">
        <v>2852</v>
      </c>
      <c r="W130" t="s">
        <v>2853</v>
      </c>
      <c r="X130" t="s">
        <v>2854</v>
      </c>
      <c r="Y130" t="s">
        <v>2855</v>
      </c>
      <c r="Z130" t="s">
        <v>2856</v>
      </c>
      <c r="AA130" t="s">
        <v>2857</v>
      </c>
      <c r="AB130" t="s">
        <v>2858</v>
      </c>
      <c r="AC130" t="s">
        <v>2859</v>
      </c>
      <c r="AD130" t="s">
        <v>2860</v>
      </c>
      <c r="AE130" t="s">
        <v>2861</v>
      </c>
      <c r="AF130" t="s">
        <v>74</v>
      </c>
      <c r="AG130">
        <v>62</v>
      </c>
      <c r="AH130">
        <v>1</v>
      </c>
      <c r="AI130">
        <v>1</v>
      </c>
      <c r="AJ130">
        <v>0</v>
      </c>
      <c r="AK130">
        <v>3</v>
      </c>
      <c r="AL130" t="s">
        <v>2249</v>
      </c>
      <c r="AM130" t="s">
        <v>90</v>
      </c>
      <c r="AN130" t="s">
        <v>2250</v>
      </c>
      <c r="AO130" t="s">
        <v>2862</v>
      </c>
      <c r="AP130" t="s">
        <v>2863</v>
      </c>
      <c r="AQ130" t="s">
        <v>74</v>
      </c>
      <c r="AR130" t="s">
        <v>2864</v>
      </c>
      <c r="AS130" t="s">
        <v>2865</v>
      </c>
      <c r="AT130" t="s">
        <v>2281</v>
      </c>
      <c r="AU130">
        <v>2022</v>
      </c>
      <c r="AV130">
        <v>179</v>
      </c>
      <c r="AW130" t="s">
        <v>74</v>
      </c>
      <c r="AX130" t="s">
        <v>74</v>
      </c>
      <c r="AY130" t="s">
        <v>74</v>
      </c>
      <c r="AZ130" t="s">
        <v>74</v>
      </c>
      <c r="BA130" t="s">
        <v>74</v>
      </c>
      <c r="BB130" t="s">
        <v>74</v>
      </c>
      <c r="BC130" t="s">
        <v>74</v>
      </c>
      <c r="BD130">
        <v>102109</v>
      </c>
      <c r="BE130" t="s">
        <v>2866</v>
      </c>
      <c r="BF130" t="str">
        <f>HYPERLINK("http://dx.doi.org/10.1016/j.ocemod.2022.102109","http://dx.doi.org/10.1016/j.ocemod.2022.102109")</f>
        <v>http://dx.doi.org/10.1016/j.ocemod.2022.102109</v>
      </c>
      <c r="BG130" t="s">
        <v>74</v>
      </c>
      <c r="BH130" t="s">
        <v>2143</v>
      </c>
      <c r="BI130">
        <v>14</v>
      </c>
      <c r="BJ130" t="s">
        <v>1033</v>
      </c>
      <c r="BK130" t="s">
        <v>100</v>
      </c>
      <c r="BL130" t="s">
        <v>1033</v>
      </c>
      <c r="BM130" t="s">
        <v>2867</v>
      </c>
      <c r="BN130" t="s">
        <v>74</v>
      </c>
      <c r="BO130" t="s">
        <v>831</v>
      </c>
      <c r="BP130" t="s">
        <v>74</v>
      </c>
      <c r="BQ130" t="s">
        <v>74</v>
      </c>
      <c r="BR130" t="s">
        <v>103</v>
      </c>
      <c r="BS130" t="s">
        <v>2868</v>
      </c>
      <c r="BT130" t="str">
        <f>HYPERLINK("https%3A%2F%2Fwww.webofscience.com%2Fwos%2Fwoscc%2Ffull-record%2FWOS:000876815100004","View Full Record in Web of Science")</f>
        <v>View Full Record in Web of Science</v>
      </c>
    </row>
    <row r="131" spans="1:72" x14ac:dyDescent="0.15">
      <c r="A131" t="s">
        <v>72</v>
      </c>
      <c r="B131" t="s">
        <v>2869</v>
      </c>
      <c r="C131" t="s">
        <v>74</v>
      </c>
      <c r="D131" t="s">
        <v>74</v>
      </c>
      <c r="E131" t="s">
        <v>74</v>
      </c>
      <c r="F131" t="s">
        <v>2870</v>
      </c>
      <c r="G131" t="s">
        <v>74</v>
      </c>
      <c r="H131" t="s">
        <v>74</v>
      </c>
      <c r="I131" t="s">
        <v>2871</v>
      </c>
      <c r="J131" t="s">
        <v>2872</v>
      </c>
      <c r="K131" t="s">
        <v>74</v>
      </c>
      <c r="L131" t="s">
        <v>74</v>
      </c>
      <c r="M131" t="s">
        <v>78</v>
      </c>
      <c r="N131" t="s">
        <v>2873</v>
      </c>
      <c r="O131" t="s">
        <v>74</v>
      </c>
      <c r="P131" t="s">
        <v>74</v>
      </c>
      <c r="Q131" t="s">
        <v>74</v>
      </c>
      <c r="R131" t="s">
        <v>74</v>
      </c>
      <c r="S131" t="s">
        <v>74</v>
      </c>
      <c r="T131" t="s">
        <v>74</v>
      </c>
      <c r="U131" t="s">
        <v>74</v>
      </c>
      <c r="V131" t="s">
        <v>74</v>
      </c>
      <c r="W131" t="s">
        <v>74</v>
      </c>
      <c r="X131" t="s">
        <v>74</v>
      </c>
      <c r="Y131" t="s">
        <v>74</v>
      </c>
      <c r="Z131" t="s">
        <v>2874</v>
      </c>
      <c r="AA131" t="s">
        <v>2875</v>
      </c>
      <c r="AB131" t="s">
        <v>74</v>
      </c>
      <c r="AC131" t="s">
        <v>74</v>
      </c>
      <c r="AD131" t="s">
        <v>74</v>
      </c>
      <c r="AE131" t="s">
        <v>74</v>
      </c>
      <c r="AF131" t="s">
        <v>74</v>
      </c>
      <c r="AG131">
        <v>1</v>
      </c>
      <c r="AH131">
        <v>0</v>
      </c>
      <c r="AI131">
        <v>0</v>
      </c>
      <c r="AJ131">
        <v>0</v>
      </c>
      <c r="AK131">
        <v>1</v>
      </c>
      <c r="AL131" t="s">
        <v>2876</v>
      </c>
      <c r="AM131" t="s">
        <v>346</v>
      </c>
      <c r="AN131" t="s">
        <v>2877</v>
      </c>
      <c r="AO131" t="s">
        <v>2878</v>
      </c>
      <c r="AP131" t="s">
        <v>2879</v>
      </c>
      <c r="AQ131" t="s">
        <v>74</v>
      </c>
      <c r="AR131" t="s">
        <v>2880</v>
      </c>
      <c r="AS131" t="s">
        <v>2881</v>
      </c>
      <c r="AT131" t="s">
        <v>2882</v>
      </c>
      <c r="AU131">
        <v>2022</v>
      </c>
      <c r="AV131">
        <v>32</v>
      </c>
      <c r="AW131">
        <v>18</v>
      </c>
      <c r="AX131" t="s">
        <v>74</v>
      </c>
      <c r="AY131" t="s">
        <v>74</v>
      </c>
      <c r="AZ131" t="s">
        <v>74</v>
      </c>
      <c r="BA131" t="s">
        <v>74</v>
      </c>
      <c r="BB131">
        <v>4101</v>
      </c>
      <c r="BC131">
        <v>4101</v>
      </c>
      <c r="BD131" t="s">
        <v>74</v>
      </c>
      <c r="BE131" t="s">
        <v>2883</v>
      </c>
      <c r="BF131" t="str">
        <f>HYPERLINK("http://dx.doi.org/10.1016/j.cub.2022.09.012","http://dx.doi.org/10.1016/j.cub.2022.09.012")</f>
        <v>http://dx.doi.org/10.1016/j.cub.2022.09.012</v>
      </c>
      <c r="BG131" t="s">
        <v>74</v>
      </c>
      <c r="BH131" t="s">
        <v>2143</v>
      </c>
      <c r="BI131">
        <v>1</v>
      </c>
      <c r="BJ131" t="s">
        <v>2884</v>
      </c>
      <c r="BK131" t="s">
        <v>100</v>
      </c>
      <c r="BL131" t="s">
        <v>2885</v>
      </c>
      <c r="BM131" t="s">
        <v>2886</v>
      </c>
      <c r="BN131">
        <v>36167036</v>
      </c>
      <c r="BO131" t="s">
        <v>831</v>
      </c>
      <c r="BP131" t="s">
        <v>74</v>
      </c>
      <c r="BQ131" t="s">
        <v>74</v>
      </c>
      <c r="BR131" t="s">
        <v>103</v>
      </c>
      <c r="BS131" t="s">
        <v>2887</v>
      </c>
      <c r="BT131" t="str">
        <f>HYPERLINK("https%3A%2F%2Fwww.webofscience.com%2Fwos%2Fwoscc%2Ffull-record%2FWOS:000871825200010","View Full Record in Web of Science")</f>
        <v>View Full Record in Web of Science</v>
      </c>
    </row>
    <row r="132" spans="1:72" x14ac:dyDescent="0.15">
      <c r="A132" t="s">
        <v>72</v>
      </c>
      <c r="B132" t="s">
        <v>2888</v>
      </c>
      <c r="C132" t="s">
        <v>74</v>
      </c>
      <c r="D132" t="s">
        <v>74</v>
      </c>
      <c r="E132" t="s">
        <v>74</v>
      </c>
      <c r="F132" t="s">
        <v>2889</v>
      </c>
      <c r="G132" t="s">
        <v>74</v>
      </c>
      <c r="H132" t="s">
        <v>74</v>
      </c>
      <c r="I132" t="s">
        <v>2890</v>
      </c>
      <c r="J132" t="s">
        <v>2891</v>
      </c>
      <c r="K132" t="s">
        <v>74</v>
      </c>
      <c r="L132" t="s">
        <v>74</v>
      </c>
      <c r="M132" t="s">
        <v>78</v>
      </c>
      <c r="N132" t="s">
        <v>79</v>
      </c>
      <c r="O132" t="s">
        <v>74</v>
      </c>
      <c r="P132" t="s">
        <v>74</v>
      </c>
      <c r="Q132" t="s">
        <v>74</v>
      </c>
      <c r="R132" t="s">
        <v>74</v>
      </c>
      <c r="S132" t="s">
        <v>74</v>
      </c>
      <c r="T132" t="s">
        <v>74</v>
      </c>
      <c r="U132" t="s">
        <v>2892</v>
      </c>
      <c r="V132" t="s">
        <v>2893</v>
      </c>
      <c r="W132" t="s">
        <v>2894</v>
      </c>
      <c r="X132" t="s">
        <v>2895</v>
      </c>
      <c r="Y132" t="s">
        <v>2896</v>
      </c>
      <c r="Z132" t="s">
        <v>74</v>
      </c>
      <c r="AA132" t="s">
        <v>74</v>
      </c>
      <c r="AB132" t="s">
        <v>74</v>
      </c>
      <c r="AC132" t="s">
        <v>2897</v>
      </c>
      <c r="AD132" t="s">
        <v>2898</v>
      </c>
      <c r="AE132" t="s">
        <v>2899</v>
      </c>
      <c r="AF132" t="s">
        <v>74</v>
      </c>
      <c r="AG132">
        <v>107</v>
      </c>
      <c r="AH132">
        <v>5</v>
      </c>
      <c r="AI132">
        <v>5</v>
      </c>
      <c r="AJ132">
        <v>0</v>
      </c>
      <c r="AK132">
        <v>2</v>
      </c>
      <c r="AL132" t="s">
        <v>2900</v>
      </c>
      <c r="AM132" t="s">
        <v>2901</v>
      </c>
      <c r="AN132" t="s">
        <v>2902</v>
      </c>
      <c r="AO132" t="s">
        <v>2903</v>
      </c>
      <c r="AP132" t="s">
        <v>2904</v>
      </c>
      <c r="AQ132" t="s">
        <v>74</v>
      </c>
      <c r="AR132" t="s">
        <v>2905</v>
      </c>
      <c r="AS132" t="s">
        <v>2906</v>
      </c>
      <c r="AT132" t="s">
        <v>2882</v>
      </c>
      <c r="AU132">
        <v>2022</v>
      </c>
      <c r="AV132">
        <v>106</v>
      </c>
      <c r="AW132">
        <v>6</v>
      </c>
      <c r="AX132" t="s">
        <v>74</v>
      </c>
      <c r="AY132" t="s">
        <v>74</v>
      </c>
      <c r="AZ132" t="s">
        <v>74</v>
      </c>
      <c r="BA132" t="s">
        <v>74</v>
      </c>
      <c r="BB132" t="s">
        <v>74</v>
      </c>
      <c r="BC132" t="s">
        <v>74</v>
      </c>
      <c r="BD132">
        <v>63022</v>
      </c>
      <c r="BE132" t="s">
        <v>2907</v>
      </c>
      <c r="BF132" t="str">
        <f>HYPERLINK("http://dx.doi.org/10.1103/PhysRevD.106.063022","http://dx.doi.org/10.1103/PhysRevD.106.063022")</f>
        <v>http://dx.doi.org/10.1103/PhysRevD.106.063022</v>
      </c>
      <c r="BG132" t="s">
        <v>74</v>
      </c>
      <c r="BH132" t="s">
        <v>74</v>
      </c>
      <c r="BI132">
        <v>16</v>
      </c>
      <c r="BJ132" t="s">
        <v>2908</v>
      </c>
      <c r="BK132" t="s">
        <v>100</v>
      </c>
      <c r="BL132" t="s">
        <v>2909</v>
      </c>
      <c r="BM132" t="s">
        <v>2910</v>
      </c>
      <c r="BN132" t="s">
        <v>74</v>
      </c>
      <c r="BO132" t="s">
        <v>102</v>
      </c>
      <c r="BP132" t="s">
        <v>74</v>
      </c>
      <c r="BQ132" t="s">
        <v>74</v>
      </c>
      <c r="BR132" t="s">
        <v>103</v>
      </c>
      <c r="BS132" t="s">
        <v>2911</v>
      </c>
      <c r="BT132" t="str">
        <f>HYPERLINK("https%3A%2F%2Fwww.webofscience.com%2Fwos%2Fwoscc%2Ffull-record%2FWOS:000864910000002","View Full Record in Web of Science")</f>
        <v>View Full Record in Web of Science</v>
      </c>
    </row>
    <row r="133" spans="1:72" x14ac:dyDescent="0.15">
      <c r="A133" t="s">
        <v>72</v>
      </c>
      <c r="B133" t="s">
        <v>2912</v>
      </c>
      <c r="C133" t="s">
        <v>74</v>
      </c>
      <c r="D133" t="s">
        <v>74</v>
      </c>
      <c r="E133" t="s">
        <v>74</v>
      </c>
      <c r="F133" t="s">
        <v>2913</v>
      </c>
      <c r="G133" t="s">
        <v>74</v>
      </c>
      <c r="H133" t="s">
        <v>74</v>
      </c>
      <c r="I133" t="s">
        <v>2914</v>
      </c>
      <c r="J133" t="s">
        <v>2915</v>
      </c>
      <c r="K133" t="s">
        <v>74</v>
      </c>
      <c r="L133" t="s">
        <v>74</v>
      </c>
      <c r="M133" t="s">
        <v>78</v>
      </c>
      <c r="N133" t="s">
        <v>79</v>
      </c>
      <c r="O133" t="s">
        <v>74</v>
      </c>
      <c r="P133" t="s">
        <v>74</v>
      </c>
      <c r="Q133" t="s">
        <v>74</v>
      </c>
      <c r="R133" t="s">
        <v>74</v>
      </c>
      <c r="S133" t="s">
        <v>74</v>
      </c>
      <c r="T133" t="s">
        <v>2916</v>
      </c>
      <c r="U133" t="s">
        <v>2917</v>
      </c>
      <c r="V133" t="s">
        <v>2918</v>
      </c>
      <c r="W133" t="s">
        <v>2919</v>
      </c>
      <c r="X133" t="s">
        <v>2920</v>
      </c>
      <c r="Y133" t="s">
        <v>2921</v>
      </c>
      <c r="Z133" t="s">
        <v>2922</v>
      </c>
      <c r="AA133" t="s">
        <v>2923</v>
      </c>
      <c r="AB133" t="s">
        <v>2924</v>
      </c>
      <c r="AC133" t="s">
        <v>2925</v>
      </c>
      <c r="AD133" t="s">
        <v>2926</v>
      </c>
      <c r="AE133" t="s">
        <v>2927</v>
      </c>
      <c r="AF133" t="s">
        <v>74</v>
      </c>
      <c r="AG133">
        <v>101</v>
      </c>
      <c r="AH133">
        <v>3</v>
      </c>
      <c r="AI133">
        <v>3</v>
      </c>
      <c r="AJ133">
        <v>11</v>
      </c>
      <c r="AK133">
        <v>23</v>
      </c>
      <c r="AL133" t="s">
        <v>1733</v>
      </c>
      <c r="AM133" t="s">
        <v>1734</v>
      </c>
      <c r="AN133" t="s">
        <v>1735</v>
      </c>
      <c r="AO133" t="s">
        <v>2928</v>
      </c>
      <c r="AP133" t="s">
        <v>2929</v>
      </c>
      <c r="AQ133" t="s">
        <v>74</v>
      </c>
      <c r="AR133" t="s">
        <v>2930</v>
      </c>
      <c r="AS133" t="s">
        <v>2931</v>
      </c>
      <c r="AT133" t="s">
        <v>325</v>
      </c>
      <c r="AU133">
        <v>2022</v>
      </c>
      <c r="AV133">
        <v>265</v>
      </c>
      <c r="AW133" t="s">
        <v>74</v>
      </c>
      <c r="AX133" t="s">
        <v>74</v>
      </c>
      <c r="AY133" t="s">
        <v>74</v>
      </c>
      <c r="AZ133" t="s">
        <v>74</v>
      </c>
      <c r="BA133" t="s">
        <v>74</v>
      </c>
      <c r="BB133" t="s">
        <v>74</v>
      </c>
      <c r="BC133" t="s">
        <v>74</v>
      </c>
      <c r="BD133">
        <v>127197</v>
      </c>
      <c r="BE133" t="s">
        <v>2932</v>
      </c>
      <c r="BF133" t="str">
        <f>HYPERLINK("http://dx.doi.org/10.1016/j.micres.2022.127197","http://dx.doi.org/10.1016/j.micres.2022.127197")</f>
        <v>http://dx.doi.org/10.1016/j.micres.2022.127197</v>
      </c>
      <c r="BG133" t="s">
        <v>74</v>
      </c>
      <c r="BH133" t="s">
        <v>2143</v>
      </c>
      <c r="BI133">
        <v>11</v>
      </c>
      <c r="BJ133" t="s">
        <v>214</v>
      </c>
      <c r="BK133" t="s">
        <v>100</v>
      </c>
      <c r="BL133" t="s">
        <v>214</v>
      </c>
      <c r="BM133" t="s">
        <v>2933</v>
      </c>
      <c r="BN133">
        <v>36174355</v>
      </c>
      <c r="BO133" t="s">
        <v>2934</v>
      </c>
      <c r="BP133" t="s">
        <v>74</v>
      </c>
      <c r="BQ133" t="s">
        <v>74</v>
      </c>
      <c r="BR133" t="s">
        <v>103</v>
      </c>
      <c r="BS133" t="s">
        <v>2935</v>
      </c>
      <c r="BT133" t="str">
        <f>HYPERLINK("https%3A%2F%2Fwww.webofscience.com%2Fwos%2Fwoscc%2Ffull-record%2FWOS:000863947900003","View Full Record in Web of Science")</f>
        <v>View Full Record in Web of Science</v>
      </c>
    </row>
    <row r="134" spans="1:72" x14ac:dyDescent="0.15">
      <c r="A134" t="s">
        <v>72</v>
      </c>
      <c r="B134" t="s">
        <v>2936</v>
      </c>
      <c r="C134" t="s">
        <v>74</v>
      </c>
      <c r="D134" t="s">
        <v>74</v>
      </c>
      <c r="E134" t="s">
        <v>74</v>
      </c>
      <c r="F134" t="s">
        <v>2937</v>
      </c>
      <c r="G134" t="s">
        <v>74</v>
      </c>
      <c r="H134" t="s">
        <v>74</v>
      </c>
      <c r="I134" t="s">
        <v>2938</v>
      </c>
      <c r="J134" t="s">
        <v>2939</v>
      </c>
      <c r="K134" t="s">
        <v>74</v>
      </c>
      <c r="L134" t="s">
        <v>74</v>
      </c>
      <c r="M134" t="s">
        <v>78</v>
      </c>
      <c r="N134" t="s">
        <v>79</v>
      </c>
      <c r="O134" t="s">
        <v>74</v>
      </c>
      <c r="P134" t="s">
        <v>74</v>
      </c>
      <c r="Q134" t="s">
        <v>74</v>
      </c>
      <c r="R134" t="s">
        <v>74</v>
      </c>
      <c r="S134" t="s">
        <v>74</v>
      </c>
      <c r="T134" t="s">
        <v>2940</v>
      </c>
      <c r="U134" t="s">
        <v>2941</v>
      </c>
      <c r="V134" t="s">
        <v>2942</v>
      </c>
      <c r="W134" t="s">
        <v>2943</v>
      </c>
      <c r="X134" t="s">
        <v>2944</v>
      </c>
      <c r="Y134" t="s">
        <v>2945</v>
      </c>
      <c r="Z134" t="s">
        <v>2946</v>
      </c>
      <c r="AA134" t="s">
        <v>2947</v>
      </c>
      <c r="AB134" t="s">
        <v>2948</v>
      </c>
      <c r="AC134" t="s">
        <v>2949</v>
      </c>
      <c r="AD134" t="s">
        <v>2950</v>
      </c>
      <c r="AE134" t="s">
        <v>2951</v>
      </c>
      <c r="AF134" t="s">
        <v>74</v>
      </c>
      <c r="AG134">
        <v>48</v>
      </c>
      <c r="AH134">
        <v>0</v>
      </c>
      <c r="AI134">
        <v>0</v>
      </c>
      <c r="AJ134">
        <v>5</v>
      </c>
      <c r="AK134">
        <v>13</v>
      </c>
      <c r="AL134" t="s">
        <v>178</v>
      </c>
      <c r="AM134" t="s">
        <v>450</v>
      </c>
      <c r="AN134" t="s">
        <v>668</v>
      </c>
      <c r="AO134" t="s">
        <v>2952</v>
      </c>
      <c r="AP134" t="s">
        <v>2953</v>
      </c>
      <c r="AQ134" t="s">
        <v>74</v>
      </c>
      <c r="AR134" t="s">
        <v>2954</v>
      </c>
      <c r="AS134" t="s">
        <v>2955</v>
      </c>
      <c r="AT134" t="s">
        <v>2281</v>
      </c>
      <c r="AU134">
        <v>2022</v>
      </c>
      <c r="AV134">
        <v>106</v>
      </c>
      <c r="AW134">
        <v>21</v>
      </c>
      <c r="AX134" t="s">
        <v>74</v>
      </c>
      <c r="AY134" t="s">
        <v>74</v>
      </c>
      <c r="AZ134" t="s">
        <v>74</v>
      </c>
      <c r="BA134" t="s">
        <v>74</v>
      </c>
      <c r="BB134">
        <v>7173</v>
      </c>
      <c r="BC134">
        <v>7185</v>
      </c>
      <c r="BD134" t="s">
        <v>74</v>
      </c>
      <c r="BE134" t="s">
        <v>2956</v>
      </c>
      <c r="BF134" t="str">
        <f>HYPERLINK("http://dx.doi.org/10.1007/s00253-022-12180-x","http://dx.doi.org/10.1007/s00253-022-12180-x")</f>
        <v>http://dx.doi.org/10.1007/s00253-022-12180-x</v>
      </c>
      <c r="BG134" t="s">
        <v>74</v>
      </c>
      <c r="BH134" t="s">
        <v>2143</v>
      </c>
      <c r="BI134">
        <v>13</v>
      </c>
      <c r="BJ134" t="s">
        <v>2957</v>
      </c>
      <c r="BK134" t="s">
        <v>100</v>
      </c>
      <c r="BL134" t="s">
        <v>2957</v>
      </c>
      <c r="BM134" t="s">
        <v>2958</v>
      </c>
      <c r="BN134">
        <v>36156161</v>
      </c>
      <c r="BO134" t="s">
        <v>1221</v>
      </c>
      <c r="BP134" t="s">
        <v>74</v>
      </c>
      <c r="BQ134" t="s">
        <v>74</v>
      </c>
      <c r="BR134" t="s">
        <v>103</v>
      </c>
      <c r="BS134" t="s">
        <v>2959</v>
      </c>
      <c r="BT134" t="str">
        <f>HYPERLINK("https%3A%2F%2Fwww.webofscience.com%2Fwos%2Fwoscc%2Ffull-record%2FWOS:000859617100001","View Full Record in Web of Science")</f>
        <v>View Full Record in Web of Science</v>
      </c>
    </row>
    <row r="135" spans="1:72" x14ac:dyDescent="0.15">
      <c r="A135" t="s">
        <v>72</v>
      </c>
      <c r="B135" t="s">
        <v>2960</v>
      </c>
      <c r="C135" t="s">
        <v>74</v>
      </c>
      <c r="D135" t="s">
        <v>74</v>
      </c>
      <c r="E135" t="s">
        <v>74</v>
      </c>
      <c r="F135" t="s">
        <v>2961</v>
      </c>
      <c r="G135" t="s">
        <v>74</v>
      </c>
      <c r="H135" t="s">
        <v>74</v>
      </c>
      <c r="I135" t="s">
        <v>2962</v>
      </c>
      <c r="J135" t="s">
        <v>2963</v>
      </c>
      <c r="K135" t="s">
        <v>74</v>
      </c>
      <c r="L135" t="s">
        <v>74</v>
      </c>
      <c r="M135" t="s">
        <v>78</v>
      </c>
      <c r="N135" t="s">
        <v>79</v>
      </c>
      <c r="O135" t="s">
        <v>74</v>
      </c>
      <c r="P135" t="s">
        <v>74</v>
      </c>
      <c r="Q135" t="s">
        <v>74</v>
      </c>
      <c r="R135" t="s">
        <v>74</v>
      </c>
      <c r="S135" t="s">
        <v>74</v>
      </c>
      <c r="T135" t="s">
        <v>2964</v>
      </c>
      <c r="U135" t="s">
        <v>2965</v>
      </c>
      <c r="V135" t="s">
        <v>2966</v>
      </c>
      <c r="W135" t="s">
        <v>2967</v>
      </c>
      <c r="X135" t="s">
        <v>2968</v>
      </c>
      <c r="Y135" t="s">
        <v>2969</v>
      </c>
      <c r="Z135" t="s">
        <v>2970</v>
      </c>
      <c r="AA135" t="s">
        <v>2971</v>
      </c>
      <c r="AB135" t="s">
        <v>2972</v>
      </c>
      <c r="AC135" t="s">
        <v>2973</v>
      </c>
      <c r="AD135" t="s">
        <v>2974</v>
      </c>
      <c r="AE135" t="s">
        <v>2975</v>
      </c>
      <c r="AF135" t="s">
        <v>74</v>
      </c>
      <c r="AG135">
        <v>112</v>
      </c>
      <c r="AH135">
        <v>2</v>
      </c>
      <c r="AI135">
        <v>2</v>
      </c>
      <c r="AJ135">
        <v>8</v>
      </c>
      <c r="AK135">
        <v>8</v>
      </c>
      <c r="AL135" t="s">
        <v>501</v>
      </c>
      <c r="AM135" t="s">
        <v>502</v>
      </c>
      <c r="AN135" t="s">
        <v>503</v>
      </c>
      <c r="AO135" t="s">
        <v>2976</v>
      </c>
      <c r="AP135" t="s">
        <v>2977</v>
      </c>
      <c r="AQ135" t="s">
        <v>74</v>
      </c>
      <c r="AR135" t="s">
        <v>2963</v>
      </c>
      <c r="AS135" t="s">
        <v>2978</v>
      </c>
      <c r="AT135" t="s">
        <v>2979</v>
      </c>
      <c r="AU135">
        <v>2023</v>
      </c>
      <c r="AV135">
        <v>562</v>
      </c>
      <c r="AW135" t="s">
        <v>74</v>
      </c>
      <c r="AX135" t="s">
        <v>74</v>
      </c>
      <c r="AY135" t="s">
        <v>74</v>
      </c>
      <c r="AZ135" t="s">
        <v>74</v>
      </c>
      <c r="BA135" t="s">
        <v>74</v>
      </c>
      <c r="BB135" t="s">
        <v>74</v>
      </c>
      <c r="BC135" t="s">
        <v>74</v>
      </c>
      <c r="BD135">
        <v>738845</v>
      </c>
      <c r="BE135" t="s">
        <v>2980</v>
      </c>
      <c r="BF135" t="str">
        <f>HYPERLINK("http://dx.doi.org/10.1016/j.aquaculture.2022.738845","http://dx.doi.org/10.1016/j.aquaculture.2022.738845")</f>
        <v>http://dx.doi.org/10.1016/j.aquaculture.2022.738845</v>
      </c>
      <c r="BG135" t="s">
        <v>74</v>
      </c>
      <c r="BH135" t="s">
        <v>2143</v>
      </c>
      <c r="BI135">
        <v>15</v>
      </c>
      <c r="BJ135" t="s">
        <v>1193</v>
      </c>
      <c r="BK135" t="s">
        <v>100</v>
      </c>
      <c r="BL135" t="s">
        <v>1193</v>
      </c>
      <c r="BM135" t="s">
        <v>2981</v>
      </c>
      <c r="BN135" t="s">
        <v>74</v>
      </c>
      <c r="BO135" t="s">
        <v>74</v>
      </c>
      <c r="BP135" t="s">
        <v>74</v>
      </c>
      <c r="BQ135" t="s">
        <v>74</v>
      </c>
      <c r="BR135" t="s">
        <v>103</v>
      </c>
      <c r="BS135" t="s">
        <v>2982</v>
      </c>
      <c r="BT135" t="str">
        <f>HYPERLINK("https%3A%2F%2Fwww.webofscience.com%2Fwos%2Fwoscc%2Ffull-record%2FWOS:000933976300008","View Full Record in Web of Science")</f>
        <v>View Full Record in Web of Science</v>
      </c>
    </row>
    <row r="136" spans="1:72" x14ac:dyDescent="0.15">
      <c r="A136" t="s">
        <v>72</v>
      </c>
      <c r="B136" t="s">
        <v>2983</v>
      </c>
      <c r="C136" t="s">
        <v>74</v>
      </c>
      <c r="D136" t="s">
        <v>74</v>
      </c>
      <c r="E136" t="s">
        <v>74</v>
      </c>
      <c r="F136" t="s">
        <v>2984</v>
      </c>
      <c r="G136" t="s">
        <v>74</v>
      </c>
      <c r="H136" t="s">
        <v>74</v>
      </c>
      <c r="I136" t="s">
        <v>2985</v>
      </c>
      <c r="J136" t="s">
        <v>2986</v>
      </c>
      <c r="K136" t="s">
        <v>74</v>
      </c>
      <c r="L136" t="s">
        <v>74</v>
      </c>
      <c r="M136" t="s">
        <v>78</v>
      </c>
      <c r="N136" t="s">
        <v>79</v>
      </c>
      <c r="O136" t="s">
        <v>74</v>
      </c>
      <c r="P136" t="s">
        <v>74</v>
      </c>
      <c r="Q136" t="s">
        <v>74</v>
      </c>
      <c r="R136" t="s">
        <v>74</v>
      </c>
      <c r="S136" t="s">
        <v>74</v>
      </c>
      <c r="T136" t="s">
        <v>2987</v>
      </c>
      <c r="U136" t="s">
        <v>2988</v>
      </c>
      <c r="V136" t="s">
        <v>2989</v>
      </c>
      <c r="W136" t="s">
        <v>2990</v>
      </c>
      <c r="X136" t="s">
        <v>2991</v>
      </c>
      <c r="Y136" t="s">
        <v>2992</v>
      </c>
      <c r="Z136" t="s">
        <v>2993</v>
      </c>
      <c r="AA136" t="s">
        <v>2994</v>
      </c>
      <c r="AB136" t="s">
        <v>2995</v>
      </c>
      <c r="AC136" t="s">
        <v>2996</v>
      </c>
      <c r="AD136" t="s">
        <v>2997</v>
      </c>
      <c r="AE136" t="s">
        <v>2998</v>
      </c>
      <c r="AF136" t="s">
        <v>74</v>
      </c>
      <c r="AG136">
        <v>86</v>
      </c>
      <c r="AH136">
        <v>1</v>
      </c>
      <c r="AI136">
        <v>1</v>
      </c>
      <c r="AJ136">
        <v>1</v>
      </c>
      <c r="AK136">
        <v>1</v>
      </c>
      <c r="AL136" t="s">
        <v>121</v>
      </c>
      <c r="AM136" t="s">
        <v>122</v>
      </c>
      <c r="AN136" t="s">
        <v>123</v>
      </c>
      <c r="AO136" t="s">
        <v>74</v>
      </c>
      <c r="AP136" t="s">
        <v>2999</v>
      </c>
      <c r="AQ136" t="s">
        <v>74</v>
      </c>
      <c r="AR136" t="s">
        <v>3000</v>
      </c>
      <c r="AS136" t="s">
        <v>3001</v>
      </c>
      <c r="AT136" t="s">
        <v>2882</v>
      </c>
      <c r="AU136">
        <v>2022</v>
      </c>
      <c r="AV136">
        <v>2</v>
      </c>
      <c r="AW136" t="s">
        <v>74</v>
      </c>
      <c r="AX136" t="s">
        <v>74</v>
      </c>
      <c r="AY136" t="s">
        <v>74</v>
      </c>
      <c r="AZ136" t="s">
        <v>74</v>
      </c>
      <c r="BA136" t="s">
        <v>74</v>
      </c>
      <c r="BB136" t="s">
        <v>74</v>
      </c>
      <c r="BC136" t="s">
        <v>74</v>
      </c>
      <c r="BD136">
        <v>995716</v>
      </c>
      <c r="BE136" t="s">
        <v>3002</v>
      </c>
      <c r="BF136" t="str">
        <f>HYPERLINK("http://dx.doi.org/10.3389/fsoil.2022.995716","http://dx.doi.org/10.3389/fsoil.2022.995716")</f>
        <v>http://dx.doi.org/10.3389/fsoil.2022.995716</v>
      </c>
      <c r="BG136" t="s">
        <v>74</v>
      </c>
      <c r="BH136" t="s">
        <v>74</v>
      </c>
      <c r="BI136">
        <v>16</v>
      </c>
      <c r="BJ136" t="s">
        <v>3003</v>
      </c>
      <c r="BK136" t="s">
        <v>215</v>
      </c>
      <c r="BL136" t="s">
        <v>3004</v>
      </c>
      <c r="BM136" t="s">
        <v>3005</v>
      </c>
      <c r="BN136" t="s">
        <v>74</v>
      </c>
      <c r="BO136" t="s">
        <v>159</v>
      </c>
      <c r="BP136" t="s">
        <v>74</v>
      </c>
      <c r="BQ136" t="s">
        <v>74</v>
      </c>
      <c r="BR136" t="s">
        <v>103</v>
      </c>
      <c r="BS136" t="s">
        <v>3006</v>
      </c>
      <c r="BT136" t="str">
        <f>HYPERLINK("https%3A%2F%2Fwww.webofscience.com%2Fwos%2Fwoscc%2Ffull-record%2FWOS:001097677400001","View Full Record in Web of Science")</f>
        <v>View Full Record in Web of Science</v>
      </c>
    </row>
    <row r="137" spans="1:72" x14ac:dyDescent="0.15">
      <c r="A137" t="s">
        <v>72</v>
      </c>
      <c r="B137" t="s">
        <v>3007</v>
      </c>
      <c r="C137" t="s">
        <v>74</v>
      </c>
      <c r="D137" t="s">
        <v>74</v>
      </c>
      <c r="E137" t="s">
        <v>74</v>
      </c>
      <c r="F137" t="s">
        <v>3008</v>
      </c>
      <c r="G137" t="s">
        <v>74</v>
      </c>
      <c r="H137" t="s">
        <v>74</v>
      </c>
      <c r="I137" t="s">
        <v>3009</v>
      </c>
      <c r="J137" t="s">
        <v>3010</v>
      </c>
      <c r="K137" t="s">
        <v>74</v>
      </c>
      <c r="L137" t="s">
        <v>74</v>
      </c>
      <c r="M137" t="s">
        <v>78</v>
      </c>
      <c r="N137" t="s">
        <v>79</v>
      </c>
      <c r="O137" t="s">
        <v>74</v>
      </c>
      <c r="P137" t="s">
        <v>74</v>
      </c>
      <c r="Q137" t="s">
        <v>74</v>
      </c>
      <c r="R137" t="s">
        <v>74</v>
      </c>
      <c r="S137" t="s">
        <v>74</v>
      </c>
      <c r="T137" t="s">
        <v>3011</v>
      </c>
      <c r="U137" t="s">
        <v>3012</v>
      </c>
      <c r="V137" t="s">
        <v>3013</v>
      </c>
      <c r="W137" t="s">
        <v>3014</v>
      </c>
      <c r="X137" t="s">
        <v>3015</v>
      </c>
      <c r="Y137" t="s">
        <v>3016</v>
      </c>
      <c r="Z137" t="s">
        <v>3017</v>
      </c>
      <c r="AA137" t="s">
        <v>3018</v>
      </c>
      <c r="AB137" t="s">
        <v>3019</v>
      </c>
      <c r="AC137" t="s">
        <v>3020</v>
      </c>
      <c r="AD137" t="s">
        <v>3021</v>
      </c>
      <c r="AE137" t="s">
        <v>3022</v>
      </c>
      <c r="AF137" t="s">
        <v>74</v>
      </c>
      <c r="AG137">
        <v>63</v>
      </c>
      <c r="AH137">
        <v>1</v>
      </c>
      <c r="AI137">
        <v>1</v>
      </c>
      <c r="AJ137">
        <v>1</v>
      </c>
      <c r="AK137">
        <v>6</v>
      </c>
      <c r="AL137" t="s">
        <v>1733</v>
      </c>
      <c r="AM137" t="s">
        <v>1734</v>
      </c>
      <c r="AN137" t="s">
        <v>1735</v>
      </c>
      <c r="AO137" t="s">
        <v>3023</v>
      </c>
      <c r="AP137" t="s">
        <v>74</v>
      </c>
      <c r="AQ137" t="s">
        <v>74</v>
      </c>
      <c r="AR137" t="s">
        <v>3024</v>
      </c>
      <c r="AS137" t="s">
        <v>3025</v>
      </c>
      <c r="AT137" t="s">
        <v>2281</v>
      </c>
      <c r="AU137">
        <v>2022</v>
      </c>
      <c r="AV137">
        <v>301</v>
      </c>
      <c r="AW137" t="s">
        <v>74</v>
      </c>
      <c r="AX137" t="s">
        <v>74</v>
      </c>
      <c r="AY137" t="s">
        <v>74</v>
      </c>
      <c r="AZ137" t="s">
        <v>74</v>
      </c>
      <c r="BA137" t="s">
        <v>74</v>
      </c>
      <c r="BB137">
        <v>42</v>
      </c>
      <c r="BC137">
        <v>58</v>
      </c>
      <c r="BD137" t="s">
        <v>74</v>
      </c>
      <c r="BE137" t="s">
        <v>3026</v>
      </c>
      <c r="BF137" t="str">
        <f>HYPERLINK("http://dx.doi.org/10.1016/j.jcz.2022.09.003","http://dx.doi.org/10.1016/j.jcz.2022.09.003")</f>
        <v>http://dx.doi.org/10.1016/j.jcz.2022.09.003</v>
      </c>
      <c r="BG137" t="s">
        <v>74</v>
      </c>
      <c r="BH137" t="s">
        <v>2143</v>
      </c>
      <c r="BI137">
        <v>17</v>
      </c>
      <c r="BJ137" t="s">
        <v>2211</v>
      </c>
      <c r="BK137" t="s">
        <v>100</v>
      </c>
      <c r="BL137" t="s">
        <v>2211</v>
      </c>
      <c r="BM137" t="s">
        <v>3027</v>
      </c>
      <c r="BN137" t="s">
        <v>74</v>
      </c>
      <c r="BO137" t="s">
        <v>74</v>
      </c>
      <c r="BP137" t="s">
        <v>74</v>
      </c>
      <c r="BQ137" t="s">
        <v>74</v>
      </c>
      <c r="BR137" t="s">
        <v>103</v>
      </c>
      <c r="BS137" t="s">
        <v>3028</v>
      </c>
      <c r="BT137" t="str">
        <f>HYPERLINK("https%3A%2F%2Fwww.webofscience.com%2Fwos%2Fwoscc%2Ffull-record%2FWOS:000870235600001","View Full Record in Web of Science")</f>
        <v>View Full Record in Web of Science</v>
      </c>
    </row>
    <row r="138" spans="1:72" x14ac:dyDescent="0.15">
      <c r="A138" t="s">
        <v>72</v>
      </c>
      <c r="B138" t="s">
        <v>3029</v>
      </c>
      <c r="C138" t="s">
        <v>74</v>
      </c>
      <c r="D138" t="s">
        <v>74</v>
      </c>
      <c r="E138" t="s">
        <v>74</v>
      </c>
      <c r="F138" t="s">
        <v>3030</v>
      </c>
      <c r="G138" t="s">
        <v>74</v>
      </c>
      <c r="H138" t="s">
        <v>74</v>
      </c>
      <c r="I138" t="s">
        <v>3031</v>
      </c>
      <c r="J138" t="s">
        <v>3032</v>
      </c>
      <c r="K138" t="s">
        <v>74</v>
      </c>
      <c r="L138" t="s">
        <v>74</v>
      </c>
      <c r="M138" t="s">
        <v>78</v>
      </c>
      <c r="N138" t="s">
        <v>1346</v>
      </c>
      <c r="O138" t="s">
        <v>74</v>
      </c>
      <c r="P138" t="s">
        <v>74</v>
      </c>
      <c r="Q138" t="s">
        <v>74</v>
      </c>
      <c r="R138" t="s">
        <v>74</v>
      </c>
      <c r="S138" t="s">
        <v>74</v>
      </c>
      <c r="T138" t="s">
        <v>3033</v>
      </c>
      <c r="U138" t="s">
        <v>3034</v>
      </c>
      <c r="V138" t="s">
        <v>3035</v>
      </c>
      <c r="W138" t="s">
        <v>3036</v>
      </c>
      <c r="X138" t="s">
        <v>3037</v>
      </c>
      <c r="Y138" t="s">
        <v>3038</v>
      </c>
      <c r="Z138" t="s">
        <v>3039</v>
      </c>
      <c r="AA138" t="s">
        <v>3040</v>
      </c>
      <c r="AB138" t="s">
        <v>3041</v>
      </c>
      <c r="AC138" t="s">
        <v>3042</v>
      </c>
      <c r="AD138" t="s">
        <v>3043</v>
      </c>
      <c r="AE138" t="s">
        <v>3044</v>
      </c>
      <c r="AF138" t="s">
        <v>74</v>
      </c>
      <c r="AG138">
        <v>135</v>
      </c>
      <c r="AH138">
        <v>6</v>
      </c>
      <c r="AI138">
        <v>6</v>
      </c>
      <c r="AJ138">
        <v>3</v>
      </c>
      <c r="AK138">
        <v>28</v>
      </c>
      <c r="AL138" t="s">
        <v>231</v>
      </c>
      <c r="AM138" t="s">
        <v>232</v>
      </c>
      <c r="AN138" t="s">
        <v>233</v>
      </c>
      <c r="AO138" t="s">
        <v>3045</v>
      </c>
      <c r="AP138" t="s">
        <v>3046</v>
      </c>
      <c r="AQ138" t="s">
        <v>74</v>
      </c>
      <c r="AR138" t="s">
        <v>3047</v>
      </c>
      <c r="AS138" t="s">
        <v>3048</v>
      </c>
      <c r="AT138" t="s">
        <v>325</v>
      </c>
      <c r="AU138">
        <v>2023</v>
      </c>
      <c r="AV138">
        <v>32</v>
      </c>
      <c r="AW138">
        <v>23</v>
      </c>
      <c r="AX138" t="s">
        <v>74</v>
      </c>
      <c r="AY138" t="s">
        <v>74</v>
      </c>
      <c r="AZ138" t="s">
        <v>186</v>
      </c>
      <c r="BA138" t="s">
        <v>74</v>
      </c>
      <c r="BB138">
        <v>6161</v>
      </c>
      <c r="BC138">
        <v>6176</v>
      </c>
      <c r="BD138" t="s">
        <v>74</v>
      </c>
      <c r="BE138" t="s">
        <v>3049</v>
      </c>
      <c r="BF138" t="str">
        <f>HYPERLINK("http://dx.doi.org/10.1111/mec.16683","http://dx.doi.org/10.1111/mec.16683")</f>
        <v>http://dx.doi.org/10.1111/mec.16683</v>
      </c>
      <c r="BG138" t="s">
        <v>74</v>
      </c>
      <c r="BH138" t="s">
        <v>2143</v>
      </c>
      <c r="BI138">
        <v>16</v>
      </c>
      <c r="BJ138" t="s">
        <v>3050</v>
      </c>
      <c r="BK138" t="s">
        <v>100</v>
      </c>
      <c r="BL138" t="s">
        <v>3051</v>
      </c>
      <c r="BM138" t="s">
        <v>3052</v>
      </c>
      <c r="BN138">
        <v>36156326</v>
      </c>
      <c r="BO138" t="s">
        <v>3053</v>
      </c>
      <c r="BP138" t="s">
        <v>74</v>
      </c>
      <c r="BQ138" t="s">
        <v>74</v>
      </c>
      <c r="BR138" t="s">
        <v>103</v>
      </c>
      <c r="BS138" t="s">
        <v>3054</v>
      </c>
      <c r="BT138" t="str">
        <f>HYPERLINK("https%3A%2F%2Fwww.webofscience.com%2Fwos%2Fwoscc%2Ffull-record%2FWOS:000862663300001","View Full Record in Web of Science")</f>
        <v>View Full Record in Web of Science</v>
      </c>
    </row>
    <row r="139" spans="1:72" x14ac:dyDescent="0.15">
      <c r="A139" t="s">
        <v>72</v>
      </c>
      <c r="B139" t="s">
        <v>3055</v>
      </c>
      <c r="C139" t="s">
        <v>74</v>
      </c>
      <c r="D139" t="s">
        <v>74</v>
      </c>
      <c r="E139" t="s">
        <v>74</v>
      </c>
      <c r="F139" t="s">
        <v>3056</v>
      </c>
      <c r="G139" t="s">
        <v>74</v>
      </c>
      <c r="H139" t="s">
        <v>74</v>
      </c>
      <c r="I139" t="s">
        <v>3057</v>
      </c>
      <c r="J139" t="s">
        <v>3032</v>
      </c>
      <c r="K139" t="s">
        <v>74</v>
      </c>
      <c r="L139" t="s">
        <v>74</v>
      </c>
      <c r="M139" t="s">
        <v>78</v>
      </c>
      <c r="N139" t="s">
        <v>79</v>
      </c>
      <c r="O139" t="s">
        <v>74</v>
      </c>
      <c r="P139" t="s">
        <v>74</v>
      </c>
      <c r="Q139" t="s">
        <v>74</v>
      </c>
      <c r="R139" t="s">
        <v>74</v>
      </c>
      <c r="S139" t="s">
        <v>74</v>
      </c>
      <c r="T139" t="s">
        <v>3058</v>
      </c>
      <c r="U139" t="s">
        <v>3059</v>
      </c>
      <c r="V139" t="s">
        <v>3060</v>
      </c>
      <c r="W139" t="s">
        <v>3061</v>
      </c>
      <c r="X139" t="s">
        <v>3062</v>
      </c>
      <c r="Y139" t="s">
        <v>3063</v>
      </c>
      <c r="Z139" t="s">
        <v>3064</v>
      </c>
      <c r="AA139" t="s">
        <v>3065</v>
      </c>
      <c r="AB139" t="s">
        <v>3066</v>
      </c>
      <c r="AC139" t="s">
        <v>3067</v>
      </c>
      <c r="AD139" t="s">
        <v>3068</v>
      </c>
      <c r="AE139" t="s">
        <v>3069</v>
      </c>
      <c r="AF139" t="s">
        <v>74</v>
      </c>
      <c r="AG139">
        <v>127</v>
      </c>
      <c r="AH139">
        <v>10</v>
      </c>
      <c r="AI139">
        <v>10</v>
      </c>
      <c r="AJ139">
        <v>5</v>
      </c>
      <c r="AK139">
        <v>20</v>
      </c>
      <c r="AL139" t="s">
        <v>231</v>
      </c>
      <c r="AM139" t="s">
        <v>232</v>
      </c>
      <c r="AN139" t="s">
        <v>233</v>
      </c>
      <c r="AO139" t="s">
        <v>3045</v>
      </c>
      <c r="AP139" t="s">
        <v>3046</v>
      </c>
      <c r="AQ139" t="s">
        <v>74</v>
      </c>
      <c r="AR139" t="s">
        <v>3047</v>
      </c>
      <c r="AS139" t="s">
        <v>3048</v>
      </c>
      <c r="AT139" t="s">
        <v>2281</v>
      </c>
      <c r="AU139">
        <v>2022</v>
      </c>
      <c r="AV139">
        <v>31</v>
      </c>
      <c r="AW139">
        <v>21</v>
      </c>
      <c r="AX139" t="s">
        <v>74</v>
      </c>
      <c r="AY139" t="s">
        <v>74</v>
      </c>
      <c r="AZ139" t="s">
        <v>74</v>
      </c>
      <c r="BA139" t="s">
        <v>74</v>
      </c>
      <c r="BB139">
        <v>5468</v>
      </c>
      <c r="BC139">
        <v>5486</v>
      </c>
      <c r="BD139" t="s">
        <v>74</v>
      </c>
      <c r="BE139" t="s">
        <v>3070</v>
      </c>
      <c r="BF139" t="str">
        <f>HYPERLINK("http://dx.doi.org/10.1111/mec.16680","http://dx.doi.org/10.1111/mec.16680")</f>
        <v>http://dx.doi.org/10.1111/mec.16680</v>
      </c>
      <c r="BG139" t="s">
        <v>74</v>
      </c>
      <c r="BH139" t="s">
        <v>2143</v>
      </c>
      <c r="BI139">
        <v>19</v>
      </c>
      <c r="BJ139" t="s">
        <v>3050</v>
      </c>
      <c r="BK139" t="s">
        <v>100</v>
      </c>
      <c r="BL139" t="s">
        <v>3051</v>
      </c>
      <c r="BM139" t="s">
        <v>3071</v>
      </c>
      <c r="BN139">
        <v>36056907</v>
      </c>
      <c r="BO139" t="s">
        <v>1221</v>
      </c>
      <c r="BP139" t="s">
        <v>74</v>
      </c>
      <c r="BQ139" t="s">
        <v>74</v>
      </c>
      <c r="BR139" t="s">
        <v>103</v>
      </c>
      <c r="BS139" t="s">
        <v>3072</v>
      </c>
      <c r="BT139" t="str">
        <f>HYPERLINK("https%3A%2F%2Fwww.webofscience.com%2Fwos%2Fwoscc%2Ffull-record%2FWOS:000859010900001","View Full Record in Web of Science")</f>
        <v>View Full Record in Web of Science</v>
      </c>
    </row>
    <row r="140" spans="1:72" x14ac:dyDescent="0.15">
      <c r="A140" t="s">
        <v>72</v>
      </c>
      <c r="B140" t="s">
        <v>3073</v>
      </c>
      <c r="C140" t="s">
        <v>74</v>
      </c>
      <c r="D140" t="s">
        <v>74</v>
      </c>
      <c r="E140" t="s">
        <v>74</v>
      </c>
      <c r="F140" t="s">
        <v>3074</v>
      </c>
      <c r="G140" t="s">
        <v>74</v>
      </c>
      <c r="H140" t="s">
        <v>74</v>
      </c>
      <c r="I140" t="s">
        <v>3075</v>
      </c>
      <c r="J140" t="s">
        <v>3076</v>
      </c>
      <c r="K140" t="s">
        <v>74</v>
      </c>
      <c r="L140" t="s">
        <v>74</v>
      </c>
      <c r="M140" t="s">
        <v>78</v>
      </c>
      <c r="N140" t="s">
        <v>79</v>
      </c>
      <c r="O140" t="s">
        <v>74</v>
      </c>
      <c r="P140" t="s">
        <v>74</v>
      </c>
      <c r="Q140" t="s">
        <v>74</v>
      </c>
      <c r="R140" t="s">
        <v>74</v>
      </c>
      <c r="S140" t="s">
        <v>74</v>
      </c>
      <c r="T140" t="s">
        <v>3077</v>
      </c>
      <c r="U140" t="s">
        <v>3078</v>
      </c>
      <c r="V140" t="s">
        <v>3079</v>
      </c>
      <c r="W140" t="s">
        <v>3080</v>
      </c>
      <c r="X140" t="s">
        <v>3081</v>
      </c>
      <c r="Y140" t="s">
        <v>3082</v>
      </c>
      <c r="Z140" t="s">
        <v>3083</v>
      </c>
      <c r="AA140" t="s">
        <v>3084</v>
      </c>
      <c r="AB140" t="s">
        <v>3085</v>
      </c>
      <c r="AC140" t="s">
        <v>3086</v>
      </c>
      <c r="AD140" t="s">
        <v>3087</v>
      </c>
      <c r="AE140" t="s">
        <v>3088</v>
      </c>
      <c r="AF140" t="s">
        <v>74</v>
      </c>
      <c r="AG140">
        <v>62</v>
      </c>
      <c r="AH140">
        <v>5</v>
      </c>
      <c r="AI140">
        <v>5</v>
      </c>
      <c r="AJ140">
        <v>1</v>
      </c>
      <c r="AK140">
        <v>10</v>
      </c>
      <c r="AL140" t="s">
        <v>3089</v>
      </c>
      <c r="AM140" t="s">
        <v>2774</v>
      </c>
      <c r="AN140" t="s">
        <v>3090</v>
      </c>
      <c r="AO140" t="s">
        <v>3091</v>
      </c>
      <c r="AP140" t="s">
        <v>3092</v>
      </c>
      <c r="AQ140" t="s">
        <v>74</v>
      </c>
      <c r="AR140" t="s">
        <v>3093</v>
      </c>
      <c r="AS140" t="s">
        <v>3094</v>
      </c>
      <c r="AT140" t="s">
        <v>2281</v>
      </c>
      <c r="AU140">
        <v>2022</v>
      </c>
      <c r="AV140">
        <v>130</v>
      </c>
      <c r="AW140" t="s">
        <v>74</v>
      </c>
      <c r="AX140" t="s">
        <v>74</v>
      </c>
      <c r="AY140" t="s">
        <v>74</v>
      </c>
      <c r="AZ140" t="s">
        <v>74</v>
      </c>
      <c r="BA140" t="s">
        <v>74</v>
      </c>
      <c r="BB140">
        <v>391</v>
      </c>
      <c r="BC140">
        <v>408</v>
      </c>
      <c r="BD140" t="s">
        <v>74</v>
      </c>
      <c r="BE140" t="s">
        <v>3095</v>
      </c>
      <c r="BF140" t="str">
        <f>HYPERLINK("http://dx.doi.org/10.1016/j.fsi.2022.09.025","http://dx.doi.org/10.1016/j.fsi.2022.09.025")</f>
        <v>http://dx.doi.org/10.1016/j.fsi.2022.09.025</v>
      </c>
      <c r="BG140" t="s">
        <v>74</v>
      </c>
      <c r="BH140" t="s">
        <v>2143</v>
      </c>
      <c r="BI140">
        <v>18</v>
      </c>
      <c r="BJ140" t="s">
        <v>3096</v>
      </c>
      <c r="BK140" t="s">
        <v>100</v>
      </c>
      <c r="BL140" t="s">
        <v>3096</v>
      </c>
      <c r="BM140" t="s">
        <v>3097</v>
      </c>
      <c r="BN140">
        <v>36126838</v>
      </c>
      <c r="BO140" t="s">
        <v>74</v>
      </c>
      <c r="BP140" t="s">
        <v>74</v>
      </c>
      <c r="BQ140" t="s">
        <v>74</v>
      </c>
      <c r="BR140" t="s">
        <v>103</v>
      </c>
      <c r="BS140" t="s">
        <v>3098</v>
      </c>
      <c r="BT140" t="str">
        <f>HYPERLINK("https%3A%2F%2Fwww.webofscience.com%2Fwos%2Fwoscc%2Ffull-record%2FWOS:000868921800003","View Full Record in Web of Science")</f>
        <v>View Full Record in Web of Science</v>
      </c>
    </row>
    <row r="141" spans="1:72" x14ac:dyDescent="0.15">
      <c r="A141" t="s">
        <v>72</v>
      </c>
      <c r="B141" t="s">
        <v>3099</v>
      </c>
      <c r="C141" t="s">
        <v>74</v>
      </c>
      <c r="D141" t="s">
        <v>74</v>
      </c>
      <c r="E141" t="s">
        <v>74</v>
      </c>
      <c r="F141" t="s">
        <v>3100</v>
      </c>
      <c r="G141" t="s">
        <v>74</v>
      </c>
      <c r="H141" t="s">
        <v>74</v>
      </c>
      <c r="I141" t="s">
        <v>3101</v>
      </c>
      <c r="J141" t="s">
        <v>3102</v>
      </c>
      <c r="K141" t="s">
        <v>74</v>
      </c>
      <c r="L141" t="s">
        <v>74</v>
      </c>
      <c r="M141" t="s">
        <v>78</v>
      </c>
      <c r="N141" t="s">
        <v>79</v>
      </c>
      <c r="O141" t="s">
        <v>74</v>
      </c>
      <c r="P141" t="s">
        <v>74</v>
      </c>
      <c r="Q141" t="s">
        <v>74</v>
      </c>
      <c r="R141" t="s">
        <v>74</v>
      </c>
      <c r="S141" t="s">
        <v>74</v>
      </c>
      <c r="T141" t="s">
        <v>3103</v>
      </c>
      <c r="U141" t="s">
        <v>3104</v>
      </c>
      <c r="V141" t="s">
        <v>3105</v>
      </c>
      <c r="W141" t="s">
        <v>3106</v>
      </c>
      <c r="X141" t="s">
        <v>3107</v>
      </c>
      <c r="Y141" t="s">
        <v>3108</v>
      </c>
      <c r="Z141" t="s">
        <v>3109</v>
      </c>
      <c r="AA141" t="s">
        <v>74</v>
      </c>
      <c r="AB141" t="s">
        <v>74</v>
      </c>
      <c r="AC141" t="s">
        <v>3110</v>
      </c>
      <c r="AD141" t="s">
        <v>3111</v>
      </c>
      <c r="AE141" t="s">
        <v>3112</v>
      </c>
      <c r="AF141" t="s">
        <v>74</v>
      </c>
      <c r="AG141">
        <v>108</v>
      </c>
      <c r="AH141">
        <v>1</v>
      </c>
      <c r="AI141">
        <v>1</v>
      </c>
      <c r="AJ141">
        <v>0</v>
      </c>
      <c r="AK141">
        <v>3</v>
      </c>
      <c r="AL141" t="s">
        <v>178</v>
      </c>
      <c r="AM141" t="s">
        <v>179</v>
      </c>
      <c r="AN141" t="s">
        <v>180</v>
      </c>
      <c r="AO141" t="s">
        <v>3113</v>
      </c>
      <c r="AP141" t="s">
        <v>3114</v>
      </c>
      <c r="AQ141" t="s">
        <v>74</v>
      </c>
      <c r="AR141" t="s">
        <v>3102</v>
      </c>
      <c r="AS141" t="s">
        <v>3115</v>
      </c>
      <c r="AT141" t="s">
        <v>428</v>
      </c>
      <c r="AU141">
        <v>2022</v>
      </c>
      <c r="AV141">
        <v>31</v>
      </c>
      <c r="AW141">
        <v>8</v>
      </c>
      <c r="AX141" t="s">
        <v>74</v>
      </c>
      <c r="AY141" t="s">
        <v>74</v>
      </c>
      <c r="AZ141" t="s">
        <v>74</v>
      </c>
      <c r="BA141" t="s">
        <v>74</v>
      </c>
      <c r="BB141">
        <v>1321</v>
      </c>
      <c r="BC141">
        <v>1329</v>
      </c>
      <c r="BD141" t="s">
        <v>74</v>
      </c>
      <c r="BE141" t="s">
        <v>3116</v>
      </c>
      <c r="BF141" t="str">
        <f>HYPERLINK("http://dx.doi.org/10.1007/s10646-022-02589-5","http://dx.doi.org/10.1007/s10646-022-02589-5")</f>
        <v>http://dx.doi.org/10.1007/s10646-022-02589-5</v>
      </c>
      <c r="BG141" t="s">
        <v>74</v>
      </c>
      <c r="BH141" t="s">
        <v>2143</v>
      </c>
      <c r="BI141">
        <v>9</v>
      </c>
      <c r="BJ141" t="s">
        <v>3117</v>
      </c>
      <c r="BK141" t="s">
        <v>100</v>
      </c>
      <c r="BL141" t="s">
        <v>3118</v>
      </c>
      <c r="BM141" t="s">
        <v>3119</v>
      </c>
      <c r="BN141">
        <v>36152117</v>
      </c>
      <c r="BO141" t="s">
        <v>1779</v>
      </c>
      <c r="BP141" t="s">
        <v>74</v>
      </c>
      <c r="BQ141" t="s">
        <v>74</v>
      </c>
      <c r="BR141" t="s">
        <v>103</v>
      </c>
      <c r="BS141" t="s">
        <v>3120</v>
      </c>
      <c r="BT141" t="str">
        <f>HYPERLINK("https%3A%2F%2Fwww.webofscience.com%2Fwos%2Fwoscc%2Ffull-record%2FWOS:000857800000001","View Full Record in Web of Science")</f>
        <v>View Full Record in Web of Science</v>
      </c>
    </row>
    <row r="142" spans="1:72" x14ac:dyDescent="0.15">
      <c r="A142" t="s">
        <v>72</v>
      </c>
      <c r="B142" t="s">
        <v>3121</v>
      </c>
      <c r="C142" t="s">
        <v>74</v>
      </c>
      <c r="D142" t="s">
        <v>74</v>
      </c>
      <c r="E142" t="s">
        <v>74</v>
      </c>
      <c r="F142" t="s">
        <v>3122</v>
      </c>
      <c r="G142" t="s">
        <v>74</v>
      </c>
      <c r="H142" t="s">
        <v>74</v>
      </c>
      <c r="I142" t="s">
        <v>3123</v>
      </c>
      <c r="J142" t="s">
        <v>3124</v>
      </c>
      <c r="K142" t="s">
        <v>74</v>
      </c>
      <c r="L142" t="s">
        <v>74</v>
      </c>
      <c r="M142" t="s">
        <v>78</v>
      </c>
      <c r="N142" t="s">
        <v>79</v>
      </c>
      <c r="O142" t="s">
        <v>74</v>
      </c>
      <c r="P142" t="s">
        <v>74</v>
      </c>
      <c r="Q142" t="s">
        <v>74</v>
      </c>
      <c r="R142" t="s">
        <v>74</v>
      </c>
      <c r="S142" t="s">
        <v>74</v>
      </c>
      <c r="T142" t="s">
        <v>74</v>
      </c>
      <c r="U142" t="s">
        <v>3125</v>
      </c>
      <c r="V142" t="s">
        <v>3126</v>
      </c>
      <c r="W142" t="s">
        <v>3127</v>
      </c>
      <c r="X142" t="s">
        <v>3128</v>
      </c>
      <c r="Y142" t="s">
        <v>3129</v>
      </c>
      <c r="Z142" t="s">
        <v>3130</v>
      </c>
      <c r="AA142" t="s">
        <v>3131</v>
      </c>
      <c r="AB142" t="s">
        <v>3132</v>
      </c>
      <c r="AC142" t="s">
        <v>3133</v>
      </c>
      <c r="AD142" t="s">
        <v>3134</v>
      </c>
      <c r="AE142" t="s">
        <v>3135</v>
      </c>
      <c r="AF142" t="s">
        <v>74</v>
      </c>
      <c r="AG142">
        <v>107</v>
      </c>
      <c r="AH142">
        <v>7</v>
      </c>
      <c r="AI142">
        <v>7</v>
      </c>
      <c r="AJ142">
        <v>5</v>
      </c>
      <c r="AK142">
        <v>14</v>
      </c>
      <c r="AL142" t="s">
        <v>2108</v>
      </c>
      <c r="AM142" t="s">
        <v>207</v>
      </c>
      <c r="AN142" t="s">
        <v>2109</v>
      </c>
      <c r="AO142" t="s">
        <v>3136</v>
      </c>
      <c r="AP142" t="s">
        <v>74</v>
      </c>
      <c r="AQ142" t="s">
        <v>74</v>
      </c>
      <c r="AR142" t="s">
        <v>3137</v>
      </c>
      <c r="AS142" t="s">
        <v>3138</v>
      </c>
      <c r="AT142" t="s">
        <v>3139</v>
      </c>
      <c r="AU142">
        <v>2022</v>
      </c>
      <c r="AV142">
        <v>8</v>
      </c>
      <c r="AW142">
        <v>38</v>
      </c>
      <c r="AX142" t="s">
        <v>74</v>
      </c>
      <c r="AY142" t="s">
        <v>74</v>
      </c>
      <c r="AZ142" t="s">
        <v>74</v>
      </c>
      <c r="BA142" t="s">
        <v>74</v>
      </c>
      <c r="BB142" t="s">
        <v>74</v>
      </c>
      <c r="BC142" t="s">
        <v>74</v>
      </c>
      <c r="BD142" t="s">
        <v>3140</v>
      </c>
      <c r="BE142" t="s">
        <v>3141</v>
      </c>
      <c r="BF142" t="str">
        <f>HYPERLINK("http://dx.doi.org/10.1126/sciadv.abq0304","http://dx.doi.org/10.1126/sciadv.abq0304")</f>
        <v>http://dx.doi.org/10.1126/sciadv.abq0304</v>
      </c>
      <c r="BG142" t="s">
        <v>74</v>
      </c>
      <c r="BH142" t="s">
        <v>74</v>
      </c>
      <c r="BI142">
        <v>12</v>
      </c>
      <c r="BJ142" t="s">
        <v>156</v>
      </c>
      <c r="BK142" t="s">
        <v>100</v>
      </c>
      <c r="BL142" t="s">
        <v>157</v>
      </c>
      <c r="BM142" t="s">
        <v>3142</v>
      </c>
      <c r="BN142">
        <v>36149959</v>
      </c>
      <c r="BO142" t="s">
        <v>374</v>
      </c>
      <c r="BP142" t="s">
        <v>74</v>
      </c>
      <c r="BQ142" t="s">
        <v>74</v>
      </c>
      <c r="BR142" t="s">
        <v>103</v>
      </c>
      <c r="BS142" t="s">
        <v>3143</v>
      </c>
      <c r="BT142" t="str">
        <f>HYPERLINK("https%3A%2F%2Fwww.webofscience.com%2Fwos%2Fwoscc%2Ffull-record%2FWOS:000885315600017","View Full Record in Web of Science")</f>
        <v>View Full Record in Web of Science</v>
      </c>
    </row>
    <row r="143" spans="1:72" x14ac:dyDescent="0.15">
      <c r="A143" t="s">
        <v>72</v>
      </c>
      <c r="B143" t="s">
        <v>3144</v>
      </c>
      <c r="C143" t="s">
        <v>74</v>
      </c>
      <c r="D143" t="s">
        <v>74</v>
      </c>
      <c r="E143" t="s">
        <v>74</v>
      </c>
      <c r="F143" t="s">
        <v>3145</v>
      </c>
      <c r="G143" t="s">
        <v>74</v>
      </c>
      <c r="H143" t="s">
        <v>74</v>
      </c>
      <c r="I143" t="s">
        <v>3146</v>
      </c>
      <c r="J143" t="s">
        <v>3147</v>
      </c>
      <c r="K143" t="s">
        <v>74</v>
      </c>
      <c r="L143" t="s">
        <v>74</v>
      </c>
      <c r="M143" t="s">
        <v>78</v>
      </c>
      <c r="N143" t="s">
        <v>79</v>
      </c>
      <c r="O143" t="s">
        <v>74</v>
      </c>
      <c r="P143" t="s">
        <v>74</v>
      </c>
      <c r="Q143" t="s">
        <v>74</v>
      </c>
      <c r="R143" t="s">
        <v>74</v>
      </c>
      <c r="S143" t="s">
        <v>74</v>
      </c>
      <c r="T143" t="s">
        <v>3148</v>
      </c>
      <c r="U143" t="s">
        <v>3149</v>
      </c>
      <c r="V143" t="s">
        <v>3150</v>
      </c>
      <c r="W143" t="s">
        <v>3151</v>
      </c>
      <c r="X143" t="s">
        <v>3152</v>
      </c>
      <c r="Y143" t="s">
        <v>3153</v>
      </c>
      <c r="Z143" t="s">
        <v>3154</v>
      </c>
      <c r="AA143" t="s">
        <v>3155</v>
      </c>
      <c r="AB143" t="s">
        <v>74</v>
      </c>
      <c r="AC143" t="s">
        <v>3156</v>
      </c>
      <c r="AD143" t="s">
        <v>3157</v>
      </c>
      <c r="AE143" t="s">
        <v>3158</v>
      </c>
      <c r="AF143" t="s">
        <v>74</v>
      </c>
      <c r="AG143">
        <v>51</v>
      </c>
      <c r="AH143">
        <v>1</v>
      </c>
      <c r="AI143">
        <v>1</v>
      </c>
      <c r="AJ143">
        <v>0</v>
      </c>
      <c r="AK143">
        <v>0</v>
      </c>
      <c r="AL143" t="s">
        <v>2249</v>
      </c>
      <c r="AM143" t="s">
        <v>90</v>
      </c>
      <c r="AN143" t="s">
        <v>2250</v>
      </c>
      <c r="AO143" t="s">
        <v>3159</v>
      </c>
      <c r="AP143" t="s">
        <v>3160</v>
      </c>
      <c r="AQ143" t="s">
        <v>74</v>
      </c>
      <c r="AR143" t="s">
        <v>3161</v>
      </c>
      <c r="AS143" t="s">
        <v>3162</v>
      </c>
      <c r="AT143" t="s">
        <v>2731</v>
      </c>
      <c r="AU143">
        <v>2022</v>
      </c>
      <c r="AV143">
        <v>70</v>
      </c>
      <c r="AW143">
        <v>9</v>
      </c>
      <c r="AX143" t="s">
        <v>74</v>
      </c>
      <c r="AY143" t="s">
        <v>74</v>
      </c>
      <c r="AZ143" t="s">
        <v>74</v>
      </c>
      <c r="BA143" t="s">
        <v>74</v>
      </c>
      <c r="BB143">
        <v>2618</v>
      </c>
      <c r="BC143">
        <v>2624</v>
      </c>
      <c r="BD143" t="s">
        <v>74</v>
      </c>
      <c r="BE143" t="s">
        <v>3163</v>
      </c>
      <c r="BF143" t="str">
        <f>HYPERLINK("http://dx.doi.org/10.1016/j.asr.2021.12.010","http://dx.doi.org/10.1016/j.asr.2021.12.010")</f>
        <v>http://dx.doi.org/10.1016/j.asr.2021.12.010</v>
      </c>
      <c r="BG143" t="s">
        <v>74</v>
      </c>
      <c r="BH143" t="s">
        <v>2143</v>
      </c>
      <c r="BI143">
        <v>7</v>
      </c>
      <c r="BJ143" t="s">
        <v>3164</v>
      </c>
      <c r="BK143" t="s">
        <v>100</v>
      </c>
      <c r="BL143" t="s">
        <v>3165</v>
      </c>
      <c r="BM143" t="s">
        <v>3166</v>
      </c>
      <c r="BN143" t="s">
        <v>74</v>
      </c>
      <c r="BO143" t="s">
        <v>74</v>
      </c>
      <c r="BP143" t="s">
        <v>74</v>
      </c>
      <c r="BQ143" t="s">
        <v>74</v>
      </c>
      <c r="BR143" t="s">
        <v>103</v>
      </c>
      <c r="BS143" t="s">
        <v>3167</v>
      </c>
      <c r="BT143" t="str">
        <f>HYPERLINK("https%3A%2F%2Fwww.webofscience.com%2Fwos%2Fwoscc%2Ffull-record%2FWOS:000877895800006","View Full Record in Web of Science")</f>
        <v>View Full Record in Web of Science</v>
      </c>
    </row>
    <row r="144" spans="1:72" x14ac:dyDescent="0.15">
      <c r="A144" t="s">
        <v>72</v>
      </c>
      <c r="B144" t="s">
        <v>3168</v>
      </c>
      <c r="C144" t="s">
        <v>74</v>
      </c>
      <c r="D144" t="s">
        <v>74</v>
      </c>
      <c r="E144" t="s">
        <v>74</v>
      </c>
      <c r="F144" t="s">
        <v>3169</v>
      </c>
      <c r="G144" t="s">
        <v>74</v>
      </c>
      <c r="H144" t="s">
        <v>74</v>
      </c>
      <c r="I144" t="s">
        <v>3170</v>
      </c>
      <c r="J144" t="s">
        <v>3171</v>
      </c>
      <c r="K144" t="s">
        <v>74</v>
      </c>
      <c r="L144" t="s">
        <v>74</v>
      </c>
      <c r="M144" t="s">
        <v>78</v>
      </c>
      <c r="N144" t="s">
        <v>79</v>
      </c>
      <c r="O144" t="s">
        <v>74</v>
      </c>
      <c r="P144" t="s">
        <v>74</v>
      </c>
      <c r="Q144" t="s">
        <v>74</v>
      </c>
      <c r="R144" t="s">
        <v>74</v>
      </c>
      <c r="S144" t="s">
        <v>74</v>
      </c>
      <c r="T144" t="s">
        <v>3172</v>
      </c>
      <c r="U144" t="s">
        <v>3173</v>
      </c>
      <c r="V144" t="s">
        <v>3174</v>
      </c>
      <c r="W144" t="s">
        <v>3175</v>
      </c>
      <c r="X144" t="s">
        <v>3176</v>
      </c>
      <c r="Y144" t="s">
        <v>3177</v>
      </c>
      <c r="Z144" t="s">
        <v>3178</v>
      </c>
      <c r="AA144" t="s">
        <v>3179</v>
      </c>
      <c r="AB144" t="s">
        <v>74</v>
      </c>
      <c r="AC144" t="s">
        <v>3180</v>
      </c>
      <c r="AD144" t="s">
        <v>3181</v>
      </c>
      <c r="AE144" t="s">
        <v>3182</v>
      </c>
      <c r="AF144" t="s">
        <v>74</v>
      </c>
      <c r="AG144">
        <v>70</v>
      </c>
      <c r="AH144">
        <v>3</v>
      </c>
      <c r="AI144">
        <v>3</v>
      </c>
      <c r="AJ144">
        <v>5</v>
      </c>
      <c r="AK144">
        <v>10</v>
      </c>
      <c r="AL144" t="s">
        <v>121</v>
      </c>
      <c r="AM144" t="s">
        <v>122</v>
      </c>
      <c r="AN144" t="s">
        <v>123</v>
      </c>
      <c r="AO144" t="s">
        <v>74</v>
      </c>
      <c r="AP144" t="s">
        <v>3183</v>
      </c>
      <c r="AQ144" t="s">
        <v>74</v>
      </c>
      <c r="AR144" t="s">
        <v>3184</v>
      </c>
      <c r="AS144" t="s">
        <v>3185</v>
      </c>
      <c r="AT144" t="s">
        <v>3139</v>
      </c>
      <c r="AU144">
        <v>2022</v>
      </c>
      <c r="AV144">
        <v>13</v>
      </c>
      <c r="AW144" t="s">
        <v>74</v>
      </c>
      <c r="AX144" t="s">
        <v>74</v>
      </c>
      <c r="AY144" t="s">
        <v>74</v>
      </c>
      <c r="AZ144" t="s">
        <v>74</v>
      </c>
      <c r="BA144" t="s">
        <v>74</v>
      </c>
      <c r="BB144" t="s">
        <v>74</v>
      </c>
      <c r="BC144" t="s">
        <v>74</v>
      </c>
      <c r="BD144">
        <v>900158</v>
      </c>
      <c r="BE144" t="s">
        <v>3186</v>
      </c>
      <c r="BF144" t="str">
        <f>HYPERLINK("http://dx.doi.org/10.3389/fmicb.2022.900158","http://dx.doi.org/10.3389/fmicb.2022.900158")</f>
        <v>http://dx.doi.org/10.3389/fmicb.2022.900158</v>
      </c>
      <c r="BG144" t="s">
        <v>74</v>
      </c>
      <c r="BH144" t="s">
        <v>74</v>
      </c>
      <c r="BI144">
        <v>22</v>
      </c>
      <c r="BJ144" t="s">
        <v>214</v>
      </c>
      <c r="BK144" t="s">
        <v>100</v>
      </c>
      <c r="BL144" t="s">
        <v>214</v>
      </c>
      <c r="BM144" t="s">
        <v>3187</v>
      </c>
      <c r="BN144">
        <v>36212846</v>
      </c>
      <c r="BO144" t="s">
        <v>132</v>
      </c>
      <c r="BP144" t="s">
        <v>74</v>
      </c>
      <c r="BQ144" t="s">
        <v>74</v>
      </c>
      <c r="BR144" t="s">
        <v>103</v>
      </c>
      <c r="BS144" t="s">
        <v>3188</v>
      </c>
      <c r="BT144" t="str">
        <f>HYPERLINK("https%3A%2F%2Fwww.webofscience.com%2Fwos%2Fwoscc%2Ffull-record%2FWOS:000873997700001","View Full Record in Web of Science")</f>
        <v>View Full Record in Web of Science</v>
      </c>
    </row>
    <row r="145" spans="1:72" x14ac:dyDescent="0.15">
      <c r="A145" t="s">
        <v>72</v>
      </c>
      <c r="B145" t="s">
        <v>3189</v>
      </c>
      <c r="C145" t="s">
        <v>74</v>
      </c>
      <c r="D145" t="s">
        <v>74</v>
      </c>
      <c r="E145" t="s">
        <v>74</v>
      </c>
      <c r="F145" t="s">
        <v>3190</v>
      </c>
      <c r="G145" t="s">
        <v>74</v>
      </c>
      <c r="H145" t="s">
        <v>74</v>
      </c>
      <c r="I145" t="s">
        <v>3191</v>
      </c>
      <c r="J145" t="s">
        <v>247</v>
      </c>
      <c r="K145" t="s">
        <v>74</v>
      </c>
      <c r="L145" t="s">
        <v>74</v>
      </c>
      <c r="M145" t="s">
        <v>78</v>
      </c>
      <c r="N145" t="s">
        <v>79</v>
      </c>
      <c r="O145" t="s">
        <v>74</v>
      </c>
      <c r="P145" t="s">
        <v>74</v>
      </c>
      <c r="Q145" t="s">
        <v>74</v>
      </c>
      <c r="R145" t="s">
        <v>74</v>
      </c>
      <c r="S145" t="s">
        <v>74</v>
      </c>
      <c r="T145" t="s">
        <v>3192</v>
      </c>
      <c r="U145" t="s">
        <v>3193</v>
      </c>
      <c r="V145" t="s">
        <v>3194</v>
      </c>
      <c r="W145" t="s">
        <v>3195</v>
      </c>
      <c r="X145" t="s">
        <v>3196</v>
      </c>
      <c r="Y145" t="s">
        <v>3197</v>
      </c>
      <c r="Z145" t="s">
        <v>74</v>
      </c>
      <c r="AA145" t="s">
        <v>74</v>
      </c>
      <c r="AB145" t="s">
        <v>74</v>
      </c>
      <c r="AC145" t="s">
        <v>3198</v>
      </c>
      <c r="AD145" t="s">
        <v>3199</v>
      </c>
      <c r="AE145" t="s">
        <v>3200</v>
      </c>
      <c r="AF145" t="s">
        <v>74</v>
      </c>
      <c r="AG145">
        <v>72</v>
      </c>
      <c r="AH145">
        <v>5</v>
      </c>
      <c r="AI145">
        <v>5</v>
      </c>
      <c r="AJ145">
        <v>4</v>
      </c>
      <c r="AK145">
        <v>14</v>
      </c>
      <c r="AL145" t="s">
        <v>121</v>
      </c>
      <c r="AM145" t="s">
        <v>122</v>
      </c>
      <c r="AN145" t="s">
        <v>123</v>
      </c>
      <c r="AO145" t="s">
        <v>74</v>
      </c>
      <c r="AP145" t="s">
        <v>258</v>
      </c>
      <c r="AQ145" t="s">
        <v>74</v>
      </c>
      <c r="AR145" t="s">
        <v>259</v>
      </c>
      <c r="AS145" t="s">
        <v>260</v>
      </c>
      <c r="AT145" t="s">
        <v>3139</v>
      </c>
      <c r="AU145">
        <v>2022</v>
      </c>
      <c r="AV145">
        <v>9</v>
      </c>
      <c r="AW145" t="s">
        <v>74</v>
      </c>
      <c r="AX145" t="s">
        <v>74</v>
      </c>
      <c r="AY145" t="s">
        <v>74</v>
      </c>
      <c r="AZ145" t="s">
        <v>74</v>
      </c>
      <c r="BA145" t="s">
        <v>74</v>
      </c>
      <c r="BB145" t="s">
        <v>74</v>
      </c>
      <c r="BC145" t="s">
        <v>74</v>
      </c>
      <c r="BD145">
        <v>990853</v>
      </c>
      <c r="BE145" t="s">
        <v>3201</v>
      </c>
      <c r="BF145" t="str">
        <f>HYPERLINK("http://dx.doi.org/10.3389/fmars.2022.990853","http://dx.doi.org/10.3389/fmars.2022.990853")</f>
        <v>http://dx.doi.org/10.3389/fmars.2022.990853</v>
      </c>
      <c r="BG145" t="s">
        <v>74</v>
      </c>
      <c r="BH145" t="s">
        <v>74</v>
      </c>
      <c r="BI145">
        <v>16</v>
      </c>
      <c r="BJ145" t="s">
        <v>263</v>
      </c>
      <c r="BK145" t="s">
        <v>100</v>
      </c>
      <c r="BL145" t="s">
        <v>264</v>
      </c>
      <c r="BM145" t="s">
        <v>3202</v>
      </c>
      <c r="BN145" t="s">
        <v>74</v>
      </c>
      <c r="BO145" t="s">
        <v>266</v>
      </c>
      <c r="BP145" t="s">
        <v>74</v>
      </c>
      <c r="BQ145" t="s">
        <v>74</v>
      </c>
      <c r="BR145" t="s">
        <v>103</v>
      </c>
      <c r="BS145" t="s">
        <v>3203</v>
      </c>
      <c r="BT145" t="str">
        <f>HYPERLINK("https%3A%2F%2Fwww.webofscience.com%2Fwos%2Fwoscc%2Ffull-record%2FWOS:000870274000001","View Full Record in Web of Science")</f>
        <v>View Full Record in Web of Science</v>
      </c>
    </row>
    <row r="146" spans="1:72" x14ac:dyDescent="0.15">
      <c r="A146" t="s">
        <v>72</v>
      </c>
      <c r="B146" t="s">
        <v>3204</v>
      </c>
      <c r="C146" t="s">
        <v>74</v>
      </c>
      <c r="D146" t="s">
        <v>74</v>
      </c>
      <c r="E146" t="s">
        <v>74</v>
      </c>
      <c r="F146" t="s">
        <v>3205</v>
      </c>
      <c r="G146" t="s">
        <v>74</v>
      </c>
      <c r="H146" t="s">
        <v>74</v>
      </c>
      <c r="I146" t="s">
        <v>3206</v>
      </c>
      <c r="J146" t="s">
        <v>2653</v>
      </c>
      <c r="K146" t="s">
        <v>74</v>
      </c>
      <c r="L146" t="s">
        <v>74</v>
      </c>
      <c r="M146" t="s">
        <v>78</v>
      </c>
      <c r="N146" t="s">
        <v>79</v>
      </c>
      <c r="O146" t="s">
        <v>74</v>
      </c>
      <c r="P146" t="s">
        <v>74</v>
      </c>
      <c r="Q146" t="s">
        <v>74</v>
      </c>
      <c r="R146" t="s">
        <v>74</v>
      </c>
      <c r="S146" t="s">
        <v>74</v>
      </c>
      <c r="T146" t="s">
        <v>3207</v>
      </c>
      <c r="U146" t="s">
        <v>3208</v>
      </c>
      <c r="V146" t="s">
        <v>3209</v>
      </c>
      <c r="W146" t="s">
        <v>3210</v>
      </c>
      <c r="X146" t="s">
        <v>3211</v>
      </c>
      <c r="Y146" t="s">
        <v>3212</v>
      </c>
      <c r="Z146" t="s">
        <v>3213</v>
      </c>
      <c r="AA146" t="s">
        <v>74</v>
      </c>
      <c r="AB146" t="s">
        <v>3214</v>
      </c>
      <c r="AC146" t="s">
        <v>3215</v>
      </c>
      <c r="AD146" t="s">
        <v>3216</v>
      </c>
      <c r="AE146" t="s">
        <v>3217</v>
      </c>
      <c r="AF146" t="s">
        <v>74</v>
      </c>
      <c r="AG146">
        <v>114</v>
      </c>
      <c r="AH146">
        <v>10</v>
      </c>
      <c r="AI146">
        <v>11</v>
      </c>
      <c r="AJ146">
        <v>1</v>
      </c>
      <c r="AK146">
        <v>12</v>
      </c>
      <c r="AL146" t="s">
        <v>2275</v>
      </c>
      <c r="AM146" t="s">
        <v>90</v>
      </c>
      <c r="AN146" t="s">
        <v>2276</v>
      </c>
      <c r="AO146" t="s">
        <v>2666</v>
      </c>
      <c r="AP146" t="s">
        <v>2667</v>
      </c>
      <c r="AQ146" t="s">
        <v>74</v>
      </c>
      <c r="AR146" t="s">
        <v>2668</v>
      </c>
      <c r="AS146" t="s">
        <v>2669</v>
      </c>
      <c r="AT146" t="s">
        <v>2731</v>
      </c>
      <c r="AU146">
        <v>2022</v>
      </c>
      <c r="AV146">
        <v>295</v>
      </c>
      <c r="AW146" t="s">
        <v>74</v>
      </c>
      <c r="AX146" t="s">
        <v>74</v>
      </c>
      <c r="AY146" t="s">
        <v>74</v>
      </c>
      <c r="AZ146" t="s">
        <v>74</v>
      </c>
      <c r="BA146" t="s">
        <v>74</v>
      </c>
      <c r="BB146" t="s">
        <v>74</v>
      </c>
      <c r="BC146" t="s">
        <v>74</v>
      </c>
      <c r="BD146">
        <v>107750</v>
      </c>
      <c r="BE146" t="s">
        <v>3218</v>
      </c>
      <c r="BF146" t="str">
        <f>HYPERLINK("http://dx.doi.org/10.1016/j.quascirev.2022.107750","http://dx.doi.org/10.1016/j.quascirev.2022.107750")</f>
        <v>http://dx.doi.org/10.1016/j.quascirev.2022.107750</v>
      </c>
      <c r="BG146" t="s">
        <v>74</v>
      </c>
      <c r="BH146" t="s">
        <v>2143</v>
      </c>
      <c r="BI146">
        <v>15</v>
      </c>
      <c r="BJ146" t="s">
        <v>354</v>
      </c>
      <c r="BK146" t="s">
        <v>100</v>
      </c>
      <c r="BL146" t="s">
        <v>241</v>
      </c>
      <c r="BM146" t="s">
        <v>2733</v>
      </c>
      <c r="BN146" t="s">
        <v>74</v>
      </c>
      <c r="BO146" t="s">
        <v>2934</v>
      </c>
      <c r="BP146" t="s">
        <v>74</v>
      </c>
      <c r="BQ146" t="s">
        <v>74</v>
      </c>
      <c r="BR146" t="s">
        <v>103</v>
      </c>
      <c r="BS146" t="s">
        <v>3219</v>
      </c>
      <c r="BT146" t="str">
        <f>HYPERLINK("https%3A%2F%2Fwww.webofscience.com%2Fwos%2Fwoscc%2Ffull-record%2FWOS:000866402400001","View Full Record in Web of Science")</f>
        <v>View Full Record in Web of Science</v>
      </c>
    </row>
    <row r="147" spans="1:72" x14ac:dyDescent="0.15">
      <c r="A147" t="s">
        <v>72</v>
      </c>
      <c r="B147" t="s">
        <v>3220</v>
      </c>
      <c r="C147" t="s">
        <v>74</v>
      </c>
      <c r="D147" t="s">
        <v>74</v>
      </c>
      <c r="E147" t="s">
        <v>74</v>
      </c>
      <c r="F147" t="s">
        <v>3221</v>
      </c>
      <c r="G147" t="s">
        <v>74</v>
      </c>
      <c r="H147" t="s">
        <v>74</v>
      </c>
      <c r="I147" t="s">
        <v>3222</v>
      </c>
      <c r="J147" t="s">
        <v>3223</v>
      </c>
      <c r="K147" t="s">
        <v>74</v>
      </c>
      <c r="L147" t="s">
        <v>74</v>
      </c>
      <c r="M147" t="s">
        <v>78</v>
      </c>
      <c r="N147" t="s">
        <v>165</v>
      </c>
      <c r="O147" t="s">
        <v>74</v>
      </c>
      <c r="P147" t="s">
        <v>74</v>
      </c>
      <c r="Q147" t="s">
        <v>74</v>
      </c>
      <c r="R147" t="s">
        <v>74</v>
      </c>
      <c r="S147" t="s">
        <v>74</v>
      </c>
      <c r="T147" t="s">
        <v>3224</v>
      </c>
      <c r="U147" t="s">
        <v>3225</v>
      </c>
      <c r="V147" t="s">
        <v>3226</v>
      </c>
      <c r="W147" t="s">
        <v>3227</v>
      </c>
      <c r="X147" t="s">
        <v>3228</v>
      </c>
      <c r="Y147" t="s">
        <v>3229</v>
      </c>
      <c r="Z147" t="s">
        <v>74</v>
      </c>
      <c r="AA147" t="s">
        <v>3230</v>
      </c>
      <c r="AB147" t="s">
        <v>3231</v>
      </c>
      <c r="AC147" t="s">
        <v>3232</v>
      </c>
      <c r="AD147" t="s">
        <v>3232</v>
      </c>
      <c r="AE147" t="s">
        <v>3233</v>
      </c>
      <c r="AF147" t="s">
        <v>74</v>
      </c>
      <c r="AG147">
        <v>317</v>
      </c>
      <c r="AH147">
        <v>1</v>
      </c>
      <c r="AI147">
        <v>1</v>
      </c>
      <c r="AJ147">
        <v>10</v>
      </c>
      <c r="AK147">
        <v>30</v>
      </c>
      <c r="AL147" t="s">
        <v>178</v>
      </c>
      <c r="AM147" t="s">
        <v>179</v>
      </c>
      <c r="AN147" t="s">
        <v>180</v>
      </c>
      <c r="AO147" t="s">
        <v>3234</v>
      </c>
      <c r="AP147" t="s">
        <v>3235</v>
      </c>
      <c r="AQ147" t="s">
        <v>74</v>
      </c>
      <c r="AR147" t="s">
        <v>3236</v>
      </c>
      <c r="AS147" t="s">
        <v>3237</v>
      </c>
      <c r="AT147" t="s">
        <v>325</v>
      </c>
      <c r="AU147">
        <v>2022</v>
      </c>
      <c r="AV147">
        <v>43</v>
      </c>
      <c r="AW147">
        <v>6</v>
      </c>
      <c r="AX147" t="s">
        <v>74</v>
      </c>
      <c r="AY147" t="s">
        <v>74</v>
      </c>
      <c r="AZ147" t="s">
        <v>74</v>
      </c>
      <c r="BA147" t="s">
        <v>74</v>
      </c>
      <c r="BB147">
        <v>1609</v>
      </c>
      <c r="BC147">
        <v>1698</v>
      </c>
      <c r="BD147" t="s">
        <v>74</v>
      </c>
      <c r="BE147" t="s">
        <v>3238</v>
      </c>
      <c r="BF147" t="str">
        <f>HYPERLINK("http://dx.doi.org/10.1007/s10712-022-09734-z","http://dx.doi.org/10.1007/s10712-022-09734-z")</f>
        <v>http://dx.doi.org/10.1007/s10712-022-09734-z</v>
      </c>
      <c r="BG147" t="s">
        <v>74</v>
      </c>
      <c r="BH147" t="s">
        <v>2143</v>
      </c>
      <c r="BI147">
        <v>90</v>
      </c>
      <c r="BJ147" t="s">
        <v>1379</v>
      </c>
      <c r="BK147" t="s">
        <v>100</v>
      </c>
      <c r="BL147" t="s">
        <v>1379</v>
      </c>
      <c r="BM147" t="s">
        <v>3239</v>
      </c>
      <c r="BN147" t="s">
        <v>74</v>
      </c>
      <c r="BO147" t="s">
        <v>1221</v>
      </c>
      <c r="BP147" t="s">
        <v>74</v>
      </c>
      <c r="BQ147" t="s">
        <v>74</v>
      </c>
      <c r="BR147" t="s">
        <v>103</v>
      </c>
      <c r="BS147" t="s">
        <v>3240</v>
      </c>
      <c r="BT147" t="str">
        <f>HYPERLINK("https%3A%2F%2Fwww.webofscience.com%2Fwos%2Fwoscc%2Ffull-record%2FWOS:000857278500001","View Full Record in Web of Science")</f>
        <v>View Full Record in Web of Science</v>
      </c>
    </row>
    <row r="148" spans="1:72" x14ac:dyDescent="0.15">
      <c r="A148" t="s">
        <v>72</v>
      </c>
      <c r="B148" t="s">
        <v>3241</v>
      </c>
      <c r="C148" t="s">
        <v>74</v>
      </c>
      <c r="D148" t="s">
        <v>74</v>
      </c>
      <c r="E148" t="s">
        <v>74</v>
      </c>
      <c r="F148" t="s">
        <v>3242</v>
      </c>
      <c r="G148" t="s">
        <v>74</v>
      </c>
      <c r="H148" t="s">
        <v>74</v>
      </c>
      <c r="I148" t="s">
        <v>3243</v>
      </c>
      <c r="J148" t="s">
        <v>3244</v>
      </c>
      <c r="K148" t="s">
        <v>74</v>
      </c>
      <c r="L148" t="s">
        <v>74</v>
      </c>
      <c r="M148" t="s">
        <v>78</v>
      </c>
      <c r="N148" t="s">
        <v>79</v>
      </c>
      <c r="O148" t="s">
        <v>74</v>
      </c>
      <c r="P148" t="s">
        <v>74</v>
      </c>
      <c r="Q148" t="s">
        <v>74</v>
      </c>
      <c r="R148" t="s">
        <v>74</v>
      </c>
      <c r="S148" t="s">
        <v>74</v>
      </c>
      <c r="T148" t="s">
        <v>74</v>
      </c>
      <c r="U148" t="s">
        <v>3245</v>
      </c>
      <c r="V148" t="s">
        <v>3246</v>
      </c>
      <c r="W148" t="s">
        <v>3247</v>
      </c>
      <c r="X148" t="s">
        <v>3248</v>
      </c>
      <c r="Y148" t="s">
        <v>3249</v>
      </c>
      <c r="Z148" t="s">
        <v>3250</v>
      </c>
      <c r="AA148" t="s">
        <v>3251</v>
      </c>
      <c r="AB148" t="s">
        <v>3252</v>
      </c>
      <c r="AC148" t="s">
        <v>3253</v>
      </c>
      <c r="AD148" t="s">
        <v>3254</v>
      </c>
      <c r="AE148" t="s">
        <v>3255</v>
      </c>
      <c r="AF148" t="s">
        <v>74</v>
      </c>
      <c r="AG148">
        <v>103</v>
      </c>
      <c r="AH148">
        <v>5</v>
      </c>
      <c r="AI148">
        <v>5</v>
      </c>
      <c r="AJ148">
        <v>0</v>
      </c>
      <c r="AK148">
        <v>6</v>
      </c>
      <c r="AL148" t="s">
        <v>2460</v>
      </c>
      <c r="AM148" t="s">
        <v>2461</v>
      </c>
      <c r="AN148" t="s">
        <v>2462</v>
      </c>
      <c r="AO148" t="s">
        <v>3256</v>
      </c>
      <c r="AP148" t="s">
        <v>3257</v>
      </c>
      <c r="AQ148" t="s">
        <v>74</v>
      </c>
      <c r="AR148" t="s">
        <v>3258</v>
      </c>
      <c r="AS148" t="s">
        <v>3259</v>
      </c>
      <c r="AT148" t="s">
        <v>3139</v>
      </c>
      <c r="AU148">
        <v>2022</v>
      </c>
      <c r="AV148">
        <v>22</v>
      </c>
      <c r="AW148">
        <v>18</v>
      </c>
      <c r="AX148" t="s">
        <v>74</v>
      </c>
      <c r="AY148" t="s">
        <v>74</v>
      </c>
      <c r="AZ148" t="s">
        <v>74</v>
      </c>
      <c r="BA148" t="s">
        <v>74</v>
      </c>
      <c r="BB148">
        <v>12467</v>
      </c>
      <c r="BC148">
        <v>12491</v>
      </c>
      <c r="BD148" t="s">
        <v>74</v>
      </c>
      <c r="BE148" t="s">
        <v>3260</v>
      </c>
      <c r="BF148" t="str">
        <f>HYPERLINK("http://dx.doi.org/10.5194/acp-22-12467-2022","http://dx.doi.org/10.5194/acp-22-12467-2022")</f>
        <v>http://dx.doi.org/10.5194/acp-22-12467-2022</v>
      </c>
      <c r="BG148" t="s">
        <v>74</v>
      </c>
      <c r="BH148" t="s">
        <v>74</v>
      </c>
      <c r="BI148">
        <v>25</v>
      </c>
      <c r="BJ148" t="s">
        <v>1129</v>
      </c>
      <c r="BK148" t="s">
        <v>100</v>
      </c>
      <c r="BL148" t="s">
        <v>1130</v>
      </c>
      <c r="BM148" t="s">
        <v>3261</v>
      </c>
      <c r="BN148" t="s">
        <v>74</v>
      </c>
      <c r="BO148" t="s">
        <v>3262</v>
      </c>
      <c r="BP148" t="s">
        <v>74</v>
      </c>
      <c r="BQ148" t="s">
        <v>74</v>
      </c>
      <c r="BR148" t="s">
        <v>103</v>
      </c>
      <c r="BS148" t="s">
        <v>3263</v>
      </c>
      <c r="BT148" t="str">
        <f>HYPERLINK("https%3A%2F%2Fwww.webofscience.com%2Fwos%2Fwoscc%2Ffull-record%2FWOS:000857513100001","View Full Record in Web of Science")</f>
        <v>View Full Record in Web of Science</v>
      </c>
    </row>
    <row r="149" spans="1:72" x14ac:dyDescent="0.15">
      <c r="A149" t="s">
        <v>72</v>
      </c>
      <c r="B149" t="s">
        <v>3264</v>
      </c>
      <c r="C149" t="s">
        <v>74</v>
      </c>
      <c r="D149" t="s">
        <v>74</v>
      </c>
      <c r="E149" t="s">
        <v>74</v>
      </c>
      <c r="F149" t="s">
        <v>3265</v>
      </c>
      <c r="G149" t="s">
        <v>74</v>
      </c>
      <c r="H149" t="s">
        <v>74</v>
      </c>
      <c r="I149" t="s">
        <v>3266</v>
      </c>
      <c r="J149" t="s">
        <v>2473</v>
      </c>
      <c r="K149" t="s">
        <v>74</v>
      </c>
      <c r="L149" t="s">
        <v>74</v>
      </c>
      <c r="M149" t="s">
        <v>78</v>
      </c>
      <c r="N149" t="s">
        <v>79</v>
      </c>
      <c r="O149" t="s">
        <v>74</v>
      </c>
      <c r="P149" t="s">
        <v>74</v>
      </c>
      <c r="Q149" t="s">
        <v>74</v>
      </c>
      <c r="R149" t="s">
        <v>74</v>
      </c>
      <c r="S149" t="s">
        <v>74</v>
      </c>
      <c r="T149" t="s">
        <v>74</v>
      </c>
      <c r="U149" t="s">
        <v>3267</v>
      </c>
      <c r="V149" t="s">
        <v>3268</v>
      </c>
      <c r="W149" t="s">
        <v>3269</v>
      </c>
      <c r="X149" t="s">
        <v>3270</v>
      </c>
      <c r="Y149" t="s">
        <v>3271</v>
      </c>
      <c r="Z149" t="s">
        <v>3272</v>
      </c>
      <c r="AA149" t="s">
        <v>3273</v>
      </c>
      <c r="AB149" t="s">
        <v>3274</v>
      </c>
      <c r="AC149" t="s">
        <v>3275</v>
      </c>
      <c r="AD149" t="s">
        <v>3276</v>
      </c>
      <c r="AE149" t="s">
        <v>3277</v>
      </c>
      <c r="AF149" t="s">
        <v>74</v>
      </c>
      <c r="AG149">
        <v>77</v>
      </c>
      <c r="AH149">
        <v>5</v>
      </c>
      <c r="AI149">
        <v>5</v>
      </c>
      <c r="AJ149">
        <v>1</v>
      </c>
      <c r="AK149">
        <v>4</v>
      </c>
      <c r="AL149" t="s">
        <v>2460</v>
      </c>
      <c r="AM149" t="s">
        <v>2461</v>
      </c>
      <c r="AN149" t="s">
        <v>2462</v>
      </c>
      <c r="AO149" t="s">
        <v>2485</v>
      </c>
      <c r="AP149" t="s">
        <v>2486</v>
      </c>
      <c r="AQ149" t="s">
        <v>74</v>
      </c>
      <c r="AR149" t="s">
        <v>2473</v>
      </c>
      <c r="AS149" t="s">
        <v>2487</v>
      </c>
      <c r="AT149" t="s">
        <v>3139</v>
      </c>
      <c r="AU149">
        <v>2022</v>
      </c>
      <c r="AV149">
        <v>16</v>
      </c>
      <c r="AW149">
        <v>9</v>
      </c>
      <c r="AX149" t="s">
        <v>74</v>
      </c>
      <c r="AY149" t="s">
        <v>74</v>
      </c>
      <c r="AZ149" t="s">
        <v>74</v>
      </c>
      <c r="BA149" t="s">
        <v>74</v>
      </c>
      <c r="BB149">
        <v>3815</v>
      </c>
      <c r="BC149">
        <v>3841</v>
      </c>
      <c r="BD149" t="s">
        <v>74</v>
      </c>
      <c r="BE149" t="s">
        <v>3278</v>
      </c>
      <c r="BF149" t="str">
        <f>HYPERLINK("http://dx.doi.org/10.5194/tc-16-3815-2022","http://dx.doi.org/10.5194/tc-16-3815-2022")</f>
        <v>http://dx.doi.org/10.5194/tc-16-3815-2022</v>
      </c>
      <c r="BG149" t="s">
        <v>74</v>
      </c>
      <c r="BH149" t="s">
        <v>74</v>
      </c>
      <c r="BI149">
        <v>27</v>
      </c>
      <c r="BJ149" t="s">
        <v>354</v>
      </c>
      <c r="BK149" t="s">
        <v>100</v>
      </c>
      <c r="BL149" t="s">
        <v>241</v>
      </c>
      <c r="BM149" t="s">
        <v>3279</v>
      </c>
      <c r="BN149" t="s">
        <v>74</v>
      </c>
      <c r="BO149" t="s">
        <v>3280</v>
      </c>
      <c r="BP149" t="s">
        <v>74</v>
      </c>
      <c r="BQ149" t="s">
        <v>74</v>
      </c>
      <c r="BR149" t="s">
        <v>103</v>
      </c>
      <c r="BS149" t="s">
        <v>3281</v>
      </c>
      <c r="BT149" t="str">
        <f>HYPERLINK("https%3A%2F%2Fwww.webofscience.com%2Fwos%2Fwoscc%2Ffull-record%2FWOS:000857077000001","View Full Record in Web of Science")</f>
        <v>View Full Record in Web of Science</v>
      </c>
    </row>
    <row r="150" spans="1:72" x14ac:dyDescent="0.15">
      <c r="A150" t="s">
        <v>72</v>
      </c>
      <c r="B150" t="s">
        <v>3282</v>
      </c>
      <c r="C150" t="s">
        <v>74</v>
      </c>
      <c r="D150" t="s">
        <v>74</v>
      </c>
      <c r="E150" t="s">
        <v>74</v>
      </c>
      <c r="F150" t="s">
        <v>3283</v>
      </c>
      <c r="G150" t="s">
        <v>74</v>
      </c>
      <c r="H150" t="s">
        <v>74</v>
      </c>
      <c r="I150" t="s">
        <v>3284</v>
      </c>
      <c r="J150" t="s">
        <v>2265</v>
      </c>
      <c r="K150" t="s">
        <v>74</v>
      </c>
      <c r="L150" t="s">
        <v>74</v>
      </c>
      <c r="M150" t="s">
        <v>78</v>
      </c>
      <c r="N150" t="s">
        <v>79</v>
      </c>
      <c r="O150" t="s">
        <v>74</v>
      </c>
      <c r="P150" t="s">
        <v>74</v>
      </c>
      <c r="Q150" t="s">
        <v>74</v>
      </c>
      <c r="R150" t="s">
        <v>74</v>
      </c>
      <c r="S150" t="s">
        <v>74</v>
      </c>
      <c r="T150" t="s">
        <v>3285</v>
      </c>
      <c r="U150" t="s">
        <v>3286</v>
      </c>
      <c r="V150" t="s">
        <v>3287</v>
      </c>
      <c r="W150" t="s">
        <v>3288</v>
      </c>
      <c r="X150" t="s">
        <v>3289</v>
      </c>
      <c r="Y150" t="s">
        <v>3290</v>
      </c>
      <c r="Z150" t="s">
        <v>3291</v>
      </c>
      <c r="AA150" t="s">
        <v>74</v>
      </c>
      <c r="AB150" t="s">
        <v>3292</v>
      </c>
      <c r="AC150" t="s">
        <v>3293</v>
      </c>
      <c r="AD150" t="s">
        <v>3294</v>
      </c>
      <c r="AE150" t="s">
        <v>3295</v>
      </c>
      <c r="AF150" t="s">
        <v>74</v>
      </c>
      <c r="AG150">
        <v>60</v>
      </c>
      <c r="AH150">
        <v>8</v>
      </c>
      <c r="AI150">
        <v>8</v>
      </c>
      <c r="AJ150">
        <v>10</v>
      </c>
      <c r="AK150">
        <v>25</v>
      </c>
      <c r="AL150" t="s">
        <v>2275</v>
      </c>
      <c r="AM150" t="s">
        <v>90</v>
      </c>
      <c r="AN150" t="s">
        <v>2276</v>
      </c>
      <c r="AO150" t="s">
        <v>2277</v>
      </c>
      <c r="AP150" t="s">
        <v>2278</v>
      </c>
      <c r="AQ150" t="s">
        <v>74</v>
      </c>
      <c r="AR150" t="s">
        <v>2279</v>
      </c>
      <c r="AS150" t="s">
        <v>2280</v>
      </c>
      <c r="AT150" t="s">
        <v>2281</v>
      </c>
      <c r="AU150">
        <v>2022</v>
      </c>
      <c r="AV150">
        <v>184</v>
      </c>
      <c r="AW150" t="s">
        <v>74</v>
      </c>
      <c r="AX150" t="s">
        <v>74</v>
      </c>
      <c r="AY150" t="s">
        <v>74</v>
      </c>
      <c r="AZ150" t="s">
        <v>74</v>
      </c>
      <c r="BA150" t="s">
        <v>74</v>
      </c>
      <c r="BB150" t="s">
        <v>74</v>
      </c>
      <c r="BC150" t="s">
        <v>74</v>
      </c>
      <c r="BD150">
        <v>114122</v>
      </c>
      <c r="BE150" t="s">
        <v>3296</v>
      </c>
      <c r="BF150" t="str">
        <f>HYPERLINK("http://dx.doi.org/10.1016/j.marpolbul.2022.114122","http://dx.doi.org/10.1016/j.marpolbul.2022.114122")</f>
        <v>http://dx.doi.org/10.1016/j.marpolbul.2022.114122</v>
      </c>
      <c r="BG150" t="s">
        <v>74</v>
      </c>
      <c r="BH150" t="s">
        <v>2143</v>
      </c>
      <c r="BI150">
        <v>13</v>
      </c>
      <c r="BJ150" t="s">
        <v>263</v>
      </c>
      <c r="BK150" t="s">
        <v>100</v>
      </c>
      <c r="BL150" t="s">
        <v>264</v>
      </c>
      <c r="BM150" t="s">
        <v>3297</v>
      </c>
      <c r="BN150">
        <v>36155414</v>
      </c>
      <c r="BO150" t="s">
        <v>1341</v>
      </c>
      <c r="BP150" t="s">
        <v>74</v>
      </c>
      <c r="BQ150" t="s">
        <v>74</v>
      </c>
      <c r="BR150" t="s">
        <v>103</v>
      </c>
      <c r="BS150" t="s">
        <v>3298</v>
      </c>
      <c r="BT150" t="str">
        <f>HYPERLINK("https%3A%2F%2Fwww.webofscience.com%2Fwos%2Fwoscc%2Ffull-record%2FWOS:000876813400005","View Full Record in Web of Science")</f>
        <v>View Full Record in Web of Science</v>
      </c>
    </row>
    <row r="151" spans="1:72" x14ac:dyDescent="0.15">
      <c r="A151" t="s">
        <v>72</v>
      </c>
      <c r="B151" t="s">
        <v>3299</v>
      </c>
      <c r="C151" t="s">
        <v>74</v>
      </c>
      <c r="D151" t="s">
        <v>74</v>
      </c>
      <c r="E151" t="s">
        <v>74</v>
      </c>
      <c r="F151" t="s">
        <v>3300</v>
      </c>
      <c r="G151" t="s">
        <v>74</v>
      </c>
      <c r="H151" t="s">
        <v>74</v>
      </c>
      <c r="I151" t="s">
        <v>3301</v>
      </c>
      <c r="J151" t="s">
        <v>3302</v>
      </c>
      <c r="K151" t="s">
        <v>74</v>
      </c>
      <c r="L151" t="s">
        <v>74</v>
      </c>
      <c r="M151" t="s">
        <v>78</v>
      </c>
      <c r="N151" t="s">
        <v>79</v>
      </c>
      <c r="O151" t="s">
        <v>74</v>
      </c>
      <c r="P151" t="s">
        <v>74</v>
      </c>
      <c r="Q151" t="s">
        <v>74</v>
      </c>
      <c r="R151" t="s">
        <v>74</v>
      </c>
      <c r="S151" t="s">
        <v>74</v>
      </c>
      <c r="T151" t="s">
        <v>3303</v>
      </c>
      <c r="U151" t="s">
        <v>3304</v>
      </c>
      <c r="V151" t="s">
        <v>3305</v>
      </c>
      <c r="W151" t="s">
        <v>3306</v>
      </c>
      <c r="X151" t="s">
        <v>3307</v>
      </c>
      <c r="Y151" t="s">
        <v>3308</v>
      </c>
      <c r="Z151" t="s">
        <v>3309</v>
      </c>
      <c r="AA151" t="s">
        <v>3310</v>
      </c>
      <c r="AB151" t="s">
        <v>3311</v>
      </c>
      <c r="AC151" t="s">
        <v>3312</v>
      </c>
      <c r="AD151" t="s">
        <v>3313</v>
      </c>
      <c r="AE151" t="s">
        <v>3314</v>
      </c>
      <c r="AF151" t="s">
        <v>74</v>
      </c>
      <c r="AG151">
        <v>98</v>
      </c>
      <c r="AH151">
        <v>0</v>
      </c>
      <c r="AI151">
        <v>0</v>
      </c>
      <c r="AJ151">
        <v>0</v>
      </c>
      <c r="AK151">
        <v>8</v>
      </c>
      <c r="AL151" t="s">
        <v>3315</v>
      </c>
      <c r="AM151" t="s">
        <v>3316</v>
      </c>
      <c r="AN151" t="s">
        <v>3317</v>
      </c>
      <c r="AO151" t="s">
        <v>3318</v>
      </c>
      <c r="AP151" t="s">
        <v>3319</v>
      </c>
      <c r="AQ151" t="s">
        <v>74</v>
      </c>
      <c r="AR151" t="s">
        <v>3320</v>
      </c>
      <c r="AS151" t="s">
        <v>3321</v>
      </c>
      <c r="AT151" t="s">
        <v>3322</v>
      </c>
      <c r="AU151">
        <v>2022</v>
      </c>
      <c r="AV151">
        <v>697</v>
      </c>
      <c r="AW151" t="s">
        <v>74</v>
      </c>
      <c r="AX151" t="s">
        <v>74</v>
      </c>
      <c r="AY151" t="s">
        <v>74</v>
      </c>
      <c r="AZ151" t="s">
        <v>74</v>
      </c>
      <c r="BA151" t="s">
        <v>74</v>
      </c>
      <c r="BB151">
        <v>149</v>
      </c>
      <c r="BC151">
        <v>165</v>
      </c>
      <c r="BD151" t="s">
        <v>74</v>
      </c>
      <c r="BE151" t="s">
        <v>3323</v>
      </c>
      <c r="BF151" t="str">
        <f>HYPERLINK("http://dx.doi.org/10.3354/meps14136","http://dx.doi.org/10.3354/meps14136")</f>
        <v>http://dx.doi.org/10.3354/meps14136</v>
      </c>
      <c r="BG151" t="s">
        <v>74</v>
      </c>
      <c r="BH151" t="s">
        <v>74</v>
      </c>
      <c r="BI151">
        <v>17</v>
      </c>
      <c r="BJ151" t="s">
        <v>3324</v>
      </c>
      <c r="BK151" t="s">
        <v>100</v>
      </c>
      <c r="BL151" t="s">
        <v>3325</v>
      </c>
      <c r="BM151" t="s">
        <v>3326</v>
      </c>
      <c r="BN151" t="s">
        <v>74</v>
      </c>
      <c r="BO151" t="s">
        <v>3327</v>
      </c>
      <c r="BP151" t="s">
        <v>74</v>
      </c>
      <c r="BQ151" t="s">
        <v>74</v>
      </c>
      <c r="BR151" t="s">
        <v>103</v>
      </c>
      <c r="BS151" t="s">
        <v>3328</v>
      </c>
      <c r="BT151" t="str">
        <f>HYPERLINK("https%3A%2F%2Fwww.webofscience.com%2Fwos%2Fwoscc%2Ffull-record%2FWOS:000865793900011","View Full Record in Web of Science")</f>
        <v>View Full Record in Web of Science</v>
      </c>
    </row>
    <row r="152" spans="1:72" x14ac:dyDescent="0.15">
      <c r="A152" t="s">
        <v>72</v>
      </c>
      <c r="B152" t="s">
        <v>3329</v>
      </c>
      <c r="C152" t="s">
        <v>74</v>
      </c>
      <c r="D152" t="s">
        <v>74</v>
      </c>
      <c r="E152" t="s">
        <v>74</v>
      </c>
      <c r="F152" t="s">
        <v>3330</v>
      </c>
      <c r="G152" t="s">
        <v>74</v>
      </c>
      <c r="H152" t="s">
        <v>74</v>
      </c>
      <c r="I152" t="s">
        <v>3331</v>
      </c>
      <c r="J152" t="s">
        <v>3332</v>
      </c>
      <c r="K152" t="s">
        <v>74</v>
      </c>
      <c r="L152" t="s">
        <v>74</v>
      </c>
      <c r="M152" t="s">
        <v>78</v>
      </c>
      <c r="N152" t="s">
        <v>79</v>
      </c>
      <c r="O152" t="s">
        <v>74</v>
      </c>
      <c r="P152" t="s">
        <v>74</v>
      </c>
      <c r="Q152" t="s">
        <v>74</v>
      </c>
      <c r="R152" t="s">
        <v>74</v>
      </c>
      <c r="S152" t="s">
        <v>74</v>
      </c>
      <c r="T152" t="s">
        <v>74</v>
      </c>
      <c r="U152" t="s">
        <v>3333</v>
      </c>
      <c r="V152" t="s">
        <v>3334</v>
      </c>
      <c r="W152" t="s">
        <v>3335</v>
      </c>
      <c r="X152" t="s">
        <v>3336</v>
      </c>
      <c r="Y152" t="s">
        <v>3337</v>
      </c>
      <c r="Z152" t="s">
        <v>3338</v>
      </c>
      <c r="AA152" t="s">
        <v>3339</v>
      </c>
      <c r="AB152" t="s">
        <v>3340</v>
      </c>
      <c r="AC152" t="s">
        <v>3341</v>
      </c>
      <c r="AD152" t="s">
        <v>3342</v>
      </c>
      <c r="AE152" t="s">
        <v>3343</v>
      </c>
      <c r="AF152" t="s">
        <v>74</v>
      </c>
      <c r="AG152">
        <v>31</v>
      </c>
      <c r="AH152">
        <v>0</v>
      </c>
      <c r="AI152">
        <v>0</v>
      </c>
      <c r="AJ152">
        <v>1</v>
      </c>
      <c r="AK152">
        <v>3</v>
      </c>
      <c r="AL152" t="s">
        <v>2275</v>
      </c>
      <c r="AM152" t="s">
        <v>90</v>
      </c>
      <c r="AN152" t="s">
        <v>2276</v>
      </c>
      <c r="AO152" t="s">
        <v>3344</v>
      </c>
      <c r="AP152" t="s">
        <v>3345</v>
      </c>
      <c r="AQ152" t="s">
        <v>74</v>
      </c>
      <c r="AR152" t="s">
        <v>3346</v>
      </c>
      <c r="AS152" t="s">
        <v>3347</v>
      </c>
      <c r="AT152" t="s">
        <v>3348</v>
      </c>
      <c r="AU152">
        <v>2022</v>
      </c>
      <c r="AV152">
        <v>240</v>
      </c>
      <c r="AW152" t="s">
        <v>74</v>
      </c>
      <c r="AX152" t="s">
        <v>74</v>
      </c>
      <c r="AY152" t="s">
        <v>74</v>
      </c>
      <c r="AZ152" t="s">
        <v>74</v>
      </c>
      <c r="BA152" t="s">
        <v>74</v>
      </c>
      <c r="BB152" t="s">
        <v>74</v>
      </c>
      <c r="BC152" t="s">
        <v>74</v>
      </c>
      <c r="BD152">
        <v>105945</v>
      </c>
      <c r="BE152" t="s">
        <v>3349</v>
      </c>
      <c r="BF152" t="str">
        <f>HYPERLINK("http://dx.doi.org/10.1016/j.jastp.2022.105945","http://dx.doi.org/10.1016/j.jastp.2022.105945")</f>
        <v>http://dx.doi.org/10.1016/j.jastp.2022.105945</v>
      </c>
      <c r="BG152" t="s">
        <v>74</v>
      </c>
      <c r="BH152" t="s">
        <v>2143</v>
      </c>
      <c r="BI152">
        <v>16</v>
      </c>
      <c r="BJ152" t="s">
        <v>3350</v>
      </c>
      <c r="BK152" t="s">
        <v>100</v>
      </c>
      <c r="BL152" t="s">
        <v>3350</v>
      </c>
      <c r="BM152" t="s">
        <v>3351</v>
      </c>
      <c r="BN152" t="s">
        <v>74</v>
      </c>
      <c r="BO152" t="s">
        <v>831</v>
      </c>
      <c r="BP152" t="s">
        <v>74</v>
      </c>
      <c r="BQ152" t="s">
        <v>74</v>
      </c>
      <c r="BR152" t="s">
        <v>103</v>
      </c>
      <c r="BS152" t="s">
        <v>3352</v>
      </c>
      <c r="BT152" t="str">
        <f>HYPERLINK("https%3A%2F%2Fwww.webofscience.com%2Fwos%2Fwoscc%2Ffull-record%2FWOS:000862888600001","View Full Record in Web of Science")</f>
        <v>View Full Record in Web of Science</v>
      </c>
    </row>
    <row r="153" spans="1:72" x14ac:dyDescent="0.15">
      <c r="A153" t="s">
        <v>72</v>
      </c>
      <c r="B153" t="s">
        <v>3353</v>
      </c>
      <c r="C153" t="s">
        <v>74</v>
      </c>
      <c r="D153" t="s">
        <v>74</v>
      </c>
      <c r="E153" t="s">
        <v>74</v>
      </c>
      <c r="F153" t="s">
        <v>3354</v>
      </c>
      <c r="G153" t="s">
        <v>74</v>
      </c>
      <c r="H153" t="s">
        <v>74</v>
      </c>
      <c r="I153" t="s">
        <v>3355</v>
      </c>
      <c r="J153" t="s">
        <v>3356</v>
      </c>
      <c r="K153" t="s">
        <v>74</v>
      </c>
      <c r="L153" t="s">
        <v>74</v>
      </c>
      <c r="M153" t="s">
        <v>78</v>
      </c>
      <c r="N153" t="s">
        <v>3357</v>
      </c>
      <c r="O153" t="s">
        <v>74</v>
      </c>
      <c r="P153" t="s">
        <v>74</v>
      </c>
      <c r="Q153" t="s">
        <v>74</v>
      </c>
      <c r="R153" t="s">
        <v>74</v>
      </c>
      <c r="S153" t="s">
        <v>74</v>
      </c>
      <c r="T153" t="s">
        <v>74</v>
      </c>
      <c r="U153" t="s">
        <v>3358</v>
      </c>
      <c r="V153" t="s">
        <v>3359</v>
      </c>
      <c r="W153" t="s">
        <v>3360</v>
      </c>
      <c r="X153" t="s">
        <v>3361</v>
      </c>
      <c r="Y153" t="s">
        <v>3362</v>
      </c>
      <c r="Z153" t="s">
        <v>3363</v>
      </c>
      <c r="AA153" t="s">
        <v>3364</v>
      </c>
      <c r="AB153" t="s">
        <v>3365</v>
      </c>
      <c r="AC153" t="s">
        <v>3366</v>
      </c>
      <c r="AD153" t="s">
        <v>3366</v>
      </c>
      <c r="AE153" t="s">
        <v>3367</v>
      </c>
      <c r="AF153" t="s">
        <v>74</v>
      </c>
      <c r="AG153">
        <v>87</v>
      </c>
      <c r="AH153">
        <v>10</v>
      </c>
      <c r="AI153">
        <v>10</v>
      </c>
      <c r="AJ153">
        <v>5</v>
      </c>
      <c r="AK153">
        <v>21</v>
      </c>
      <c r="AL153" t="s">
        <v>2460</v>
      </c>
      <c r="AM153" t="s">
        <v>2461</v>
      </c>
      <c r="AN153" t="s">
        <v>2462</v>
      </c>
      <c r="AO153" t="s">
        <v>3368</v>
      </c>
      <c r="AP153" t="s">
        <v>3369</v>
      </c>
      <c r="AQ153" t="s">
        <v>74</v>
      </c>
      <c r="AR153" t="s">
        <v>3370</v>
      </c>
      <c r="AS153" t="s">
        <v>3371</v>
      </c>
      <c r="AT153" t="s">
        <v>3322</v>
      </c>
      <c r="AU153">
        <v>2022</v>
      </c>
      <c r="AV153">
        <v>14</v>
      </c>
      <c r="AW153">
        <v>9</v>
      </c>
      <c r="AX153" t="s">
        <v>74</v>
      </c>
      <c r="AY153" t="s">
        <v>74</v>
      </c>
      <c r="AZ153" t="s">
        <v>74</v>
      </c>
      <c r="BA153" t="s">
        <v>74</v>
      </c>
      <c r="BB153">
        <v>4287</v>
      </c>
      <c r="BC153">
        <v>4313</v>
      </c>
      <c r="BD153" t="s">
        <v>74</v>
      </c>
      <c r="BE153" t="s">
        <v>3372</v>
      </c>
      <c r="BF153" t="str">
        <f>HYPERLINK("http://dx.doi.org/10.5194/essd-14-4287-2022","http://dx.doi.org/10.5194/essd-14-4287-2022")</f>
        <v>http://dx.doi.org/10.5194/essd-14-4287-2022</v>
      </c>
      <c r="BG153" t="s">
        <v>74</v>
      </c>
      <c r="BH153" t="s">
        <v>74</v>
      </c>
      <c r="BI153">
        <v>27</v>
      </c>
      <c r="BJ153" t="s">
        <v>3373</v>
      </c>
      <c r="BK153" t="s">
        <v>100</v>
      </c>
      <c r="BL153" t="s">
        <v>3374</v>
      </c>
      <c r="BM153" t="s">
        <v>3375</v>
      </c>
      <c r="BN153" t="s">
        <v>74</v>
      </c>
      <c r="BO153" t="s">
        <v>1195</v>
      </c>
      <c r="BP153" t="s">
        <v>74</v>
      </c>
      <c r="BQ153" t="s">
        <v>74</v>
      </c>
      <c r="BR153" t="s">
        <v>103</v>
      </c>
      <c r="BS153" t="s">
        <v>3376</v>
      </c>
      <c r="BT153" t="str">
        <f>HYPERLINK("https%3A%2F%2Fwww.webofscience.com%2Fwos%2Fwoscc%2Ffull-record%2FWOS:000858006900001","View Full Record in Web of Science")</f>
        <v>View Full Record in Web of Science</v>
      </c>
    </row>
    <row r="154" spans="1:72" x14ac:dyDescent="0.15">
      <c r="A154" t="s">
        <v>72</v>
      </c>
      <c r="B154" t="s">
        <v>3377</v>
      </c>
      <c r="C154" t="s">
        <v>74</v>
      </c>
      <c r="D154" t="s">
        <v>74</v>
      </c>
      <c r="E154" t="s">
        <v>74</v>
      </c>
      <c r="F154" t="s">
        <v>3378</v>
      </c>
      <c r="G154" t="s">
        <v>74</v>
      </c>
      <c r="H154" t="s">
        <v>74</v>
      </c>
      <c r="I154" t="s">
        <v>3379</v>
      </c>
      <c r="J154" t="s">
        <v>3380</v>
      </c>
      <c r="K154" t="s">
        <v>74</v>
      </c>
      <c r="L154" t="s">
        <v>74</v>
      </c>
      <c r="M154" t="s">
        <v>78</v>
      </c>
      <c r="N154" t="s">
        <v>3381</v>
      </c>
      <c r="O154" t="s">
        <v>74</v>
      </c>
      <c r="P154" t="s">
        <v>74</v>
      </c>
      <c r="Q154" t="s">
        <v>74</v>
      </c>
      <c r="R154" t="s">
        <v>74</v>
      </c>
      <c r="S154" t="s">
        <v>74</v>
      </c>
      <c r="T154" t="s">
        <v>3382</v>
      </c>
      <c r="U154" t="s">
        <v>74</v>
      </c>
      <c r="V154" t="s">
        <v>3383</v>
      </c>
      <c r="W154" t="s">
        <v>3384</v>
      </c>
      <c r="X154" t="s">
        <v>3385</v>
      </c>
      <c r="Y154" t="s">
        <v>3386</v>
      </c>
      <c r="Z154" t="s">
        <v>3387</v>
      </c>
      <c r="AA154" t="s">
        <v>3388</v>
      </c>
      <c r="AB154" t="s">
        <v>3389</v>
      </c>
      <c r="AC154" t="s">
        <v>74</v>
      </c>
      <c r="AD154" t="s">
        <v>74</v>
      </c>
      <c r="AE154" t="s">
        <v>74</v>
      </c>
      <c r="AF154" t="s">
        <v>74</v>
      </c>
      <c r="AG154">
        <v>0</v>
      </c>
      <c r="AH154">
        <v>1</v>
      </c>
      <c r="AI154">
        <v>1</v>
      </c>
      <c r="AJ154">
        <v>3</v>
      </c>
      <c r="AK154">
        <v>20</v>
      </c>
      <c r="AL154" t="s">
        <v>149</v>
      </c>
      <c r="AM154" t="s">
        <v>150</v>
      </c>
      <c r="AN154" t="s">
        <v>151</v>
      </c>
      <c r="AO154" t="s">
        <v>3390</v>
      </c>
      <c r="AP154" t="s">
        <v>3391</v>
      </c>
      <c r="AQ154" t="s">
        <v>74</v>
      </c>
      <c r="AR154" t="s">
        <v>3380</v>
      </c>
      <c r="AS154" t="s">
        <v>3392</v>
      </c>
      <c r="AT154" t="s">
        <v>3322</v>
      </c>
      <c r="AU154">
        <v>2022</v>
      </c>
      <c r="AV154">
        <v>609</v>
      </c>
      <c r="AW154">
        <v>7928</v>
      </c>
      <c r="AX154" t="s">
        <v>74</v>
      </c>
      <c r="AY154" t="s">
        <v>74</v>
      </c>
      <c r="AZ154" t="s">
        <v>74</v>
      </c>
      <c r="BA154" t="s">
        <v>74</v>
      </c>
      <c r="BB154">
        <v>676</v>
      </c>
      <c r="BC154">
        <v>676</v>
      </c>
      <c r="BD154" t="s">
        <v>74</v>
      </c>
      <c r="BE154" t="s">
        <v>3393</v>
      </c>
      <c r="BF154" t="str">
        <f>HYPERLINK("http://dx.doi.org/10.1038/d41586-022-02981-5","http://dx.doi.org/10.1038/d41586-022-02981-5")</f>
        <v>http://dx.doi.org/10.1038/d41586-022-02981-5</v>
      </c>
      <c r="BG154" t="s">
        <v>74</v>
      </c>
      <c r="BH154" t="s">
        <v>74</v>
      </c>
      <c r="BI154">
        <v>1</v>
      </c>
      <c r="BJ154" t="s">
        <v>156</v>
      </c>
      <c r="BK154" t="s">
        <v>100</v>
      </c>
      <c r="BL154" t="s">
        <v>157</v>
      </c>
      <c r="BM154" t="s">
        <v>3394</v>
      </c>
      <c r="BN154">
        <v>36127443</v>
      </c>
      <c r="BO154" t="s">
        <v>3327</v>
      </c>
      <c r="BP154" t="s">
        <v>74</v>
      </c>
      <c r="BQ154" t="s">
        <v>74</v>
      </c>
      <c r="BR154" t="s">
        <v>103</v>
      </c>
      <c r="BS154" t="s">
        <v>3395</v>
      </c>
      <c r="BT154" t="str">
        <f>HYPERLINK("https%3A%2F%2Fwww.webofscience.com%2Fwos%2Fwoscc%2Ffull-record%2FWOS:000855795500008","View Full Record in Web of Science")</f>
        <v>View Full Record in Web of Science</v>
      </c>
    </row>
    <row r="155" spans="1:72" x14ac:dyDescent="0.15">
      <c r="A155" t="s">
        <v>72</v>
      </c>
      <c r="B155" t="s">
        <v>3396</v>
      </c>
      <c r="C155" t="s">
        <v>74</v>
      </c>
      <c r="D155" t="s">
        <v>74</v>
      </c>
      <c r="E155" t="s">
        <v>74</v>
      </c>
      <c r="F155" t="s">
        <v>3397</v>
      </c>
      <c r="G155" t="s">
        <v>74</v>
      </c>
      <c r="H155" t="s">
        <v>74</v>
      </c>
      <c r="I155" t="s">
        <v>3398</v>
      </c>
      <c r="J155" t="s">
        <v>3399</v>
      </c>
      <c r="K155" t="s">
        <v>74</v>
      </c>
      <c r="L155" t="s">
        <v>74</v>
      </c>
      <c r="M155" t="s">
        <v>78</v>
      </c>
      <c r="N155" t="s">
        <v>165</v>
      </c>
      <c r="O155" t="s">
        <v>74</v>
      </c>
      <c r="P155" t="s">
        <v>74</v>
      </c>
      <c r="Q155" t="s">
        <v>74</v>
      </c>
      <c r="R155" t="s">
        <v>74</v>
      </c>
      <c r="S155" t="s">
        <v>74</v>
      </c>
      <c r="T155" t="s">
        <v>3400</v>
      </c>
      <c r="U155" t="s">
        <v>3401</v>
      </c>
      <c r="V155" t="s">
        <v>3402</v>
      </c>
      <c r="W155" t="s">
        <v>3403</v>
      </c>
      <c r="X155" t="s">
        <v>3404</v>
      </c>
      <c r="Y155" t="s">
        <v>3405</v>
      </c>
      <c r="Z155" t="s">
        <v>3406</v>
      </c>
      <c r="AA155" t="s">
        <v>3407</v>
      </c>
      <c r="AB155" t="s">
        <v>3408</v>
      </c>
      <c r="AC155" t="s">
        <v>3409</v>
      </c>
      <c r="AD155" t="s">
        <v>3410</v>
      </c>
      <c r="AE155" t="s">
        <v>3411</v>
      </c>
      <c r="AF155" t="s">
        <v>74</v>
      </c>
      <c r="AG155">
        <v>136</v>
      </c>
      <c r="AH155">
        <v>6</v>
      </c>
      <c r="AI155">
        <v>6</v>
      </c>
      <c r="AJ155">
        <v>3</v>
      </c>
      <c r="AK155">
        <v>15</v>
      </c>
      <c r="AL155" t="s">
        <v>2275</v>
      </c>
      <c r="AM155" t="s">
        <v>90</v>
      </c>
      <c r="AN155" t="s">
        <v>2276</v>
      </c>
      <c r="AO155" t="s">
        <v>3412</v>
      </c>
      <c r="AP155" t="s">
        <v>3413</v>
      </c>
      <c r="AQ155" t="s">
        <v>74</v>
      </c>
      <c r="AR155" t="s">
        <v>3414</v>
      </c>
      <c r="AS155" t="s">
        <v>3415</v>
      </c>
      <c r="AT155" t="s">
        <v>2281</v>
      </c>
      <c r="AU155">
        <v>2022</v>
      </c>
      <c r="AV155">
        <v>208</v>
      </c>
      <c r="AW155" t="s">
        <v>74</v>
      </c>
      <c r="AX155" t="s">
        <v>74</v>
      </c>
      <c r="AY155" t="s">
        <v>74</v>
      </c>
      <c r="AZ155" t="s">
        <v>74</v>
      </c>
      <c r="BA155" t="s">
        <v>74</v>
      </c>
      <c r="BB155" t="s">
        <v>74</v>
      </c>
      <c r="BC155" t="s">
        <v>74</v>
      </c>
      <c r="BD155">
        <v>102878</v>
      </c>
      <c r="BE155" t="s">
        <v>3416</v>
      </c>
      <c r="BF155" t="str">
        <f>HYPERLINK("http://dx.doi.org/10.1016/j.pocean.2022.102878","http://dx.doi.org/10.1016/j.pocean.2022.102878")</f>
        <v>http://dx.doi.org/10.1016/j.pocean.2022.102878</v>
      </c>
      <c r="BG155" t="s">
        <v>74</v>
      </c>
      <c r="BH155" t="s">
        <v>2143</v>
      </c>
      <c r="BI155">
        <v>27</v>
      </c>
      <c r="BJ155" t="s">
        <v>674</v>
      </c>
      <c r="BK155" t="s">
        <v>100</v>
      </c>
      <c r="BL155" t="s">
        <v>674</v>
      </c>
      <c r="BM155" t="s">
        <v>3417</v>
      </c>
      <c r="BN155" t="s">
        <v>74</v>
      </c>
      <c r="BO155" t="s">
        <v>2512</v>
      </c>
      <c r="BP155" t="s">
        <v>74</v>
      </c>
      <c r="BQ155" t="s">
        <v>74</v>
      </c>
      <c r="BR155" t="s">
        <v>103</v>
      </c>
      <c r="BS155" t="s">
        <v>3418</v>
      </c>
      <c r="BT155" t="str">
        <f>HYPERLINK("https%3A%2F%2Fwww.webofscience.com%2Fwos%2Fwoscc%2Ffull-record%2FWOS:000870866500002","View Full Record in Web of Science")</f>
        <v>View Full Record in Web of Science</v>
      </c>
    </row>
    <row r="156" spans="1:72" x14ac:dyDescent="0.15">
      <c r="A156" t="s">
        <v>72</v>
      </c>
      <c r="B156" t="s">
        <v>3419</v>
      </c>
      <c r="C156" t="s">
        <v>74</v>
      </c>
      <c r="D156" t="s">
        <v>74</v>
      </c>
      <c r="E156" t="s">
        <v>74</v>
      </c>
      <c r="F156" t="s">
        <v>3420</v>
      </c>
      <c r="G156" t="s">
        <v>74</v>
      </c>
      <c r="H156" t="s">
        <v>74</v>
      </c>
      <c r="I156" t="s">
        <v>3421</v>
      </c>
      <c r="J156" t="s">
        <v>247</v>
      </c>
      <c r="K156" t="s">
        <v>74</v>
      </c>
      <c r="L156" t="s">
        <v>74</v>
      </c>
      <c r="M156" t="s">
        <v>78</v>
      </c>
      <c r="N156" t="s">
        <v>79</v>
      </c>
      <c r="O156" t="s">
        <v>74</v>
      </c>
      <c r="P156" t="s">
        <v>74</v>
      </c>
      <c r="Q156" t="s">
        <v>74</v>
      </c>
      <c r="R156" t="s">
        <v>74</v>
      </c>
      <c r="S156" t="s">
        <v>74</v>
      </c>
      <c r="T156" t="s">
        <v>3422</v>
      </c>
      <c r="U156" t="s">
        <v>3423</v>
      </c>
      <c r="V156" t="s">
        <v>3424</v>
      </c>
      <c r="W156" t="s">
        <v>3425</v>
      </c>
      <c r="X156" t="s">
        <v>3426</v>
      </c>
      <c r="Y156" t="s">
        <v>3427</v>
      </c>
      <c r="Z156" t="s">
        <v>3428</v>
      </c>
      <c r="AA156" t="s">
        <v>3429</v>
      </c>
      <c r="AB156" t="s">
        <v>3430</v>
      </c>
      <c r="AC156" t="s">
        <v>3431</v>
      </c>
      <c r="AD156" t="s">
        <v>3432</v>
      </c>
      <c r="AE156" t="s">
        <v>3433</v>
      </c>
      <c r="AF156" t="s">
        <v>74</v>
      </c>
      <c r="AG156">
        <v>86</v>
      </c>
      <c r="AH156">
        <v>3</v>
      </c>
      <c r="AI156">
        <v>3</v>
      </c>
      <c r="AJ156">
        <v>1</v>
      </c>
      <c r="AK156">
        <v>6</v>
      </c>
      <c r="AL156" t="s">
        <v>121</v>
      </c>
      <c r="AM156" t="s">
        <v>122</v>
      </c>
      <c r="AN156" t="s">
        <v>123</v>
      </c>
      <c r="AO156" t="s">
        <v>74</v>
      </c>
      <c r="AP156" t="s">
        <v>258</v>
      </c>
      <c r="AQ156" t="s">
        <v>74</v>
      </c>
      <c r="AR156" t="s">
        <v>259</v>
      </c>
      <c r="AS156" t="s">
        <v>260</v>
      </c>
      <c r="AT156" t="s">
        <v>3434</v>
      </c>
      <c r="AU156">
        <v>2022</v>
      </c>
      <c r="AV156">
        <v>9</v>
      </c>
      <c r="AW156" t="s">
        <v>74</v>
      </c>
      <c r="AX156" t="s">
        <v>74</v>
      </c>
      <c r="AY156" t="s">
        <v>74</v>
      </c>
      <c r="AZ156" t="s">
        <v>74</v>
      </c>
      <c r="BA156" t="s">
        <v>74</v>
      </c>
      <c r="BB156" t="s">
        <v>74</v>
      </c>
      <c r="BC156" t="s">
        <v>74</v>
      </c>
      <c r="BD156">
        <v>925123</v>
      </c>
      <c r="BE156" t="s">
        <v>3435</v>
      </c>
      <c r="BF156" t="str">
        <f>HYPERLINK("http://dx.doi.org/10.3389/fmars.2022.925123","http://dx.doi.org/10.3389/fmars.2022.925123")</f>
        <v>http://dx.doi.org/10.3389/fmars.2022.925123</v>
      </c>
      <c r="BG156" t="s">
        <v>74</v>
      </c>
      <c r="BH156" t="s">
        <v>74</v>
      </c>
      <c r="BI156">
        <v>17</v>
      </c>
      <c r="BJ156" t="s">
        <v>263</v>
      </c>
      <c r="BK156" t="s">
        <v>100</v>
      </c>
      <c r="BL156" t="s">
        <v>264</v>
      </c>
      <c r="BM156" t="s">
        <v>3436</v>
      </c>
      <c r="BN156" t="s">
        <v>74</v>
      </c>
      <c r="BO156" t="s">
        <v>159</v>
      </c>
      <c r="BP156" t="s">
        <v>74</v>
      </c>
      <c r="BQ156" t="s">
        <v>74</v>
      </c>
      <c r="BR156" t="s">
        <v>103</v>
      </c>
      <c r="BS156" t="s">
        <v>3437</v>
      </c>
      <c r="BT156" t="str">
        <f>HYPERLINK("https%3A%2F%2Fwww.webofscience.com%2Fwos%2Fwoscc%2Ffull-record%2FWOS:000864734800001","View Full Record in Web of Science")</f>
        <v>View Full Record in Web of Science</v>
      </c>
    </row>
    <row r="157" spans="1:72" x14ac:dyDescent="0.15">
      <c r="A157" t="s">
        <v>72</v>
      </c>
      <c r="B157" t="s">
        <v>3438</v>
      </c>
      <c r="C157" t="s">
        <v>74</v>
      </c>
      <c r="D157" t="s">
        <v>74</v>
      </c>
      <c r="E157" t="s">
        <v>74</v>
      </c>
      <c r="F157" t="s">
        <v>3439</v>
      </c>
      <c r="G157" t="s">
        <v>74</v>
      </c>
      <c r="H157" t="s">
        <v>74</v>
      </c>
      <c r="I157" t="s">
        <v>3440</v>
      </c>
      <c r="J157" t="s">
        <v>3441</v>
      </c>
      <c r="K157" t="s">
        <v>74</v>
      </c>
      <c r="L157" t="s">
        <v>74</v>
      </c>
      <c r="M157" t="s">
        <v>78</v>
      </c>
      <c r="N157" t="s">
        <v>165</v>
      </c>
      <c r="O157" t="s">
        <v>74</v>
      </c>
      <c r="P157" t="s">
        <v>74</v>
      </c>
      <c r="Q157" t="s">
        <v>74</v>
      </c>
      <c r="R157" t="s">
        <v>74</v>
      </c>
      <c r="S157" t="s">
        <v>74</v>
      </c>
      <c r="T157" t="s">
        <v>74</v>
      </c>
      <c r="U157" t="s">
        <v>3442</v>
      </c>
      <c r="V157" t="s">
        <v>3443</v>
      </c>
      <c r="W157" t="s">
        <v>3444</v>
      </c>
      <c r="X157" t="s">
        <v>3445</v>
      </c>
      <c r="Y157" t="s">
        <v>3446</v>
      </c>
      <c r="Z157" t="s">
        <v>3447</v>
      </c>
      <c r="AA157" t="s">
        <v>3448</v>
      </c>
      <c r="AB157" t="s">
        <v>3449</v>
      </c>
      <c r="AC157" t="s">
        <v>74</v>
      </c>
      <c r="AD157" t="s">
        <v>74</v>
      </c>
      <c r="AE157" t="s">
        <v>74</v>
      </c>
      <c r="AF157" t="s">
        <v>74</v>
      </c>
      <c r="AG157">
        <v>68</v>
      </c>
      <c r="AH157">
        <v>9</v>
      </c>
      <c r="AI157">
        <v>9</v>
      </c>
      <c r="AJ157">
        <v>10</v>
      </c>
      <c r="AK157">
        <v>52</v>
      </c>
      <c r="AL157" t="s">
        <v>3450</v>
      </c>
      <c r="AM157" t="s">
        <v>346</v>
      </c>
      <c r="AN157" t="s">
        <v>3451</v>
      </c>
      <c r="AO157" t="s">
        <v>3452</v>
      </c>
      <c r="AP157" t="s">
        <v>3453</v>
      </c>
      <c r="AQ157" t="s">
        <v>74</v>
      </c>
      <c r="AR157" t="s">
        <v>3454</v>
      </c>
      <c r="AS157" t="s">
        <v>3455</v>
      </c>
      <c r="AT157" t="s">
        <v>3456</v>
      </c>
      <c r="AU157">
        <v>2022</v>
      </c>
      <c r="AV157">
        <v>24</v>
      </c>
      <c r="AW157">
        <v>10</v>
      </c>
      <c r="AX157" t="s">
        <v>74</v>
      </c>
      <c r="AY157" t="s">
        <v>74</v>
      </c>
      <c r="AZ157" t="s">
        <v>74</v>
      </c>
      <c r="BA157" t="s">
        <v>74</v>
      </c>
      <c r="BB157">
        <v>1643</v>
      </c>
      <c r="BC157">
        <v>1660</v>
      </c>
      <c r="BD157" t="s">
        <v>74</v>
      </c>
      <c r="BE157" t="s">
        <v>3457</v>
      </c>
      <c r="BF157" t="str">
        <f>HYPERLINK("http://dx.doi.org/10.1039/d2em00134a","http://dx.doi.org/10.1039/d2em00134a")</f>
        <v>http://dx.doi.org/10.1039/d2em00134a</v>
      </c>
      <c r="BG157" t="s">
        <v>74</v>
      </c>
      <c r="BH157" t="s">
        <v>2143</v>
      </c>
      <c r="BI157">
        <v>18</v>
      </c>
      <c r="BJ157" t="s">
        <v>3458</v>
      </c>
      <c r="BK157" t="s">
        <v>100</v>
      </c>
      <c r="BL157" t="s">
        <v>3459</v>
      </c>
      <c r="BM157" t="s">
        <v>3460</v>
      </c>
      <c r="BN157">
        <v>36196982</v>
      </c>
      <c r="BO157" t="s">
        <v>1221</v>
      </c>
      <c r="BP157" t="s">
        <v>74</v>
      </c>
      <c r="BQ157" t="s">
        <v>74</v>
      </c>
      <c r="BR157" t="s">
        <v>103</v>
      </c>
      <c r="BS157" t="s">
        <v>3461</v>
      </c>
      <c r="BT157" t="str">
        <f>HYPERLINK("https%3A%2F%2Fwww.webofscience.com%2Fwos%2Fwoscc%2Ffull-record%2FWOS:000864272900001","View Full Record in Web of Science")</f>
        <v>View Full Record in Web of Science</v>
      </c>
    </row>
    <row r="158" spans="1:72" x14ac:dyDescent="0.15">
      <c r="A158" t="s">
        <v>72</v>
      </c>
      <c r="B158" t="s">
        <v>3462</v>
      </c>
      <c r="C158" t="s">
        <v>74</v>
      </c>
      <c r="D158" t="s">
        <v>74</v>
      </c>
      <c r="E158" t="s">
        <v>74</v>
      </c>
      <c r="F158" t="s">
        <v>3463</v>
      </c>
      <c r="G158" t="s">
        <v>74</v>
      </c>
      <c r="H158" t="s">
        <v>74</v>
      </c>
      <c r="I158" t="s">
        <v>3464</v>
      </c>
      <c r="J158" t="s">
        <v>3465</v>
      </c>
      <c r="K158" t="s">
        <v>74</v>
      </c>
      <c r="L158" t="s">
        <v>74</v>
      </c>
      <c r="M158" t="s">
        <v>78</v>
      </c>
      <c r="N158" t="s">
        <v>79</v>
      </c>
      <c r="O158" t="s">
        <v>74</v>
      </c>
      <c r="P158" t="s">
        <v>74</v>
      </c>
      <c r="Q158" t="s">
        <v>74</v>
      </c>
      <c r="R158" t="s">
        <v>74</v>
      </c>
      <c r="S158" t="s">
        <v>74</v>
      </c>
      <c r="T158" t="s">
        <v>3466</v>
      </c>
      <c r="U158" t="s">
        <v>3467</v>
      </c>
      <c r="V158" t="s">
        <v>3468</v>
      </c>
      <c r="W158" t="s">
        <v>3469</v>
      </c>
      <c r="X158" t="s">
        <v>3470</v>
      </c>
      <c r="Y158" t="s">
        <v>3471</v>
      </c>
      <c r="Z158" t="s">
        <v>3472</v>
      </c>
      <c r="AA158" t="s">
        <v>3473</v>
      </c>
      <c r="AB158" t="s">
        <v>3474</v>
      </c>
      <c r="AC158" t="s">
        <v>3475</v>
      </c>
      <c r="AD158" t="s">
        <v>3476</v>
      </c>
      <c r="AE158" t="s">
        <v>3477</v>
      </c>
      <c r="AF158" t="s">
        <v>74</v>
      </c>
      <c r="AG158">
        <v>68</v>
      </c>
      <c r="AH158">
        <v>2</v>
      </c>
      <c r="AI158">
        <v>2</v>
      </c>
      <c r="AJ158">
        <v>0</v>
      </c>
      <c r="AK158">
        <v>5</v>
      </c>
      <c r="AL158" t="s">
        <v>3478</v>
      </c>
      <c r="AM158" t="s">
        <v>2774</v>
      </c>
      <c r="AN158" t="s">
        <v>3479</v>
      </c>
      <c r="AO158" t="s">
        <v>3480</v>
      </c>
      <c r="AP158" t="s">
        <v>74</v>
      </c>
      <c r="AQ158" t="s">
        <v>74</v>
      </c>
      <c r="AR158" t="s">
        <v>3465</v>
      </c>
      <c r="AS158" t="s">
        <v>3481</v>
      </c>
      <c r="AT158" t="s">
        <v>3434</v>
      </c>
      <c r="AU158">
        <v>2022</v>
      </c>
      <c r="AV158">
        <v>10</v>
      </c>
      <c r="AW158" t="s">
        <v>74</v>
      </c>
      <c r="AX158" t="s">
        <v>74</v>
      </c>
      <c r="AY158" t="s">
        <v>74</v>
      </c>
      <c r="AZ158" t="s">
        <v>74</v>
      </c>
      <c r="BA158" t="s">
        <v>74</v>
      </c>
      <c r="BB158" t="s">
        <v>74</v>
      </c>
      <c r="BC158" t="s">
        <v>74</v>
      </c>
      <c r="BD158" t="s">
        <v>3482</v>
      </c>
      <c r="BE158" t="s">
        <v>3483</v>
      </c>
      <c r="BF158" t="str">
        <f>HYPERLINK("http://dx.doi.org/10.7717/peerj.13929","http://dx.doi.org/10.7717/peerj.13929")</f>
        <v>http://dx.doi.org/10.7717/peerj.13929</v>
      </c>
      <c r="BG158" t="s">
        <v>74</v>
      </c>
      <c r="BH158" t="s">
        <v>74</v>
      </c>
      <c r="BI158">
        <v>28</v>
      </c>
      <c r="BJ158" t="s">
        <v>156</v>
      </c>
      <c r="BK158" t="s">
        <v>100</v>
      </c>
      <c r="BL158" t="s">
        <v>157</v>
      </c>
      <c r="BM158" t="s">
        <v>3484</v>
      </c>
      <c r="BN158">
        <v>36164604</v>
      </c>
      <c r="BO158" t="s">
        <v>159</v>
      </c>
      <c r="BP158" t="s">
        <v>74</v>
      </c>
      <c r="BQ158" t="s">
        <v>74</v>
      </c>
      <c r="BR158" t="s">
        <v>103</v>
      </c>
      <c r="BS158" t="s">
        <v>3485</v>
      </c>
      <c r="BT158" t="str">
        <f>HYPERLINK("https%3A%2F%2Fwww.webofscience.com%2Fwos%2Fwoscc%2Ffull-record%2FWOS:000863082000005","View Full Record in Web of Science")</f>
        <v>View Full Record in Web of Science</v>
      </c>
    </row>
    <row r="159" spans="1:72" x14ac:dyDescent="0.15">
      <c r="A159" t="s">
        <v>72</v>
      </c>
      <c r="B159" t="s">
        <v>3486</v>
      </c>
      <c r="C159" t="s">
        <v>74</v>
      </c>
      <c r="D159" t="s">
        <v>74</v>
      </c>
      <c r="E159" t="s">
        <v>74</v>
      </c>
      <c r="F159" t="s">
        <v>3487</v>
      </c>
      <c r="G159" t="s">
        <v>74</v>
      </c>
      <c r="H159" t="s">
        <v>74</v>
      </c>
      <c r="I159" t="s">
        <v>3488</v>
      </c>
      <c r="J159" t="s">
        <v>3489</v>
      </c>
      <c r="K159" t="s">
        <v>74</v>
      </c>
      <c r="L159" t="s">
        <v>74</v>
      </c>
      <c r="M159" t="s">
        <v>78</v>
      </c>
      <c r="N159" t="s">
        <v>79</v>
      </c>
      <c r="O159" t="s">
        <v>74</v>
      </c>
      <c r="P159" t="s">
        <v>74</v>
      </c>
      <c r="Q159" t="s">
        <v>74</v>
      </c>
      <c r="R159" t="s">
        <v>74</v>
      </c>
      <c r="S159" t="s">
        <v>74</v>
      </c>
      <c r="T159" t="s">
        <v>3490</v>
      </c>
      <c r="U159" t="s">
        <v>3491</v>
      </c>
      <c r="V159" t="s">
        <v>3492</v>
      </c>
      <c r="W159" t="s">
        <v>3493</v>
      </c>
      <c r="X159" t="s">
        <v>3494</v>
      </c>
      <c r="Y159" t="s">
        <v>3495</v>
      </c>
      <c r="Z159" t="s">
        <v>3496</v>
      </c>
      <c r="AA159" t="s">
        <v>3497</v>
      </c>
      <c r="AB159" t="s">
        <v>3498</v>
      </c>
      <c r="AC159" t="s">
        <v>74</v>
      </c>
      <c r="AD159" t="s">
        <v>74</v>
      </c>
      <c r="AE159" t="s">
        <v>74</v>
      </c>
      <c r="AF159" t="s">
        <v>74</v>
      </c>
      <c r="AG159">
        <v>47</v>
      </c>
      <c r="AH159">
        <v>3</v>
      </c>
      <c r="AI159">
        <v>3</v>
      </c>
      <c r="AJ159">
        <v>2</v>
      </c>
      <c r="AK159">
        <v>9</v>
      </c>
      <c r="AL159" t="s">
        <v>3499</v>
      </c>
      <c r="AM159" t="s">
        <v>2774</v>
      </c>
      <c r="AN159" t="s">
        <v>3500</v>
      </c>
      <c r="AO159" t="s">
        <v>3501</v>
      </c>
      <c r="AP159" t="s">
        <v>74</v>
      </c>
      <c r="AQ159" t="s">
        <v>74</v>
      </c>
      <c r="AR159" t="s">
        <v>3502</v>
      </c>
      <c r="AS159" t="s">
        <v>3503</v>
      </c>
      <c r="AT159" t="s">
        <v>3434</v>
      </c>
      <c r="AU159">
        <v>2022</v>
      </c>
      <c r="AV159">
        <v>9</v>
      </c>
      <c r="AW159">
        <v>9</v>
      </c>
      <c r="AX159" t="s">
        <v>74</v>
      </c>
      <c r="AY159" t="s">
        <v>74</v>
      </c>
      <c r="AZ159" t="s">
        <v>74</v>
      </c>
      <c r="BA159" t="s">
        <v>74</v>
      </c>
      <c r="BB159" t="s">
        <v>74</v>
      </c>
      <c r="BC159" t="s">
        <v>74</v>
      </c>
      <c r="BD159">
        <v>220721</v>
      </c>
      <c r="BE159" t="s">
        <v>3504</v>
      </c>
      <c r="BF159" t="str">
        <f>HYPERLINK("http://dx.doi.org/10.1098/rsos.220721","http://dx.doi.org/10.1098/rsos.220721")</f>
        <v>http://dx.doi.org/10.1098/rsos.220721</v>
      </c>
      <c r="BG159" t="s">
        <v>74</v>
      </c>
      <c r="BH159" t="s">
        <v>74</v>
      </c>
      <c r="BI159">
        <v>8</v>
      </c>
      <c r="BJ159" t="s">
        <v>156</v>
      </c>
      <c r="BK159" t="s">
        <v>100</v>
      </c>
      <c r="BL159" t="s">
        <v>157</v>
      </c>
      <c r="BM159" t="s">
        <v>3505</v>
      </c>
      <c r="BN159">
        <v>36147939</v>
      </c>
      <c r="BO159" t="s">
        <v>159</v>
      </c>
      <c r="BP159" t="s">
        <v>74</v>
      </c>
      <c r="BQ159" t="s">
        <v>74</v>
      </c>
      <c r="BR159" t="s">
        <v>103</v>
      </c>
      <c r="BS159" t="s">
        <v>3506</v>
      </c>
      <c r="BT159" t="str">
        <f>HYPERLINK("https%3A%2F%2Fwww.webofscience.com%2Fwos%2Fwoscc%2Ffull-record%2FWOS:000858613000003","View Full Record in Web of Science")</f>
        <v>View Full Record in Web of Science</v>
      </c>
    </row>
    <row r="160" spans="1:72" x14ac:dyDescent="0.15">
      <c r="A160" t="s">
        <v>72</v>
      </c>
      <c r="B160" t="s">
        <v>3507</v>
      </c>
      <c r="C160" t="s">
        <v>74</v>
      </c>
      <c r="D160" t="s">
        <v>74</v>
      </c>
      <c r="E160" t="s">
        <v>74</v>
      </c>
      <c r="F160" t="s">
        <v>3508</v>
      </c>
      <c r="G160" t="s">
        <v>74</v>
      </c>
      <c r="H160" t="s">
        <v>74</v>
      </c>
      <c r="I160" t="s">
        <v>3509</v>
      </c>
      <c r="J160" t="s">
        <v>3489</v>
      </c>
      <c r="K160" t="s">
        <v>74</v>
      </c>
      <c r="L160" t="s">
        <v>74</v>
      </c>
      <c r="M160" t="s">
        <v>78</v>
      </c>
      <c r="N160" t="s">
        <v>79</v>
      </c>
      <c r="O160" t="s">
        <v>74</v>
      </c>
      <c r="P160" t="s">
        <v>74</v>
      </c>
      <c r="Q160" t="s">
        <v>74</v>
      </c>
      <c r="R160" t="s">
        <v>74</v>
      </c>
      <c r="S160" t="s">
        <v>74</v>
      </c>
      <c r="T160" t="s">
        <v>3510</v>
      </c>
      <c r="U160" t="s">
        <v>3511</v>
      </c>
      <c r="V160" t="s">
        <v>3512</v>
      </c>
      <c r="W160" t="s">
        <v>3513</v>
      </c>
      <c r="X160" t="s">
        <v>3514</v>
      </c>
      <c r="Y160" t="s">
        <v>3515</v>
      </c>
      <c r="Z160" t="s">
        <v>3516</v>
      </c>
      <c r="AA160" t="s">
        <v>3517</v>
      </c>
      <c r="AB160" t="s">
        <v>3518</v>
      </c>
      <c r="AC160" t="s">
        <v>74</v>
      </c>
      <c r="AD160" t="s">
        <v>74</v>
      </c>
      <c r="AE160" t="s">
        <v>74</v>
      </c>
      <c r="AF160" t="s">
        <v>74</v>
      </c>
      <c r="AG160">
        <v>43</v>
      </c>
      <c r="AH160">
        <v>8</v>
      </c>
      <c r="AI160">
        <v>8</v>
      </c>
      <c r="AJ160">
        <v>3</v>
      </c>
      <c r="AK160">
        <v>6</v>
      </c>
      <c r="AL160" t="s">
        <v>3499</v>
      </c>
      <c r="AM160" t="s">
        <v>2774</v>
      </c>
      <c r="AN160" t="s">
        <v>3500</v>
      </c>
      <c r="AO160" t="s">
        <v>3501</v>
      </c>
      <c r="AP160" t="s">
        <v>74</v>
      </c>
      <c r="AQ160" t="s">
        <v>74</v>
      </c>
      <c r="AR160" t="s">
        <v>3502</v>
      </c>
      <c r="AS160" t="s">
        <v>3503</v>
      </c>
      <c r="AT160" t="s">
        <v>3434</v>
      </c>
      <c r="AU160">
        <v>2022</v>
      </c>
      <c r="AV160">
        <v>9</v>
      </c>
      <c r="AW160">
        <v>9</v>
      </c>
      <c r="AX160" t="s">
        <v>74</v>
      </c>
      <c r="AY160" t="s">
        <v>74</v>
      </c>
      <c r="AZ160" t="s">
        <v>74</v>
      </c>
      <c r="BA160" t="s">
        <v>74</v>
      </c>
      <c r="BB160" t="s">
        <v>74</v>
      </c>
      <c r="BC160" t="s">
        <v>74</v>
      </c>
      <c r="BD160">
        <v>211869</v>
      </c>
      <c r="BE160" t="s">
        <v>3519</v>
      </c>
      <c r="BF160" t="str">
        <f>HYPERLINK("http://dx.doi.org/10.1098/rsos.211869","http://dx.doi.org/10.1098/rsos.211869")</f>
        <v>http://dx.doi.org/10.1098/rsos.211869</v>
      </c>
      <c r="BG160" t="s">
        <v>74</v>
      </c>
      <c r="BH160" t="s">
        <v>74</v>
      </c>
      <c r="BI160">
        <v>14</v>
      </c>
      <c r="BJ160" t="s">
        <v>156</v>
      </c>
      <c r="BK160" t="s">
        <v>100</v>
      </c>
      <c r="BL160" t="s">
        <v>157</v>
      </c>
      <c r="BM160" t="s">
        <v>3505</v>
      </c>
      <c r="BN160">
        <v>36147936</v>
      </c>
      <c r="BO160" t="s">
        <v>305</v>
      </c>
      <c r="BP160" t="s">
        <v>74</v>
      </c>
      <c r="BQ160" t="s">
        <v>74</v>
      </c>
      <c r="BR160" t="s">
        <v>103</v>
      </c>
      <c r="BS160" t="s">
        <v>3520</v>
      </c>
      <c r="BT160" t="str">
        <f>HYPERLINK("https%3A%2F%2Fwww.webofscience.com%2Fwos%2Fwoscc%2Ffull-record%2FWOS:000858613000004","View Full Record in Web of Science")</f>
        <v>View Full Record in Web of Science</v>
      </c>
    </row>
    <row r="161" spans="1:72" x14ac:dyDescent="0.15">
      <c r="A161" t="s">
        <v>72</v>
      </c>
      <c r="B161" t="s">
        <v>3521</v>
      </c>
      <c r="C161" t="s">
        <v>74</v>
      </c>
      <c r="D161" t="s">
        <v>74</v>
      </c>
      <c r="E161" t="s">
        <v>74</v>
      </c>
      <c r="F161" t="s">
        <v>3522</v>
      </c>
      <c r="G161" t="s">
        <v>74</v>
      </c>
      <c r="H161" t="s">
        <v>74</v>
      </c>
      <c r="I161" t="s">
        <v>3523</v>
      </c>
      <c r="J161" t="s">
        <v>137</v>
      </c>
      <c r="K161" t="s">
        <v>74</v>
      </c>
      <c r="L161" t="s">
        <v>74</v>
      </c>
      <c r="M161" t="s">
        <v>78</v>
      </c>
      <c r="N161" t="s">
        <v>79</v>
      </c>
      <c r="O161" t="s">
        <v>74</v>
      </c>
      <c r="P161" t="s">
        <v>74</v>
      </c>
      <c r="Q161" t="s">
        <v>74</v>
      </c>
      <c r="R161" t="s">
        <v>74</v>
      </c>
      <c r="S161" t="s">
        <v>74</v>
      </c>
      <c r="T161" t="s">
        <v>74</v>
      </c>
      <c r="U161" t="s">
        <v>3524</v>
      </c>
      <c r="V161" t="s">
        <v>3525</v>
      </c>
      <c r="W161" t="s">
        <v>3526</v>
      </c>
      <c r="X161" t="s">
        <v>3527</v>
      </c>
      <c r="Y161" t="s">
        <v>3528</v>
      </c>
      <c r="Z161" t="s">
        <v>3529</v>
      </c>
      <c r="AA161" t="s">
        <v>3530</v>
      </c>
      <c r="AB161" t="s">
        <v>3531</v>
      </c>
      <c r="AC161" t="s">
        <v>3532</v>
      </c>
      <c r="AD161" t="s">
        <v>3533</v>
      </c>
      <c r="AE161" t="s">
        <v>3534</v>
      </c>
      <c r="AF161" t="s">
        <v>74</v>
      </c>
      <c r="AG161">
        <v>49</v>
      </c>
      <c r="AH161">
        <v>4</v>
      </c>
      <c r="AI161">
        <v>4</v>
      </c>
      <c r="AJ161">
        <v>2</v>
      </c>
      <c r="AK161">
        <v>8</v>
      </c>
      <c r="AL161" t="s">
        <v>149</v>
      </c>
      <c r="AM161" t="s">
        <v>150</v>
      </c>
      <c r="AN161" t="s">
        <v>151</v>
      </c>
      <c r="AO161" t="s">
        <v>74</v>
      </c>
      <c r="AP161" t="s">
        <v>152</v>
      </c>
      <c r="AQ161" t="s">
        <v>74</v>
      </c>
      <c r="AR161" t="s">
        <v>153</v>
      </c>
      <c r="AS161" t="s">
        <v>154</v>
      </c>
      <c r="AT161" t="s">
        <v>3434</v>
      </c>
      <c r="AU161">
        <v>2022</v>
      </c>
      <c r="AV161">
        <v>13</v>
      </c>
      <c r="AW161">
        <v>1</v>
      </c>
      <c r="AX161" t="s">
        <v>74</v>
      </c>
      <c r="AY161" t="s">
        <v>74</v>
      </c>
      <c r="AZ161" t="s">
        <v>74</v>
      </c>
      <c r="BA161" t="s">
        <v>74</v>
      </c>
      <c r="BB161" t="s">
        <v>74</v>
      </c>
      <c r="BC161" t="s">
        <v>74</v>
      </c>
      <c r="BD161">
        <v>5526</v>
      </c>
      <c r="BE161" t="s">
        <v>3535</v>
      </c>
      <c r="BF161" t="str">
        <f>HYPERLINK("http://dx.doi.org/10.1038/s41467-022-33310-z","http://dx.doi.org/10.1038/s41467-022-33310-z")</f>
        <v>http://dx.doi.org/10.1038/s41467-022-33310-z</v>
      </c>
      <c r="BG161" t="s">
        <v>74</v>
      </c>
      <c r="BH161" t="s">
        <v>74</v>
      </c>
      <c r="BI161">
        <v>7</v>
      </c>
      <c r="BJ161" t="s">
        <v>156</v>
      </c>
      <c r="BK161" t="s">
        <v>100</v>
      </c>
      <c r="BL161" t="s">
        <v>157</v>
      </c>
      <c r="BM161" t="s">
        <v>3536</v>
      </c>
      <c r="BN161">
        <v>36130952</v>
      </c>
      <c r="BO161" t="s">
        <v>3537</v>
      </c>
      <c r="BP161" t="s">
        <v>74</v>
      </c>
      <c r="BQ161" t="s">
        <v>74</v>
      </c>
      <c r="BR161" t="s">
        <v>103</v>
      </c>
      <c r="BS161" t="s">
        <v>3538</v>
      </c>
      <c r="BT161" t="str">
        <f>HYPERLINK("https%3A%2F%2Fwww.webofscience.com%2Fwos%2Fwoscc%2Ffull-record%2FWOS:000857058900003","View Full Record in Web of Science")</f>
        <v>View Full Record in Web of Science</v>
      </c>
    </row>
    <row r="162" spans="1:72" x14ac:dyDescent="0.15">
      <c r="A162" t="s">
        <v>72</v>
      </c>
      <c r="B162" t="s">
        <v>3539</v>
      </c>
      <c r="C162" t="s">
        <v>74</v>
      </c>
      <c r="D162" t="s">
        <v>74</v>
      </c>
      <c r="E162" t="s">
        <v>74</v>
      </c>
      <c r="F162" t="s">
        <v>3540</v>
      </c>
      <c r="G162" t="s">
        <v>74</v>
      </c>
      <c r="H162" t="s">
        <v>74</v>
      </c>
      <c r="I162" t="s">
        <v>3541</v>
      </c>
      <c r="J162" t="s">
        <v>3542</v>
      </c>
      <c r="K162" t="s">
        <v>74</v>
      </c>
      <c r="L162" t="s">
        <v>74</v>
      </c>
      <c r="M162" t="s">
        <v>78</v>
      </c>
      <c r="N162" t="s">
        <v>79</v>
      </c>
      <c r="O162" t="s">
        <v>74</v>
      </c>
      <c r="P162" t="s">
        <v>74</v>
      </c>
      <c r="Q162" t="s">
        <v>74</v>
      </c>
      <c r="R162" t="s">
        <v>74</v>
      </c>
      <c r="S162" t="s">
        <v>74</v>
      </c>
      <c r="T162" t="s">
        <v>3543</v>
      </c>
      <c r="U162" t="s">
        <v>3544</v>
      </c>
      <c r="V162" t="s">
        <v>3545</v>
      </c>
      <c r="W162" t="s">
        <v>3546</v>
      </c>
      <c r="X162" t="s">
        <v>3547</v>
      </c>
      <c r="Y162" t="s">
        <v>3548</v>
      </c>
      <c r="Z162" t="s">
        <v>3549</v>
      </c>
      <c r="AA162" t="s">
        <v>3550</v>
      </c>
      <c r="AB162" t="s">
        <v>3551</v>
      </c>
      <c r="AC162" t="s">
        <v>3552</v>
      </c>
      <c r="AD162" t="s">
        <v>3553</v>
      </c>
      <c r="AE162" t="s">
        <v>3554</v>
      </c>
      <c r="AF162" t="s">
        <v>74</v>
      </c>
      <c r="AG162">
        <v>69</v>
      </c>
      <c r="AH162">
        <v>2</v>
      </c>
      <c r="AI162">
        <v>2</v>
      </c>
      <c r="AJ162">
        <v>3</v>
      </c>
      <c r="AK162">
        <v>13</v>
      </c>
      <c r="AL162" t="s">
        <v>231</v>
      </c>
      <c r="AM162" t="s">
        <v>232</v>
      </c>
      <c r="AN162" t="s">
        <v>233</v>
      </c>
      <c r="AO162" t="s">
        <v>3555</v>
      </c>
      <c r="AP162" t="s">
        <v>3556</v>
      </c>
      <c r="AQ162" t="s">
        <v>74</v>
      </c>
      <c r="AR162" t="s">
        <v>3557</v>
      </c>
      <c r="AS162" t="s">
        <v>3558</v>
      </c>
      <c r="AT162" t="s">
        <v>238</v>
      </c>
      <c r="AU162">
        <v>2023</v>
      </c>
      <c r="AV162">
        <v>46</v>
      </c>
      <c r="AW162">
        <v>1</v>
      </c>
      <c r="AX162" t="s">
        <v>74</v>
      </c>
      <c r="AY162" t="s">
        <v>74</v>
      </c>
      <c r="AZ162" t="s">
        <v>74</v>
      </c>
      <c r="BA162" t="s">
        <v>74</v>
      </c>
      <c r="BB162">
        <v>1</v>
      </c>
      <c r="BC162">
        <v>15</v>
      </c>
      <c r="BD162" t="s">
        <v>74</v>
      </c>
      <c r="BE162" t="s">
        <v>3559</v>
      </c>
      <c r="BF162" t="str">
        <f>HYPERLINK("http://dx.doi.org/10.1111/jfd.13713","http://dx.doi.org/10.1111/jfd.13713")</f>
        <v>http://dx.doi.org/10.1111/jfd.13713</v>
      </c>
      <c r="BG162" t="s">
        <v>74</v>
      </c>
      <c r="BH162" t="s">
        <v>2143</v>
      </c>
      <c r="BI162">
        <v>15</v>
      </c>
      <c r="BJ162" t="s">
        <v>3560</v>
      </c>
      <c r="BK162" t="s">
        <v>100</v>
      </c>
      <c r="BL162" t="s">
        <v>3560</v>
      </c>
      <c r="BM162" t="s">
        <v>3561</v>
      </c>
      <c r="BN162">
        <v>36130050</v>
      </c>
      <c r="BO162" t="s">
        <v>74</v>
      </c>
      <c r="BP162" t="s">
        <v>74</v>
      </c>
      <c r="BQ162" t="s">
        <v>74</v>
      </c>
      <c r="BR162" t="s">
        <v>103</v>
      </c>
      <c r="BS162" t="s">
        <v>3562</v>
      </c>
      <c r="BT162" t="str">
        <f>HYPERLINK("https%3A%2F%2Fwww.webofscience.com%2Fwos%2Fwoscc%2Ffull-record%2FWOS:000855897000001","View Full Record in Web of Science")</f>
        <v>View Full Record in Web of Science</v>
      </c>
    </row>
    <row r="163" spans="1:72" x14ac:dyDescent="0.15">
      <c r="A163" t="s">
        <v>72</v>
      </c>
      <c r="B163" t="s">
        <v>3563</v>
      </c>
      <c r="C163" t="s">
        <v>74</v>
      </c>
      <c r="D163" t="s">
        <v>74</v>
      </c>
      <c r="E163" t="s">
        <v>74</v>
      </c>
      <c r="F163" t="s">
        <v>3564</v>
      </c>
      <c r="G163" t="s">
        <v>74</v>
      </c>
      <c r="H163" t="s">
        <v>74</v>
      </c>
      <c r="I163" t="s">
        <v>3565</v>
      </c>
      <c r="J163" t="s">
        <v>3566</v>
      </c>
      <c r="K163" t="s">
        <v>74</v>
      </c>
      <c r="L163" t="s">
        <v>74</v>
      </c>
      <c r="M163" t="s">
        <v>78</v>
      </c>
      <c r="N163" t="s">
        <v>79</v>
      </c>
      <c r="O163" t="s">
        <v>74</v>
      </c>
      <c r="P163" t="s">
        <v>74</v>
      </c>
      <c r="Q163" t="s">
        <v>74</v>
      </c>
      <c r="R163" t="s">
        <v>74</v>
      </c>
      <c r="S163" t="s">
        <v>74</v>
      </c>
      <c r="T163" t="s">
        <v>74</v>
      </c>
      <c r="U163" t="s">
        <v>3567</v>
      </c>
      <c r="V163" t="s">
        <v>3568</v>
      </c>
      <c r="W163" t="s">
        <v>3569</v>
      </c>
      <c r="X163" t="s">
        <v>3570</v>
      </c>
      <c r="Y163" t="s">
        <v>3571</v>
      </c>
      <c r="Z163" t="s">
        <v>3572</v>
      </c>
      <c r="AA163" t="s">
        <v>3573</v>
      </c>
      <c r="AB163" t="s">
        <v>3574</v>
      </c>
      <c r="AC163" t="s">
        <v>3575</v>
      </c>
      <c r="AD163" t="s">
        <v>3576</v>
      </c>
      <c r="AE163" t="s">
        <v>3577</v>
      </c>
      <c r="AF163" t="s">
        <v>74</v>
      </c>
      <c r="AG163">
        <v>78</v>
      </c>
      <c r="AH163">
        <v>8</v>
      </c>
      <c r="AI163">
        <v>8</v>
      </c>
      <c r="AJ163">
        <v>1</v>
      </c>
      <c r="AK163">
        <v>6</v>
      </c>
      <c r="AL163" t="s">
        <v>2460</v>
      </c>
      <c r="AM163" t="s">
        <v>2461</v>
      </c>
      <c r="AN163" t="s">
        <v>2462</v>
      </c>
      <c r="AO163" t="s">
        <v>3578</v>
      </c>
      <c r="AP163" t="s">
        <v>3579</v>
      </c>
      <c r="AQ163" t="s">
        <v>74</v>
      </c>
      <c r="AR163" t="s">
        <v>3580</v>
      </c>
      <c r="AS163" t="s">
        <v>3581</v>
      </c>
      <c r="AT163" t="s">
        <v>3434</v>
      </c>
      <c r="AU163">
        <v>2022</v>
      </c>
      <c r="AV163">
        <v>15</v>
      </c>
      <c r="AW163">
        <v>18</v>
      </c>
      <c r="AX163" t="s">
        <v>74</v>
      </c>
      <c r="AY163" t="s">
        <v>74</v>
      </c>
      <c r="AZ163" t="s">
        <v>74</v>
      </c>
      <c r="BA163" t="s">
        <v>74</v>
      </c>
      <c r="BB163">
        <v>7121</v>
      </c>
      <c r="BC163">
        <v>7138</v>
      </c>
      <c r="BD163" t="s">
        <v>74</v>
      </c>
      <c r="BE163" t="s">
        <v>3582</v>
      </c>
      <c r="BF163" t="str">
        <f>HYPERLINK("http://dx.doi.org/10.5194/gmd-15-7121-2022","http://dx.doi.org/10.5194/gmd-15-7121-2022")</f>
        <v>http://dx.doi.org/10.5194/gmd-15-7121-2022</v>
      </c>
      <c r="BG163" t="s">
        <v>74</v>
      </c>
      <c r="BH163" t="s">
        <v>74</v>
      </c>
      <c r="BI163">
        <v>18</v>
      </c>
      <c r="BJ163" t="s">
        <v>129</v>
      </c>
      <c r="BK163" t="s">
        <v>100</v>
      </c>
      <c r="BL163" t="s">
        <v>130</v>
      </c>
      <c r="BM163" t="s">
        <v>3583</v>
      </c>
      <c r="BN163" t="s">
        <v>74</v>
      </c>
      <c r="BO163" t="s">
        <v>1195</v>
      </c>
      <c r="BP163" t="s">
        <v>74</v>
      </c>
      <c r="BQ163" t="s">
        <v>74</v>
      </c>
      <c r="BR163" t="s">
        <v>103</v>
      </c>
      <c r="BS163" t="s">
        <v>3584</v>
      </c>
      <c r="BT163" t="str">
        <f>HYPERLINK("https%3A%2F%2Fwww.webofscience.com%2Fwos%2Fwoscc%2Ffull-record%2FWOS:000855765100001","View Full Record in Web of Science")</f>
        <v>View Full Record in Web of Science</v>
      </c>
    </row>
    <row r="164" spans="1:72" x14ac:dyDescent="0.15">
      <c r="A164" t="s">
        <v>72</v>
      </c>
      <c r="B164" t="s">
        <v>3585</v>
      </c>
      <c r="C164" t="s">
        <v>74</v>
      </c>
      <c r="D164" t="s">
        <v>74</v>
      </c>
      <c r="E164" t="s">
        <v>74</v>
      </c>
      <c r="F164" t="s">
        <v>3586</v>
      </c>
      <c r="G164" t="s">
        <v>74</v>
      </c>
      <c r="H164" t="s">
        <v>74</v>
      </c>
      <c r="I164" t="s">
        <v>3587</v>
      </c>
      <c r="J164" t="s">
        <v>3588</v>
      </c>
      <c r="K164" t="s">
        <v>74</v>
      </c>
      <c r="L164" t="s">
        <v>74</v>
      </c>
      <c r="M164" t="s">
        <v>78</v>
      </c>
      <c r="N164" t="s">
        <v>79</v>
      </c>
      <c r="O164" t="s">
        <v>74</v>
      </c>
      <c r="P164" t="s">
        <v>74</v>
      </c>
      <c r="Q164" t="s">
        <v>74</v>
      </c>
      <c r="R164" t="s">
        <v>74</v>
      </c>
      <c r="S164" t="s">
        <v>74</v>
      </c>
      <c r="T164" t="s">
        <v>3589</v>
      </c>
      <c r="U164" t="s">
        <v>3590</v>
      </c>
      <c r="V164" t="s">
        <v>3591</v>
      </c>
      <c r="W164" t="s">
        <v>3592</v>
      </c>
      <c r="X164" t="s">
        <v>3593</v>
      </c>
      <c r="Y164" t="s">
        <v>3594</v>
      </c>
      <c r="Z164" t="s">
        <v>3595</v>
      </c>
      <c r="AA164" t="s">
        <v>3596</v>
      </c>
      <c r="AB164" t="s">
        <v>3597</v>
      </c>
      <c r="AC164" t="s">
        <v>3598</v>
      </c>
      <c r="AD164" t="s">
        <v>3599</v>
      </c>
      <c r="AE164" t="s">
        <v>3600</v>
      </c>
      <c r="AF164" t="s">
        <v>74</v>
      </c>
      <c r="AG164">
        <v>68</v>
      </c>
      <c r="AH164">
        <v>0</v>
      </c>
      <c r="AI164">
        <v>0</v>
      </c>
      <c r="AJ164">
        <v>1</v>
      </c>
      <c r="AK164">
        <v>6</v>
      </c>
      <c r="AL164" t="s">
        <v>345</v>
      </c>
      <c r="AM164" t="s">
        <v>450</v>
      </c>
      <c r="AN164" t="s">
        <v>821</v>
      </c>
      <c r="AO164" t="s">
        <v>3601</v>
      </c>
      <c r="AP164" t="s">
        <v>3602</v>
      </c>
      <c r="AQ164" t="s">
        <v>74</v>
      </c>
      <c r="AR164" t="s">
        <v>3603</v>
      </c>
      <c r="AS164" t="s">
        <v>3604</v>
      </c>
      <c r="AT164" t="s">
        <v>3605</v>
      </c>
      <c r="AU164">
        <v>2022</v>
      </c>
      <c r="AV164">
        <v>102</v>
      </c>
      <c r="AW164">
        <v>6</v>
      </c>
      <c r="AX164" t="s">
        <v>74</v>
      </c>
      <c r="AY164" t="s">
        <v>74</v>
      </c>
      <c r="AZ164" t="s">
        <v>74</v>
      </c>
      <c r="BA164" t="s">
        <v>74</v>
      </c>
      <c r="BB164">
        <v>425</v>
      </c>
      <c r="BC164">
        <v>434</v>
      </c>
      <c r="BD164" t="s">
        <v>3606</v>
      </c>
      <c r="BE164" t="s">
        <v>3607</v>
      </c>
      <c r="BF164" t="str">
        <f>HYPERLINK("http://dx.doi.org/10.1017/S0025315422000686","http://dx.doi.org/10.1017/S0025315422000686")</f>
        <v>http://dx.doi.org/10.1017/S0025315422000686</v>
      </c>
      <c r="BG164" t="s">
        <v>74</v>
      </c>
      <c r="BH164" t="s">
        <v>2143</v>
      </c>
      <c r="BI164">
        <v>10</v>
      </c>
      <c r="BJ164" t="s">
        <v>188</v>
      </c>
      <c r="BK164" t="s">
        <v>100</v>
      </c>
      <c r="BL164" t="s">
        <v>188</v>
      </c>
      <c r="BM164" t="s">
        <v>3608</v>
      </c>
      <c r="BN164" t="s">
        <v>74</v>
      </c>
      <c r="BO164" t="s">
        <v>74</v>
      </c>
      <c r="BP164" t="s">
        <v>74</v>
      </c>
      <c r="BQ164" t="s">
        <v>74</v>
      </c>
      <c r="BR164" t="s">
        <v>103</v>
      </c>
      <c r="BS164" t="s">
        <v>3609</v>
      </c>
      <c r="BT164" t="str">
        <f>HYPERLINK("https%3A%2F%2Fwww.webofscience.com%2Fwos%2Fwoscc%2Ffull-record%2FWOS:000855963100001","View Full Record in Web of Science")</f>
        <v>View Full Record in Web of Science</v>
      </c>
    </row>
    <row r="165" spans="1:72" x14ac:dyDescent="0.15">
      <c r="A165" t="s">
        <v>72</v>
      </c>
      <c r="B165" t="s">
        <v>3610</v>
      </c>
      <c r="C165" t="s">
        <v>74</v>
      </c>
      <c r="D165" t="s">
        <v>74</v>
      </c>
      <c r="E165" t="s">
        <v>74</v>
      </c>
      <c r="F165" t="s">
        <v>3611</v>
      </c>
      <c r="G165" t="s">
        <v>74</v>
      </c>
      <c r="H165" t="s">
        <v>74</v>
      </c>
      <c r="I165" t="s">
        <v>3612</v>
      </c>
      <c r="J165" t="s">
        <v>3613</v>
      </c>
      <c r="K165" t="s">
        <v>74</v>
      </c>
      <c r="L165" t="s">
        <v>74</v>
      </c>
      <c r="M165" t="s">
        <v>78</v>
      </c>
      <c r="N165" t="s">
        <v>79</v>
      </c>
      <c r="O165" t="s">
        <v>74</v>
      </c>
      <c r="P165" t="s">
        <v>74</v>
      </c>
      <c r="Q165" t="s">
        <v>74</v>
      </c>
      <c r="R165" t="s">
        <v>74</v>
      </c>
      <c r="S165" t="s">
        <v>74</v>
      </c>
      <c r="T165" t="s">
        <v>3614</v>
      </c>
      <c r="U165" t="s">
        <v>3615</v>
      </c>
      <c r="V165" t="s">
        <v>3616</v>
      </c>
      <c r="W165" t="s">
        <v>3617</v>
      </c>
      <c r="X165" t="s">
        <v>74</v>
      </c>
      <c r="Y165" t="s">
        <v>3618</v>
      </c>
      <c r="Z165" t="s">
        <v>3619</v>
      </c>
      <c r="AA165" t="s">
        <v>74</v>
      </c>
      <c r="AB165" t="s">
        <v>3620</v>
      </c>
      <c r="AC165" t="s">
        <v>74</v>
      </c>
      <c r="AD165" t="s">
        <v>74</v>
      </c>
      <c r="AE165" t="s">
        <v>74</v>
      </c>
      <c r="AF165" t="s">
        <v>74</v>
      </c>
      <c r="AG165">
        <v>46</v>
      </c>
      <c r="AH165">
        <v>4</v>
      </c>
      <c r="AI165">
        <v>4</v>
      </c>
      <c r="AJ165">
        <v>1</v>
      </c>
      <c r="AK165">
        <v>2</v>
      </c>
      <c r="AL165" t="s">
        <v>231</v>
      </c>
      <c r="AM165" t="s">
        <v>232</v>
      </c>
      <c r="AN165" t="s">
        <v>233</v>
      </c>
      <c r="AO165" t="s">
        <v>3621</v>
      </c>
      <c r="AP165" t="s">
        <v>3622</v>
      </c>
      <c r="AQ165" t="s">
        <v>74</v>
      </c>
      <c r="AR165" t="s">
        <v>3623</v>
      </c>
      <c r="AS165" t="s">
        <v>3624</v>
      </c>
      <c r="AT165" t="s">
        <v>2418</v>
      </c>
      <c r="AU165">
        <v>2023</v>
      </c>
      <c r="AV165">
        <v>39</v>
      </c>
      <c r="AW165">
        <v>2</v>
      </c>
      <c r="AX165" t="s">
        <v>74</v>
      </c>
      <c r="AY165" t="s">
        <v>74</v>
      </c>
      <c r="AZ165" t="s">
        <v>74</v>
      </c>
      <c r="BA165" t="s">
        <v>74</v>
      </c>
      <c r="BB165">
        <v>368</v>
      </c>
      <c r="BC165">
        <v>386</v>
      </c>
      <c r="BD165" t="s">
        <v>74</v>
      </c>
      <c r="BE165" t="s">
        <v>3625</v>
      </c>
      <c r="BF165" t="str">
        <f>HYPERLINK("http://dx.doi.org/10.1111/mms.12977","http://dx.doi.org/10.1111/mms.12977")</f>
        <v>http://dx.doi.org/10.1111/mms.12977</v>
      </c>
      <c r="BG165" t="s">
        <v>74</v>
      </c>
      <c r="BH165" t="s">
        <v>2143</v>
      </c>
      <c r="BI165">
        <v>19</v>
      </c>
      <c r="BJ165" t="s">
        <v>697</v>
      </c>
      <c r="BK165" t="s">
        <v>100</v>
      </c>
      <c r="BL165" t="s">
        <v>697</v>
      </c>
      <c r="BM165" t="s">
        <v>3626</v>
      </c>
      <c r="BN165" t="s">
        <v>74</v>
      </c>
      <c r="BO165" t="s">
        <v>831</v>
      </c>
      <c r="BP165" t="s">
        <v>74</v>
      </c>
      <c r="BQ165" t="s">
        <v>74</v>
      </c>
      <c r="BR165" t="s">
        <v>103</v>
      </c>
      <c r="BS165" t="s">
        <v>3627</v>
      </c>
      <c r="BT165" t="str">
        <f>HYPERLINK("https%3A%2F%2Fwww.webofscience.com%2Fwos%2Fwoscc%2Ffull-record%2FWOS:000855704200001","View Full Record in Web of Science")</f>
        <v>View Full Record in Web of Science</v>
      </c>
    </row>
    <row r="166" spans="1:72" x14ac:dyDescent="0.15">
      <c r="A166" t="s">
        <v>72</v>
      </c>
      <c r="B166" t="s">
        <v>3628</v>
      </c>
      <c r="C166" t="s">
        <v>74</v>
      </c>
      <c r="D166" t="s">
        <v>74</v>
      </c>
      <c r="E166" t="s">
        <v>74</v>
      </c>
      <c r="F166" t="s">
        <v>3629</v>
      </c>
      <c r="G166" t="s">
        <v>74</v>
      </c>
      <c r="H166" t="s">
        <v>74</v>
      </c>
      <c r="I166" t="s">
        <v>3630</v>
      </c>
      <c r="J166" t="s">
        <v>2265</v>
      </c>
      <c r="K166" t="s">
        <v>74</v>
      </c>
      <c r="L166" t="s">
        <v>74</v>
      </c>
      <c r="M166" t="s">
        <v>78</v>
      </c>
      <c r="N166" t="s">
        <v>79</v>
      </c>
      <c r="O166" t="s">
        <v>74</v>
      </c>
      <c r="P166" t="s">
        <v>74</v>
      </c>
      <c r="Q166" t="s">
        <v>74</v>
      </c>
      <c r="R166" t="s">
        <v>74</v>
      </c>
      <c r="S166" t="s">
        <v>74</v>
      </c>
      <c r="T166" t="s">
        <v>3631</v>
      </c>
      <c r="U166" t="s">
        <v>3632</v>
      </c>
      <c r="V166" t="s">
        <v>3633</v>
      </c>
      <c r="W166" t="s">
        <v>3634</v>
      </c>
      <c r="X166" t="s">
        <v>3635</v>
      </c>
      <c r="Y166" t="s">
        <v>3636</v>
      </c>
      <c r="Z166" t="s">
        <v>3637</v>
      </c>
      <c r="AA166" t="s">
        <v>3638</v>
      </c>
      <c r="AB166" t="s">
        <v>3639</v>
      </c>
      <c r="AC166" t="s">
        <v>74</v>
      </c>
      <c r="AD166" t="s">
        <v>74</v>
      </c>
      <c r="AE166" t="s">
        <v>74</v>
      </c>
      <c r="AF166" t="s">
        <v>74</v>
      </c>
      <c r="AG166">
        <v>89</v>
      </c>
      <c r="AH166">
        <v>20</v>
      </c>
      <c r="AI166">
        <v>22</v>
      </c>
      <c r="AJ166">
        <v>13</v>
      </c>
      <c r="AK166">
        <v>40</v>
      </c>
      <c r="AL166" t="s">
        <v>2275</v>
      </c>
      <c r="AM166" t="s">
        <v>90</v>
      </c>
      <c r="AN166" t="s">
        <v>2276</v>
      </c>
      <c r="AO166" t="s">
        <v>2277</v>
      </c>
      <c r="AP166" t="s">
        <v>2278</v>
      </c>
      <c r="AQ166" t="s">
        <v>74</v>
      </c>
      <c r="AR166" t="s">
        <v>2279</v>
      </c>
      <c r="AS166" t="s">
        <v>2280</v>
      </c>
      <c r="AT166" t="s">
        <v>2281</v>
      </c>
      <c r="AU166">
        <v>2022</v>
      </c>
      <c r="AV166">
        <v>184</v>
      </c>
      <c r="AW166" t="s">
        <v>74</v>
      </c>
      <c r="AX166" t="s">
        <v>74</v>
      </c>
      <c r="AY166" t="s">
        <v>74</v>
      </c>
      <c r="AZ166" t="s">
        <v>74</v>
      </c>
      <c r="BA166" t="s">
        <v>74</v>
      </c>
      <c r="BB166" t="s">
        <v>74</v>
      </c>
      <c r="BC166" t="s">
        <v>74</v>
      </c>
      <c r="BD166">
        <v>114121</v>
      </c>
      <c r="BE166" t="s">
        <v>3640</v>
      </c>
      <c r="BF166" t="str">
        <f>HYPERLINK("http://dx.doi.org/10.1016/j.marpolbul.2022.114121","http://dx.doi.org/10.1016/j.marpolbul.2022.114121")</f>
        <v>http://dx.doi.org/10.1016/j.marpolbul.2022.114121</v>
      </c>
      <c r="BG166" t="s">
        <v>74</v>
      </c>
      <c r="BH166" t="s">
        <v>2143</v>
      </c>
      <c r="BI166">
        <v>10</v>
      </c>
      <c r="BJ166" t="s">
        <v>263</v>
      </c>
      <c r="BK166" t="s">
        <v>100</v>
      </c>
      <c r="BL166" t="s">
        <v>264</v>
      </c>
      <c r="BM166" t="s">
        <v>3641</v>
      </c>
      <c r="BN166">
        <v>36150226</v>
      </c>
      <c r="BO166" t="s">
        <v>74</v>
      </c>
      <c r="BP166" t="s">
        <v>74</v>
      </c>
      <c r="BQ166" t="s">
        <v>74</v>
      </c>
      <c r="BR166" t="s">
        <v>103</v>
      </c>
      <c r="BS166" t="s">
        <v>3642</v>
      </c>
      <c r="BT166" t="str">
        <f>HYPERLINK("https%3A%2F%2Fwww.webofscience.com%2Fwos%2Fwoscc%2Ffull-record%2FWOS:000876716300005","View Full Record in Web of Science")</f>
        <v>View Full Record in Web of Science</v>
      </c>
    </row>
    <row r="167" spans="1:72" x14ac:dyDescent="0.15">
      <c r="A167" t="s">
        <v>72</v>
      </c>
      <c r="B167" t="s">
        <v>3643</v>
      </c>
      <c r="C167" t="s">
        <v>74</v>
      </c>
      <c r="D167" t="s">
        <v>74</v>
      </c>
      <c r="E167" t="s">
        <v>74</v>
      </c>
      <c r="F167" t="s">
        <v>3644</v>
      </c>
      <c r="G167" t="s">
        <v>74</v>
      </c>
      <c r="H167" t="s">
        <v>74</v>
      </c>
      <c r="I167" t="s">
        <v>3645</v>
      </c>
      <c r="J167" t="s">
        <v>3646</v>
      </c>
      <c r="K167" t="s">
        <v>74</v>
      </c>
      <c r="L167" t="s">
        <v>74</v>
      </c>
      <c r="M167" t="s">
        <v>78</v>
      </c>
      <c r="N167" t="s">
        <v>79</v>
      </c>
      <c r="O167" t="s">
        <v>74</v>
      </c>
      <c r="P167" t="s">
        <v>74</v>
      </c>
      <c r="Q167" t="s">
        <v>74</v>
      </c>
      <c r="R167" t="s">
        <v>74</v>
      </c>
      <c r="S167" t="s">
        <v>74</v>
      </c>
      <c r="T167" t="s">
        <v>3647</v>
      </c>
      <c r="U167" t="s">
        <v>3648</v>
      </c>
      <c r="V167" t="s">
        <v>3649</v>
      </c>
      <c r="W167" t="s">
        <v>3650</v>
      </c>
      <c r="X167" t="s">
        <v>3651</v>
      </c>
      <c r="Y167" t="s">
        <v>3652</v>
      </c>
      <c r="Z167" t="s">
        <v>3653</v>
      </c>
      <c r="AA167" t="s">
        <v>3654</v>
      </c>
      <c r="AB167" t="s">
        <v>3655</v>
      </c>
      <c r="AC167" t="s">
        <v>3656</v>
      </c>
      <c r="AD167" t="s">
        <v>3657</v>
      </c>
      <c r="AE167" t="s">
        <v>3658</v>
      </c>
      <c r="AF167" t="s">
        <v>74</v>
      </c>
      <c r="AG167">
        <v>58</v>
      </c>
      <c r="AH167">
        <v>0</v>
      </c>
      <c r="AI167">
        <v>0</v>
      </c>
      <c r="AJ167">
        <v>3</v>
      </c>
      <c r="AK167">
        <v>10</v>
      </c>
      <c r="AL167" t="s">
        <v>231</v>
      </c>
      <c r="AM167" t="s">
        <v>232</v>
      </c>
      <c r="AN167" t="s">
        <v>233</v>
      </c>
      <c r="AO167" t="s">
        <v>3659</v>
      </c>
      <c r="AP167" t="s">
        <v>3660</v>
      </c>
      <c r="AQ167" t="s">
        <v>74</v>
      </c>
      <c r="AR167" t="s">
        <v>3661</v>
      </c>
      <c r="AS167" t="s">
        <v>3662</v>
      </c>
      <c r="AT167" t="s">
        <v>3663</v>
      </c>
      <c r="AU167">
        <v>2023</v>
      </c>
      <c r="AV167">
        <v>43</v>
      </c>
      <c r="AW167">
        <v>2</v>
      </c>
      <c r="AX167" t="s">
        <v>74</v>
      </c>
      <c r="AY167" t="s">
        <v>74</v>
      </c>
      <c r="AZ167" t="s">
        <v>74</v>
      </c>
      <c r="BA167" t="s">
        <v>74</v>
      </c>
      <c r="BB167">
        <v>996</v>
      </c>
      <c r="BC167">
        <v>1015</v>
      </c>
      <c r="BD167" t="s">
        <v>74</v>
      </c>
      <c r="BE167" t="s">
        <v>3664</v>
      </c>
      <c r="BF167" t="str">
        <f>HYPERLINK("http://dx.doi.org/10.1002/joc.7856","http://dx.doi.org/10.1002/joc.7856")</f>
        <v>http://dx.doi.org/10.1002/joc.7856</v>
      </c>
      <c r="BG167" t="s">
        <v>74</v>
      </c>
      <c r="BH167" t="s">
        <v>2143</v>
      </c>
      <c r="BI167">
        <v>20</v>
      </c>
      <c r="BJ167" t="s">
        <v>457</v>
      </c>
      <c r="BK167" t="s">
        <v>100</v>
      </c>
      <c r="BL167" t="s">
        <v>457</v>
      </c>
      <c r="BM167" t="s">
        <v>3665</v>
      </c>
      <c r="BN167" t="s">
        <v>74</v>
      </c>
      <c r="BO167" t="s">
        <v>74</v>
      </c>
      <c r="BP167" t="s">
        <v>74</v>
      </c>
      <c r="BQ167" t="s">
        <v>74</v>
      </c>
      <c r="BR167" t="s">
        <v>103</v>
      </c>
      <c r="BS167" t="s">
        <v>3666</v>
      </c>
      <c r="BT167" t="str">
        <f>HYPERLINK("https%3A%2F%2Fwww.webofscience.com%2Fwos%2Fwoscc%2Ffull-record%2FWOS:000855708600001","View Full Record in Web of Science")</f>
        <v>View Full Record in Web of Science</v>
      </c>
    </row>
    <row r="168" spans="1:72" x14ac:dyDescent="0.15">
      <c r="A168" t="s">
        <v>72</v>
      </c>
      <c r="B168" t="s">
        <v>3667</v>
      </c>
      <c r="C168" t="s">
        <v>74</v>
      </c>
      <c r="D168" t="s">
        <v>74</v>
      </c>
      <c r="E168" t="s">
        <v>74</v>
      </c>
      <c r="F168" t="s">
        <v>3668</v>
      </c>
      <c r="G168" t="s">
        <v>74</v>
      </c>
      <c r="H168" t="s">
        <v>74</v>
      </c>
      <c r="I168" t="s">
        <v>3669</v>
      </c>
      <c r="J168" t="s">
        <v>335</v>
      </c>
      <c r="K168" t="s">
        <v>74</v>
      </c>
      <c r="L168" t="s">
        <v>74</v>
      </c>
      <c r="M168" t="s">
        <v>78</v>
      </c>
      <c r="N168" t="s">
        <v>79</v>
      </c>
      <c r="O168" t="s">
        <v>74</v>
      </c>
      <c r="P168" t="s">
        <v>74</v>
      </c>
      <c r="Q168" t="s">
        <v>74</v>
      </c>
      <c r="R168" t="s">
        <v>74</v>
      </c>
      <c r="S168" t="s">
        <v>74</v>
      </c>
      <c r="T168" t="s">
        <v>3670</v>
      </c>
      <c r="U168" t="s">
        <v>3671</v>
      </c>
      <c r="V168" t="s">
        <v>3672</v>
      </c>
      <c r="W168" t="s">
        <v>3673</v>
      </c>
      <c r="X168" t="s">
        <v>3674</v>
      </c>
      <c r="Y168" t="s">
        <v>3675</v>
      </c>
      <c r="Z168" t="s">
        <v>3676</v>
      </c>
      <c r="AA168" t="s">
        <v>3677</v>
      </c>
      <c r="AB168" t="s">
        <v>3678</v>
      </c>
      <c r="AC168" t="s">
        <v>3679</v>
      </c>
      <c r="AD168" t="s">
        <v>3680</v>
      </c>
      <c r="AE168" t="s">
        <v>3681</v>
      </c>
      <c r="AF168" t="s">
        <v>74</v>
      </c>
      <c r="AG168">
        <v>63</v>
      </c>
      <c r="AH168">
        <v>4</v>
      </c>
      <c r="AI168">
        <v>4</v>
      </c>
      <c r="AJ168">
        <v>2</v>
      </c>
      <c r="AK168">
        <v>4</v>
      </c>
      <c r="AL168" t="s">
        <v>345</v>
      </c>
      <c r="AM168" t="s">
        <v>346</v>
      </c>
      <c r="AN168" t="s">
        <v>347</v>
      </c>
      <c r="AO168" t="s">
        <v>348</v>
      </c>
      <c r="AP168" t="s">
        <v>349</v>
      </c>
      <c r="AQ168" t="s">
        <v>74</v>
      </c>
      <c r="AR168" t="s">
        <v>350</v>
      </c>
      <c r="AS168" t="s">
        <v>351</v>
      </c>
      <c r="AT168" t="s">
        <v>352</v>
      </c>
      <c r="AU168">
        <v>2023</v>
      </c>
      <c r="AV168">
        <v>69</v>
      </c>
      <c r="AW168">
        <v>275</v>
      </c>
      <c r="AX168" t="s">
        <v>74</v>
      </c>
      <c r="AY168" t="s">
        <v>74</v>
      </c>
      <c r="AZ168" t="s">
        <v>74</v>
      </c>
      <c r="BA168" t="s">
        <v>74</v>
      </c>
      <c r="BB168">
        <v>538</v>
      </c>
      <c r="BC168">
        <v>550</v>
      </c>
      <c r="BD168" t="s">
        <v>3682</v>
      </c>
      <c r="BE168" t="s">
        <v>3683</v>
      </c>
      <c r="BF168" t="str">
        <f>HYPERLINK("http://dx.doi.org/10.1017/jog.2022.80","http://dx.doi.org/10.1017/jog.2022.80")</f>
        <v>http://dx.doi.org/10.1017/jog.2022.80</v>
      </c>
      <c r="BG168" t="s">
        <v>74</v>
      </c>
      <c r="BH168" t="s">
        <v>2143</v>
      </c>
      <c r="BI168">
        <v>13</v>
      </c>
      <c r="BJ168" t="s">
        <v>354</v>
      </c>
      <c r="BK168" t="s">
        <v>100</v>
      </c>
      <c r="BL168" t="s">
        <v>241</v>
      </c>
      <c r="BM168" t="s">
        <v>355</v>
      </c>
      <c r="BN168" t="s">
        <v>74</v>
      </c>
      <c r="BO168" t="s">
        <v>266</v>
      </c>
      <c r="BP168" t="s">
        <v>74</v>
      </c>
      <c r="BQ168" t="s">
        <v>74</v>
      </c>
      <c r="BR168" t="s">
        <v>103</v>
      </c>
      <c r="BS168" t="s">
        <v>3684</v>
      </c>
      <c r="BT168" t="str">
        <f>HYPERLINK("https%3A%2F%2Fwww.webofscience.com%2Fwos%2Fwoscc%2Ffull-record%2FWOS:000855569300001","View Full Record in Web of Science")</f>
        <v>View Full Record in Web of Science</v>
      </c>
    </row>
    <row r="169" spans="1:72" x14ac:dyDescent="0.15">
      <c r="A169" t="s">
        <v>72</v>
      </c>
      <c r="B169" t="s">
        <v>3685</v>
      </c>
      <c r="C169" t="s">
        <v>74</v>
      </c>
      <c r="D169" t="s">
        <v>74</v>
      </c>
      <c r="E169" t="s">
        <v>74</v>
      </c>
      <c r="F169" t="s">
        <v>3686</v>
      </c>
      <c r="G169" t="s">
        <v>74</v>
      </c>
      <c r="H169" t="s">
        <v>74</v>
      </c>
      <c r="I169" t="s">
        <v>3687</v>
      </c>
      <c r="J169" t="s">
        <v>2473</v>
      </c>
      <c r="K169" t="s">
        <v>74</v>
      </c>
      <c r="L169" t="s">
        <v>74</v>
      </c>
      <c r="M169" t="s">
        <v>78</v>
      </c>
      <c r="N169" t="s">
        <v>79</v>
      </c>
      <c r="O169" t="s">
        <v>74</v>
      </c>
      <c r="P169" t="s">
        <v>74</v>
      </c>
      <c r="Q169" t="s">
        <v>74</v>
      </c>
      <c r="R169" t="s">
        <v>74</v>
      </c>
      <c r="S169" t="s">
        <v>74</v>
      </c>
      <c r="T169" t="s">
        <v>74</v>
      </c>
      <c r="U169" t="s">
        <v>3688</v>
      </c>
      <c r="V169" t="s">
        <v>3689</v>
      </c>
      <c r="W169" t="s">
        <v>3690</v>
      </c>
      <c r="X169" t="s">
        <v>3691</v>
      </c>
      <c r="Y169" t="s">
        <v>3692</v>
      </c>
      <c r="Z169" t="s">
        <v>3693</v>
      </c>
      <c r="AA169" t="s">
        <v>3694</v>
      </c>
      <c r="AB169" t="s">
        <v>3695</v>
      </c>
      <c r="AC169" t="s">
        <v>3696</v>
      </c>
      <c r="AD169" t="s">
        <v>3697</v>
      </c>
      <c r="AE169" t="s">
        <v>3698</v>
      </c>
      <c r="AF169" t="s">
        <v>74</v>
      </c>
      <c r="AG169">
        <v>86</v>
      </c>
      <c r="AH169">
        <v>1</v>
      </c>
      <c r="AI169">
        <v>1</v>
      </c>
      <c r="AJ169">
        <v>2</v>
      </c>
      <c r="AK169">
        <v>3</v>
      </c>
      <c r="AL169" t="s">
        <v>2460</v>
      </c>
      <c r="AM169" t="s">
        <v>2461</v>
      </c>
      <c r="AN169" t="s">
        <v>2462</v>
      </c>
      <c r="AO169" t="s">
        <v>2485</v>
      </c>
      <c r="AP169" t="s">
        <v>2486</v>
      </c>
      <c r="AQ169" t="s">
        <v>74</v>
      </c>
      <c r="AR169" t="s">
        <v>2473</v>
      </c>
      <c r="AS169" t="s">
        <v>2487</v>
      </c>
      <c r="AT169" t="s">
        <v>3699</v>
      </c>
      <c r="AU169">
        <v>2022</v>
      </c>
      <c r="AV169">
        <v>16</v>
      </c>
      <c r="AW169">
        <v>9</v>
      </c>
      <c r="AX169" t="s">
        <v>74</v>
      </c>
      <c r="AY169" t="s">
        <v>74</v>
      </c>
      <c r="AZ169" t="s">
        <v>74</v>
      </c>
      <c r="BA169" t="s">
        <v>74</v>
      </c>
      <c r="BB169">
        <v>3723</v>
      </c>
      <c r="BC169">
        <v>3738</v>
      </c>
      <c r="BD169" t="s">
        <v>74</v>
      </c>
      <c r="BE169" t="s">
        <v>3700</v>
      </c>
      <c r="BF169" t="str">
        <f>HYPERLINK("http://dx.doi.org/10.5194/tc-16-3723-2022","http://dx.doi.org/10.5194/tc-16-3723-2022")</f>
        <v>http://dx.doi.org/10.5194/tc-16-3723-2022</v>
      </c>
      <c r="BG169" t="s">
        <v>74</v>
      </c>
      <c r="BH169" t="s">
        <v>74</v>
      </c>
      <c r="BI169">
        <v>16</v>
      </c>
      <c r="BJ169" t="s">
        <v>354</v>
      </c>
      <c r="BK169" t="s">
        <v>100</v>
      </c>
      <c r="BL169" t="s">
        <v>241</v>
      </c>
      <c r="BM169" t="s">
        <v>3701</v>
      </c>
      <c r="BN169" t="s">
        <v>74</v>
      </c>
      <c r="BO169" t="s">
        <v>3262</v>
      </c>
      <c r="BP169" t="s">
        <v>74</v>
      </c>
      <c r="BQ169" t="s">
        <v>74</v>
      </c>
      <c r="BR169" t="s">
        <v>103</v>
      </c>
      <c r="BS169" t="s">
        <v>3702</v>
      </c>
      <c r="BT169" t="str">
        <f>HYPERLINK("https%3A%2F%2Fwww.webofscience.com%2Fwos%2Fwoscc%2Ffull-record%2FWOS:000855271000001","View Full Record in Web of Science")</f>
        <v>View Full Record in Web of Science</v>
      </c>
    </row>
    <row r="170" spans="1:72" x14ac:dyDescent="0.15">
      <c r="A170" t="s">
        <v>72</v>
      </c>
      <c r="B170" t="s">
        <v>3703</v>
      </c>
      <c r="C170" t="s">
        <v>74</v>
      </c>
      <c r="D170" t="s">
        <v>74</v>
      </c>
      <c r="E170" t="s">
        <v>74</v>
      </c>
      <c r="F170" t="s">
        <v>3704</v>
      </c>
      <c r="G170" t="s">
        <v>74</v>
      </c>
      <c r="H170" t="s">
        <v>74</v>
      </c>
      <c r="I170" t="s">
        <v>3705</v>
      </c>
      <c r="J170" t="s">
        <v>2653</v>
      </c>
      <c r="K170" t="s">
        <v>74</v>
      </c>
      <c r="L170" t="s">
        <v>74</v>
      </c>
      <c r="M170" t="s">
        <v>78</v>
      </c>
      <c r="N170" t="s">
        <v>79</v>
      </c>
      <c r="O170" t="s">
        <v>74</v>
      </c>
      <c r="P170" t="s">
        <v>74</v>
      </c>
      <c r="Q170" t="s">
        <v>74</v>
      </c>
      <c r="R170" t="s">
        <v>74</v>
      </c>
      <c r="S170" t="s">
        <v>74</v>
      </c>
      <c r="T170" t="s">
        <v>3706</v>
      </c>
      <c r="U170" t="s">
        <v>3707</v>
      </c>
      <c r="V170" t="s">
        <v>3708</v>
      </c>
      <c r="W170" t="s">
        <v>3709</v>
      </c>
      <c r="X170" t="s">
        <v>3710</v>
      </c>
      <c r="Y170" t="s">
        <v>3711</v>
      </c>
      <c r="Z170" t="s">
        <v>3712</v>
      </c>
      <c r="AA170" t="s">
        <v>3713</v>
      </c>
      <c r="AB170" t="s">
        <v>3714</v>
      </c>
      <c r="AC170" t="s">
        <v>3715</v>
      </c>
      <c r="AD170" t="s">
        <v>3716</v>
      </c>
      <c r="AE170" t="s">
        <v>3717</v>
      </c>
      <c r="AF170" t="s">
        <v>74</v>
      </c>
      <c r="AG170">
        <v>108</v>
      </c>
      <c r="AH170">
        <v>2</v>
      </c>
      <c r="AI170">
        <v>2</v>
      </c>
      <c r="AJ170">
        <v>2</v>
      </c>
      <c r="AK170">
        <v>3</v>
      </c>
      <c r="AL170" t="s">
        <v>2275</v>
      </c>
      <c r="AM170" t="s">
        <v>90</v>
      </c>
      <c r="AN170" t="s">
        <v>2276</v>
      </c>
      <c r="AO170" t="s">
        <v>2666</v>
      </c>
      <c r="AP170" t="s">
        <v>2667</v>
      </c>
      <c r="AQ170" t="s">
        <v>74</v>
      </c>
      <c r="AR170" t="s">
        <v>2668</v>
      </c>
      <c r="AS170" t="s">
        <v>2669</v>
      </c>
      <c r="AT170" t="s">
        <v>2670</v>
      </c>
      <c r="AU170">
        <v>2022</v>
      </c>
      <c r="AV170">
        <v>294</v>
      </c>
      <c r="AW170" t="s">
        <v>74</v>
      </c>
      <c r="AX170" t="s">
        <v>74</v>
      </c>
      <c r="AY170" t="s">
        <v>74</v>
      </c>
      <c r="AZ170" t="s">
        <v>74</v>
      </c>
      <c r="BA170" t="s">
        <v>74</v>
      </c>
      <c r="BB170" t="s">
        <v>74</v>
      </c>
      <c r="BC170" t="s">
        <v>74</v>
      </c>
      <c r="BD170">
        <v>107754</v>
      </c>
      <c r="BE170" t="s">
        <v>3718</v>
      </c>
      <c r="BF170" t="str">
        <f>HYPERLINK("http://dx.doi.org/10.1016/j.quascirev.2022.107754","http://dx.doi.org/10.1016/j.quascirev.2022.107754")</f>
        <v>http://dx.doi.org/10.1016/j.quascirev.2022.107754</v>
      </c>
      <c r="BG170" t="s">
        <v>74</v>
      </c>
      <c r="BH170" t="s">
        <v>2143</v>
      </c>
      <c r="BI170">
        <v>27</v>
      </c>
      <c r="BJ170" t="s">
        <v>354</v>
      </c>
      <c r="BK170" t="s">
        <v>100</v>
      </c>
      <c r="BL170" t="s">
        <v>241</v>
      </c>
      <c r="BM170" t="s">
        <v>3719</v>
      </c>
      <c r="BN170" t="s">
        <v>74</v>
      </c>
      <c r="BO170" t="s">
        <v>2512</v>
      </c>
      <c r="BP170" t="s">
        <v>74</v>
      </c>
      <c r="BQ170" t="s">
        <v>74</v>
      </c>
      <c r="BR170" t="s">
        <v>103</v>
      </c>
      <c r="BS170" t="s">
        <v>3720</v>
      </c>
      <c r="BT170" t="str">
        <f>HYPERLINK("https%3A%2F%2Fwww.webofscience.com%2Fwos%2Fwoscc%2Ffull-record%2FWOS:000985229100002","View Full Record in Web of Science")</f>
        <v>View Full Record in Web of Science</v>
      </c>
    </row>
    <row r="171" spans="1:72" x14ac:dyDescent="0.15">
      <c r="A171" t="s">
        <v>72</v>
      </c>
      <c r="B171" t="s">
        <v>3721</v>
      </c>
      <c r="C171" t="s">
        <v>74</v>
      </c>
      <c r="D171" t="s">
        <v>74</v>
      </c>
      <c r="E171" t="s">
        <v>74</v>
      </c>
      <c r="F171" t="s">
        <v>3722</v>
      </c>
      <c r="G171" t="s">
        <v>74</v>
      </c>
      <c r="H171" t="s">
        <v>74</v>
      </c>
      <c r="I171" t="s">
        <v>3723</v>
      </c>
      <c r="J171" t="s">
        <v>3724</v>
      </c>
      <c r="K171" t="s">
        <v>74</v>
      </c>
      <c r="L171" t="s">
        <v>74</v>
      </c>
      <c r="M171" t="s">
        <v>78</v>
      </c>
      <c r="N171" t="s">
        <v>79</v>
      </c>
      <c r="O171" t="s">
        <v>74</v>
      </c>
      <c r="P171" t="s">
        <v>74</v>
      </c>
      <c r="Q171" t="s">
        <v>74</v>
      </c>
      <c r="R171" t="s">
        <v>74</v>
      </c>
      <c r="S171" t="s">
        <v>74</v>
      </c>
      <c r="T171" t="s">
        <v>3725</v>
      </c>
      <c r="U171" t="s">
        <v>3726</v>
      </c>
      <c r="V171" t="s">
        <v>3727</v>
      </c>
      <c r="W171" t="s">
        <v>3728</v>
      </c>
      <c r="X171" t="s">
        <v>3729</v>
      </c>
      <c r="Y171" t="s">
        <v>3730</v>
      </c>
      <c r="Z171" t="s">
        <v>3731</v>
      </c>
      <c r="AA171" t="s">
        <v>3732</v>
      </c>
      <c r="AB171" t="s">
        <v>3733</v>
      </c>
      <c r="AC171" t="s">
        <v>3734</v>
      </c>
      <c r="AD171" t="s">
        <v>3735</v>
      </c>
      <c r="AE171" t="s">
        <v>3736</v>
      </c>
      <c r="AF171" t="s">
        <v>74</v>
      </c>
      <c r="AG171">
        <v>57</v>
      </c>
      <c r="AH171">
        <v>2</v>
      </c>
      <c r="AI171">
        <v>2</v>
      </c>
      <c r="AJ171">
        <v>0</v>
      </c>
      <c r="AK171">
        <v>4</v>
      </c>
      <c r="AL171" t="s">
        <v>501</v>
      </c>
      <c r="AM171" t="s">
        <v>502</v>
      </c>
      <c r="AN171" t="s">
        <v>503</v>
      </c>
      <c r="AO171" t="s">
        <v>3737</v>
      </c>
      <c r="AP171" t="s">
        <v>3738</v>
      </c>
      <c r="AQ171" t="s">
        <v>74</v>
      </c>
      <c r="AR171" t="s">
        <v>3739</v>
      </c>
      <c r="AS171" t="s">
        <v>3740</v>
      </c>
      <c r="AT171" t="s">
        <v>2731</v>
      </c>
      <c r="AU171">
        <v>2022</v>
      </c>
      <c r="AV171">
        <v>597</v>
      </c>
      <c r="AW171" t="s">
        <v>74</v>
      </c>
      <c r="AX171" t="s">
        <v>74</v>
      </c>
      <c r="AY171" t="s">
        <v>74</v>
      </c>
      <c r="AZ171" t="s">
        <v>74</v>
      </c>
      <c r="BA171" t="s">
        <v>74</v>
      </c>
      <c r="BB171" t="s">
        <v>74</v>
      </c>
      <c r="BC171" t="s">
        <v>74</v>
      </c>
      <c r="BD171">
        <v>117798</v>
      </c>
      <c r="BE171" t="s">
        <v>3741</v>
      </c>
      <c r="BF171" t="str">
        <f>HYPERLINK("http://dx.doi.org/10.1016/j.epsl.2022.117798","http://dx.doi.org/10.1016/j.epsl.2022.117798")</f>
        <v>http://dx.doi.org/10.1016/j.epsl.2022.117798</v>
      </c>
      <c r="BG171" t="s">
        <v>74</v>
      </c>
      <c r="BH171" t="s">
        <v>2143</v>
      </c>
      <c r="BI171">
        <v>14</v>
      </c>
      <c r="BJ171" t="s">
        <v>1379</v>
      </c>
      <c r="BK171" t="s">
        <v>100</v>
      </c>
      <c r="BL171" t="s">
        <v>1379</v>
      </c>
      <c r="BM171" t="s">
        <v>3742</v>
      </c>
      <c r="BN171" t="s">
        <v>74</v>
      </c>
      <c r="BO171" t="s">
        <v>831</v>
      </c>
      <c r="BP171" t="s">
        <v>74</v>
      </c>
      <c r="BQ171" t="s">
        <v>74</v>
      </c>
      <c r="BR171" t="s">
        <v>103</v>
      </c>
      <c r="BS171" t="s">
        <v>3743</v>
      </c>
      <c r="BT171" t="str">
        <f>HYPERLINK("https%3A%2F%2Fwww.webofscience.com%2Fwos%2Fwoscc%2Ffull-record%2FWOS:000864022800005","View Full Record in Web of Science")</f>
        <v>View Full Record in Web of Science</v>
      </c>
    </row>
    <row r="172" spans="1:72" x14ac:dyDescent="0.15">
      <c r="A172" t="s">
        <v>72</v>
      </c>
      <c r="B172" t="s">
        <v>3744</v>
      </c>
      <c r="C172" t="s">
        <v>74</v>
      </c>
      <c r="D172" t="s">
        <v>74</v>
      </c>
      <c r="E172" t="s">
        <v>74</v>
      </c>
      <c r="F172" t="s">
        <v>3745</v>
      </c>
      <c r="G172" t="s">
        <v>74</v>
      </c>
      <c r="H172" t="s">
        <v>74</v>
      </c>
      <c r="I172" t="s">
        <v>3746</v>
      </c>
      <c r="J172" t="s">
        <v>3747</v>
      </c>
      <c r="K172" t="s">
        <v>74</v>
      </c>
      <c r="L172" t="s">
        <v>74</v>
      </c>
      <c r="M172" t="s">
        <v>78</v>
      </c>
      <c r="N172" t="s">
        <v>79</v>
      </c>
      <c r="O172" t="s">
        <v>74</v>
      </c>
      <c r="P172" t="s">
        <v>74</v>
      </c>
      <c r="Q172" t="s">
        <v>74</v>
      </c>
      <c r="R172" t="s">
        <v>74</v>
      </c>
      <c r="S172" t="s">
        <v>74</v>
      </c>
      <c r="T172" t="s">
        <v>3748</v>
      </c>
      <c r="U172" t="s">
        <v>3749</v>
      </c>
      <c r="V172" t="s">
        <v>3750</v>
      </c>
      <c r="W172" t="s">
        <v>3751</v>
      </c>
      <c r="X172" t="s">
        <v>3752</v>
      </c>
      <c r="Y172" t="s">
        <v>3753</v>
      </c>
      <c r="Z172" t="s">
        <v>3754</v>
      </c>
      <c r="AA172" t="s">
        <v>74</v>
      </c>
      <c r="AB172" t="s">
        <v>3755</v>
      </c>
      <c r="AC172" t="s">
        <v>3756</v>
      </c>
      <c r="AD172" t="s">
        <v>3757</v>
      </c>
      <c r="AE172" t="s">
        <v>3758</v>
      </c>
      <c r="AF172" t="s">
        <v>74</v>
      </c>
      <c r="AG172">
        <v>103</v>
      </c>
      <c r="AH172">
        <v>4</v>
      </c>
      <c r="AI172">
        <v>4</v>
      </c>
      <c r="AJ172">
        <v>7</v>
      </c>
      <c r="AK172">
        <v>25</v>
      </c>
      <c r="AL172" t="s">
        <v>501</v>
      </c>
      <c r="AM172" t="s">
        <v>502</v>
      </c>
      <c r="AN172" t="s">
        <v>503</v>
      </c>
      <c r="AO172" t="s">
        <v>3759</v>
      </c>
      <c r="AP172" t="s">
        <v>3760</v>
      </c>
      <c r="AQ172" t="s">
        <v>74</v>
      </c>
      <c r="AR172" t="s">
        <v>3761</v>
      </c>
      <c r="AS172" t="s">
        <v>3762</v>
      </c>
      <c r="AT172" t="s">
        <v>3763</v>
      </c>
      <c r="AU172">
        <v>2023</v>
      </c>
      <c r="AV172">
        <v>854</v>
      </c>
      <c r="AW172" t="s">
        <v>74</v>
      </c>
      <c r="AX172" t="s">
        <v>74</v>
      </c>
      <c r="AY172" t="s">
        <v>74</v>
      </c>
      <c r="AZ172" t="s">
        <v>74</v>
      </c>
      <c r="BA172" t="s">
        <v>74</v>
      </c>
      <c r="BB172" t="s">
        <v>74</v>
      </c>
      <c r="BC172" t="s">
        <v>74</v>
      </c>
      <c r="BD172">
        <v>158651</v>
      </c>
      <c r="BE172" t="s">
        <v>3764</v>
      </c>
      <c r="BF172" t="str">
        <f>HYPERLINK("http://dx.doi.org/10.1016/j.scitotenv.2022.158651","http://dx.doi.org/10.1016/j.scitotenv.2022.158651")</f>
        <v>http://dx.doi.org/10.1016/j.scitotenv.2022.158651</v>
      </c>
      <c r="BG172" t="s">
        <v>74</v>
      </c>
      <c r="BH172" t="s">
        <v>2143</v>
      </c>
      <c r="BI172">
        <v>15</v>
      </c>
      <c r="BJ172" t="s">
        <v>2040</v>
      </c>
      <c r="BK172" t="s">
        <v>100</v>
      </c>
      <c r="BL172" t="s">
        <v>2041</v>
      </c>
      <c r="BM172" t="s">
        <v>3765</v>
      </c>
      <c r="BN172">
        <v>36096211</v>
      </c>
      <c r="BO172" t="s">
        <v>831</v>
      </c>
      <c r="BP172" t="s">
        <v>74</v>
      </c>
      <c r="BQ172" t="s">
        <v>74</v>
      </c>
      <c r="BR172" t="s">
        <v>103</v>
      </c>
      <c r="BS172" t="s">
        <v>3766</v>
      </c>
      <c r="BT172" t="str">
        <f>HYPERLINK("https%3A%2F%2Fwww.webofscience.com%2Fwos%2Fwoscc%2Ffull-record%2FWOS:000865454300009","View Full Record in Web of Science")</f>
        <v>View Full Record in Web of Science</v>
      </c>
    </row>
    <row r="173" spans="1:72" x14ac:dyDescent="0.15">
      <c r="A173" t="s">
        <v>72</v>
      </c>
      <c r="B173" t="s">
        <v>3767</v>
      </c>
      <c r="C173" t="s">
        <v>74</v>
      </c>
      <c r="D173" t="s">
        <v>74</v>
      </c>
      <c r="E173" t="s">
        <v>74</v>
      </c>
      <c r="F173" t="s">
        <v>3768</v>
      </c>
      <c r="G173" t="s">
        <v>74</v>
      </c>
      <c r="H173" t="s">
        <v>74</v>
      </c>
      <c r="I173" t="s">
        <v>3769</v>
      </c>
      <c r="J173" t="s">
        <v>3770</v>
      </c>
      <c r="K173" t="s">
        <v>74</v>
      </c>
      <c r="L173" t="s">
        <v>74</v>
      </c>
      <c r="M173" t="s">
        <v>78</v>
      </c>
      <c r="N173" t="s">
        <v>79</v>
      </c>
      <c r="O173" t="s">
        <v>74</v>
      </c>
      <c r="P173" t="s">
        <v>74</v>
      </c>
      <c r="Q173" t="s">
        <v>74</v>
      </c>
      <c r="R173" t="s">
        <v>74</v>
      </c>
      <c r="S173" t="s">
        <v>74</v>
      </c>
      <c r="T173" t="s">
        <v>3771</v>
      </c>
      <c r="U173" t="s">
        <v>3772</v>
      </c>
      <c r="V173" t="s">
        <v>3773</v>
      </c>
      <c r="W173" t="s">
        <v>3774</v>
      </c>
      <c r="X173" t="s">
        <v>3775</v>
      </c>
      <c r="Y173" t="s">
        <v>3776</v>
      </c>
      <c r="Z173" t="s">
        <v>3777</v>
      </c>
      <c r="AA173" t="s">
        <v>3778</v>
      </c>
      <c r="AB173" t="s">
        <v>3779</v>
      </c>
      <c r="AC173" t="s">
        <v>74</v>
      </c>
      <c r="AD173" t="s">
        <v>74</v>
      </c>
      <c r="AE173" t="s">
        <v>74</v>
      </c>
      <c r="AF173" t="s">
        <v>74</v>
      </c>
      <c r="AG173">
        <v>40</v>
      </c>
      <c r="AH173">
        <v>7</v>
      </c>
      <c r="AI173">
        <v>7</v>
      </c>
      <c r="AJ173">
        <v>1</v>
      </c>
      <c r="AK173">
        <v>5</v>
      </c>
      <c r="AL173" t="s">
        <v>2249</v>
      </c>
      <c r="AM173" t="s">
        <v>90</v>
      </c>
      <c r="AN173" t="s">
        <v>2250</v>
      </c>
      <c r="AO173" t="s">
        <v>3780</v>
      </c>
      <c r="AP173" t="s">
        <v>3781</v>
      </c>
      <c r="AQ173" t="s">
        <v>74</v>
      </c>
      <c r="AR173" t="s">
        <v>3782</v>
      </c>
      <c r="AS173" t="s">
        <v>3783</v>
      </c>
      <c r="AT173" t="s">
        <v>428</v>
      </c>
      <c r="AU173">
        <v>2022</v>
      </c>
      <c r="AV173">
        <v>274</v>
      </c>
      <c r="AW173" t="s">
        <v>74</v>
      </c>
      <c r="AX173" t="s">
        <v>74</v>
      </c>
      <c r="AY173" t="s">
        <v>74</v>
      </c>
      <c r="AZ173" t="s">
        <v>74</v>
      </c>
      <c r="BA173" t="s">
        <v>74</v>
      </c>
      <c r="BB173" t="s">
        <v>74</v>
      </c>
      <c r="BC173" t="s">
        <v>74</v>
      </c>
      <c r="BD173">
        <v>109739</v>
      </c>
      <c r="BE173" t="s">
        <v>3784</v>
      </c>
      <c r="BF173" t="str">
        <f>HYPERLINK("http://dx.doi.org/10.1016/j.biocon.2022.109739","http://dx.doi.org/10.1016/j.biocon.2022.109739")</f>
        <v>http://dx.doi.org/10.1016/j.biocon.2022.109739</v>
      </c>
      <c r="BG173" t="s">
        <v>74</v>
      </c>
      <c r="BH173" t="s">
        <v>2143</v>
      </c>
      <c r="BI173">
        <v>5</v>
      </c>
      <c r="BJ173" t="s">
        <v>3785</v>
      </c>
      <c r="BK173" t="s">
        <v>100</v>
      </c>
      <c r="BL173" t="s">
        <v>1170</v>
      </c>
      <c r="BM173" t="s">
        <v>3786</v>
      </c>
      <c r="BN173" t="s">
        <v>74</v>
      </c>
      <c r="BO173" t="s">
        <v>74</v>
      </c>
      <c r="BP173" t="s">
        <v>74</v>
      </c>
      <c r="BQ173" t="s">
        <v>74</v>
      </c>
      <c r="BR173" t="s">
        <v>103</v>
      </c>
      <c r="BS173" t="s">
        <v>3787</v>
      </c>
      <c r="BT173" t="str">
        <f>HYPERLINK("https%3A%2F%2Fwww.webofscience.com%2Fwos%2Fwoscc%2Ffull-record%2FWOS:000863345100011","View Full Record in Web of Science")</f>
        <v>View Full Record in Web of Science</v>
      </c>
    </row>
    <row r="174" spans="1:72" x14ac:dyDescent="0.15">
      <c r="A174" t="s">
        <v>72</v>
      </c>
      <c r="B174" t="s">
        <v>3788</v>
      </c>
      <c r="C174" t="s">
        <v>74</v>
      </c>
      <c r="D174" t="s">
        <v>74</v>
      </c>
      <c r="E174" t="s">
        <v>74</v>
      </c>
      <c r="F174" t="s">
        <v>3789</v>
      </c>
      <c r="G174" t="s">
        <v>74</v>
      </c>
      <c r="H174" t="s">
        <v>74</v>
      </c>
      <c r="I174" t="s">
        <v>3790</v>
      </c>
      <c r="J174" t="s">
        <v>3791</v>
      </c>
      <c r="K174" t="s">
        <v>74</v>
      </c>
      <c r="L174" t="s">
        <v>74</v>
      </c>
      <c r="M174" t="s">
        <v>78</v>
      </c>
      <c r="N174" t="s">
        <v>79</v>
      </c>
      <c r="O174" t="s">
        <v>74</v>
      </c>
      <c r="P174" t="s">
        <v>74</v>
      </c>
      <c r="Q174" t="s">
        <v>74</v>
      </c>
      <c r="R174" t="s">
        <v>74</v>
      </c>
      <c r="S174" t="s">
        <v>74</v>
      </c>
      <c r="T174" t="s">
        <v>3792</v>
      </c>
      <c r="U174" t="s">
        <v>3793</v>
      </c>
      <c r="V174" t="s">
        <v>3794</v>
      </c>
      <c r="W174" t="s">
        <v>3795</v>
      </c>
      <c r="X174" t="s">
        <v>3796</v>
      </c>
      <c r="Y174" t="s">
        <v>3797</v>
      </c>
      <c r="Z174" t="s">
        <v>3798</v>
      </c>
      <c r="AA174" t="s">
        <v>3799</v>
      </c>
      <c r="AB174" t="s">
        <v>3800</v>
      </c>
      <c r="AC174" t="s">
        <v>3801</v>
      </c>
      <c r="AD174" t="s">
        <v>3802</v>
      </c>
      <c r="AE174" t="s">
        <v>3803</v>
      </c>
      <c r="AF174" t="s">
        <v>74</v>
      </c>
      <c r="AG174">
        <v>64</v>
      </c>
      <c r="AH174">
        <v>3</v>
      </c>
      <c r="AI174">
        <v>3</v>
      </c>
      <c r="AJ174">
        <v>31</v>
      </c>
      <c r="AK174">
        <v>78</v>
      </c>
      <c r="AL174" t="s">
        <v>2249</v>
      </c>
      <c r="AM174" t="s">
        <v>90</v>
      </c>
      <c r="AN174" t="s">
        <v>2250</v>
      </c>
      <c r="AO174" t="s">
        <v>3804</v>
      </c>
      <c r="AP174" t="s">
        <v>3805</v>
      </c>
      <c r="AQ174" t="s">
        <v>74</v>
      </c>
      <c r="AR174" t="s">
        <v>3806</v>
      </c>
      <c r="AS174" t="s">
        <v>3807</v>
      </c>
      <c r="AT174" t="s">
        <v>3348</v>
      </c>
      <c r="AU174">
        <v>2022</v>
      </c>
      <c r="AV174">
        <v>313</v>
      </c>
      <c r="AW174" t="s">
        <v>74</v>
      </c>
      <c r="AX174" t="s">
        <v>74</v>
      </c>
      <c r="AY174" t="s">
        <v>74</v>
      </c>
      <c r="AZ174" t="s">
        <v>74</v>
      </c>
      <c r="BA174" t="s">
        <v>74</v>
      </c>
      <c r="BB174" t="s">
        <v>74</v>
      </c>
      <c r="BC174" t="s">
        <v>74</v>
      </c>
      <c r="BD174">
        <v>120195</v>
      </c>
      <c r="BE174" t="s">
        <v>3808</v>
      </c>
      <c r="BF174" t="str">
        <f>HYPERLINK("http://dx.doi.org/10.1016/j.envpol.2022.120195","http://dx.doi.org/10.1016/j.envpol.2022.120195")</f>
        <v>http://dx.doi.org/10.1016/j.envpol.2022.120195</v>
      </c>
      <c r="BG174" t="s">
        <v>74</v>
      </c>
      <c r="BH174" t="s">
        <v>2143</v>
      </c>
      <c r="BI174">
        <v>8</v>
      </c>
      <c r="BJ174" t="s">
        <v>2040</v>
      </c>
      <c r="BK174" t="s">
        <v>100</v>
      </c>
      <c r="BL174" t="s">
        <v>2041</v>
      </c>
      <c r="BM174" t="s">
        <v>3809</v>
      </c>
      <c r="BN174">
        <v>36126770</v>
      </c>
      <c r="BO174" t="s">
        <v>74</v>
      </c>
      <c r="BP174" t="s">
        <v>74</v>
      </c>
      <c r="BQ174" t="s">
        <v>74</v>
      </c>
      <c r="BR174" t="s">
        <v>103</v>
      </c>
      <c r="BS174" t="s">
        <v>3810</v>
      </c>
      <c r="BT174" t="str">
        <f>HYPERLINK("https%3A%2F%2Fwww.webofscience.com%2Fwos%2Fwoscc%2Ffull-record%2FWOS:000862656900010","View Full Record in Web of Science")</f>
        <v>View Full Record in Web of Science</v>
      </c>
    </row>
    <row r="175" spans="1:72" x14ac:dyDescent="0.15">
      <c r="A175" t="s">
        <v>72</v>
      </c>
      <c r="B175" t="s">
        <v>3811</v>
      </c>
      <c r="C175" t="s">
        <v>74</v>
      </c>
      <c r="D175" t="s">
        <v>74</v>
      </c>
      <c r="E175" t="s">
        <v>74</v>
      </c>
      <c r="F175" t="s">
        <v>3812</v>
      </c>
      <c r="G175" t="s">
        <v>74</v>
      </c>
      <c r="H175" t="s">
        <v>74</v>
      </c>
      <c r="I175" t="s">
        <v>3813</v>
      </c>
      <c r="J175" t="s">
        <v>3814</v>
      </c>
      <c r="K175" t="s">
        <v>74</v>
      </c>
      <c r="L175" t="s">
        <v>74</v>
      </c>
      <c r="M175" t="s">
        <v>78</v>
      </c>
      <c r="N175" t="s">
        <v>2122</v>
      </c>
      <c r="O175" t="s">
        <v>74</v>
      </c>
      <c r="P175" t="s">
        <v>74</v>
      </c>
      <c r="Q175" t="s">
        <v>74</v>
      </c>
      <c r="R175" t="s">
        <v>74</v>
      </c>
      <c r="S175" t="s">
        <v>74</v>
      </c>
      <c r="T175" t="s">
        <v>3815</v>
      </c>
      <c r="U175" t="s">
        <v>3816</v>
      </c>
      <c r="V175" t="s">
        <v>3817</v>
      </c>
      <c r="W175" t="s">
        <v>3818</v>
      </c>
      <c r="X175" t="s">
        <v>3819</v>
      </c>
      <c r="Y175" t="s">
        <v>3820</v>
      </c>
      <c r="Z175" t="s">
        <v>3821</v>
      </c>
      <c r="AA175" t="s">
        <v>3822</v>
      </c>
      <c r="AB175" t="s">
        <v>3823</v>
      </c>
      <c r="AC175" t="s">
        <v>3824</v>
      </c>
      <c r="AD175" t="s">
        <v>3825</v>
      </c>
      <c r="AE175" t="s">
        <v>3826</v>
      </c>
      <c r="AF175" t="s">
        <v>74</v>
      </c>
      <c r="AG175">
        <v>51</v>
      </c>
      <c r="AH175">
        <v>4</v>
      </c>
      <c r="AI175">
        <v>4</v>
      </c>
      <c r="AJ175">
        <v>5</v>
      </c>
      <c r="AK175">
        <v>12</v>
      </c>
      <c r="AL175" t="s">
        <v>3827</v>
      </c>
      <c r="AM175" t="s">
        <v>3828</v>
      </c>
      <c r="AN175" t="s">
        <v>3829</v>
      </c>
      <c r="AO175" t="s">
        <v>3830</v>
      </c>
      <c r="AP175" t="s">
        <v>3831</v>
      </c>
      <c r="AQ175" t="s">
        <v>74</v>
      </c>
      <c r="AR175" t="s">
        <v>3814</v>
      </c>
      <c r="AS175" t="s">
        <v>3832</v>
      </c>
      <c r="AT175" t="s">
        <v>3833</v>
      </c>
      <c r="AU175">
        <v>2022</v>
      </c>
      <c r="AV175" t="s">
        <v>74</v>
      </c>
      <c r="AW175" t="s">
        <v>74</v>
      </c>
      <c r="AX175" t="s">
        <v>74</v>
      </c>
      <c r="AY175" t="s">
        <v>74</v>
      </c>
      <c r="AZ175" t="s">
        <v>74</v>
      </c>
      <c r="BA175" t="s">
        <v>74</v>
      </c>
      <c r="BB175" t="s">
        <v>74</v>
      </c>
      <c r="BC175" t="s">
        <v>74</v>
      </c>
      <c r="BD175" t="s">
        <v>74</v>
      </c>
      <c r="BE175" t="s">
        <v>3834</v>
      </c>
      <c r="BF175" t="str">
        <f>HYPERLINK("http://dx.doi.org/10.1080/20964471.2022.2116796","http://dx.doi.org/10.1080/20964471.2022.2116796")</f>
        <v>http://dx.doi.org/10.1080/20964471.2022.2116796</v>
      </c>
      <c r="BG175" t="s">
        <v>74</v>
      </c>
      <c r="BH175" t="s">
        <v>2143</v>
      </c>
      <c r="BI175">
        <v>18</v>
      </c>
      <c r="BJ175" t="s">
        <v>3835</v>
      </c>
      <c r="BK175" t="s">
        <v>215</v>
      </c>
      <c r="BL175" t="s">
        <v>3836</v>
      </c>
      <c r="BM175" t="s">
        <v>3837</v>
      </c>
      <c r="BN175" t="s">
        <v>74</v>
      </c>
      <c r="BO175" t="s">
        <v>266</v>
      </c>
      <c r="BP175" t="s">
        <v>74</v>
      </c>
      <c r="BQ175" t="s">
        <v>74</v>
      </c>
      <c r="BR175" t="s">
        <v>103</v>
      </c>
      <c r="BS175" t="s">
        <v>3838</v>
      </c>
      <c r="BT175" t="str">
        <f>HYPERLINK("https%3A%2F%2Fwww.webofscience.com%2Fwos%2Fwoscc%2Ffull-record%2FWOS:000857886800001","View Full Record in Web of Science")</f>
        <v>View Full Record in Web of Science</v>
      </c>
    </row>
    <row r="176" spans="1:72" x14ac:dyDescent="0.15">
      <c r="A176" t="s">
        <v>72</v>
      </c>
      <c r="B176" t="s">
        <v>3839</v>
      </c>
      <c r="C176" t="s">
        <v>74</v>
      </c>
      <c r="D176" t="s">
        <v>74</v>
      </c>
      <c r="E176" t="s">
        <v>74</v>
      </c>
      <c r="F176" t="s">
        <v>3840</v>
      </c>
      <c r="G176" t="s">
        <v>74</v>
      </c>
      <c r="H176" t="s">
        <v>74</v>
      </c>
      <c r="I176" t="s">
        <v>3841</v>
      </c>
      <c r="J176" t="s">
        <v>3842</v>
      </c>
      <c r="K176" t="s">
        <v>74</v>
      </c>
      <c r="L176" t="s">
        <v>74</v>
      </c>
      <c r="M176" t="s">
        <v>78</v>
      </c>
      <c r="N176" t="s">
        <v>79</v>
      </c>
      <c r="O176" t="s">
        <v>74</v>
      </c>
      <c r="P176" t="s">
        <v>74</v>
      </c>
      <c r="Q176" t="s">
        <v>74</v>
      </c>
      <c r="R176" t="s">
        <v>74</v>
      </c>
      <c r="S176" t="s">
        <v>74</v>
      </c>
      <c r="T176" t="s">
        <v>3843</v>
      </c>
      <c r="U176" t="s">
        <v>3844</v>
      </c>
      <c r="V176" t="s">
        <v>3845</v>
      </c>
      <c r="W176" t="s">
        <v>3846</v>
      </c>
      <c r="X176" t="s">
        <v>3847</v>
      </c>
      <c r="Y176" t="s">
        <v>3848</v>
      </c>
      <c r="Z176" t="s">
        <v>3849</v>
      </c>
      <c r="AA176" t="s">
        <v>74</v>
      </c>
      <c r="AB176" t="s">
        <v>74</v>
      </c>
      <c r="AC176" t="s">
        <v>3850</v>
      </c>
      <c r="AD176" t="s">
        <v>3851</v>
      </c>
      <c r="AE176" t="s">
        <v>3852</v>
      </c>
      <c r="AF176" t="s">
        <v>74</v>
      </c>
      <c r="AG176">
        <v>99</v>
      </c>
      <c r="AH176">
        <v>2</v>
      </c>
      <c r="AI176">
        <v>2</v>
      </c>
      <c r="AJ176">
        <v>1</v>
      </c>
      <c r="AK176">
        <v>4</v>
      </c>
      <c r="AL176" t="s">
        <v>231</v>
      </c>
      <c r="AM176" t="s">
        <v>232</v>
      </c>
      <c r="AN176" t="s">
        <v>233</v>
      </c>
      <c r="AO176" t="s">
        <v>3853</v>
      </c>
      <c r="AP176" t="s">
        <v>3854</v>
      </c>
      <c r="AQ176" t="s">
        <v>74</v>
      </c>
      <c r="AR176" t="s">
        <v>3842</v>
      </c>
      <c r="AS176" t="s">
        <v>3855</v>
      </c>
      <c r="AT176" t="s">
        <v>2418</v>
      </c>
      <c r="AU176">
        <v>2024</v>
      </c>
      <c r="AV176">
        <v>166</v>
      </c>
      <c r="AW176">
        <v>2</v>
      </c>
      <c r="AX176" t="s">
        <v>74</v>
      </c>
      <c r="AY176" t="s">
        <v>74</v>
      </c>
      <c r="AZ176" t="s">
        <v>74</v>
      </c>
      <c r="BA176" t="s">
        <v>74</v>
      </c>
      <c r="BB176">
        <v>534</v>
      </c>
      <c r="BC176">
        <v>550</v>
      </c>
      <c r="BD176" t="s">
        <v>74</v>
      </c>
      <c r="BE176" t="s">
        <v>3856</v>
      </c>
      <c r="BF176" t="str">
        <f>HYPERLINK("http://dx.doi.org/10.1111/ibi.13136","http://dx.doi.org/10.1111/ibi.13136")</f>
        <v>http://dx.doi.org/10.1111/ibi.13136</v>
      </c>
      <c r="BG176" t="s">
        <v>74</v>
      </c>
      <c r="BH176" t="s">
        <v>2143</v>
      </c>
      <c r="BI176">
        <v>17</v>
      </c>
      <c r="BJ176" t="s">
        <v>3857</v>
      </c>
      <c r="BK176" t="s">
        <v>100</v>
      </c>
      <c r="BL176" t="s">
        <v>2211</v>
      </c>
      <c r="BM176" t="s">
        <v>3858</v>
      </c>
      <c r="BN176" t="s">
        <v>74</v>
      </c>
      <c r="BO176" t="s">
        <v>3859</v>
      </c>
      <c r="BP176" t="s">
        <v>74</v>
      </c>
      <c r="BQ176" t="s">
        <v>74</v>
      </c>
      <c r="BR176" t="s">
        <v>103</v>
      </c>
      <c r="BS176" t="s">
        <v>3860</v>
      </c>
      <c r="BT176" t="str">
        <f>HYPERLINK("https%3A%2F%2Fwww.webofscience.com%2Fwos%2Fwoscc%2Ffull-record%2FWOS:000858379600001","View Full Record in Web of Science")</f>
        <v>View Full Record in Web of Science</v>
      </c>
    </row>
    <row r="177" spans="1:72" x14ac:dyDescent="0.15">
      <c r="A177" t="s">
        <v>72</v>
      </c>
      <c r="B177" t="s">
        <v>3861</v>
      </c>
      <c r="C177" t="s">
        <v>74</v>
      </c>
      <c r="D177" t="s">
        <v>74</v>
      </c>
      <c r="E177" t="s">
        <v>74</v>
      </c>
      <c r="F177" t="s">
        <v>3862</v>
      </c>
      <c r="G177" t="s">
        <v>74</v>
      </c>
      <c r="H177" t="s">
        <v>74</v>
      </c>
      <c r="I177" t="s">
        <v>3863</v>
      </c>
      <c r="J177" t="s">
        <v>3864</v>
      </c>
      <c r="K177" t="s">
        <v>74</v>
      </c>
      <c r="L177" t="s">
        <v>74</v>
      </c>
      <c r="M177" t="s">
        <v>78</v>
      </c>
      <c r="N177" t="s">
        <v>79</v>
      </c>
      <c r="O177" t="s">
        <v>74</v>
      </c>
      <c r="P177" t="s">
        <v>74</v>
      </c>
      <c r="Q177" t="s">
        <v>74</v>
      </c>
      <c r="R177" t="s">
        <v>74</v>
      </c>
      <c r="S177" t="s">
        <v>74</v>
      </c>
      <c r="T177" t="s">
        <v>3865</v>
      </c>
      <c r="U177" t="s">
        <v>3866</v>
      </c>
      <c r="V177" t="s">
        <v>3867</v>
      </c>
      <c r="W177" t="s">
        <v>3868</v>
      </c>
      <c r="X177" t="s">
        <v>3869</v>
      </c>
      <c r="Y177" t="s">
        <v>3870</v>
      </c>
      <c r="Z177" t="s">
        <v>3871</v>
      </c>
      <c r="AA177" t="s">
        <v>3872</v>
      </c>
      <c r="AB177" t="s">
        <v>3873</v>
      </c>
      <c r="AC177" t="s">
        <v>3874</v>
      </c>
      <c r="AD177" t="s">
        <v>3875</v>
      </c>
      <c r="AE177" t="s">
        <v>3876</v>
      </c>
      <c r="AF177" t="s">
        <v>74</v>
      </c>
      <c r="AG177">
        <v>57</v>
      </c>
      <c r="AH177">
        <v>2</v>
      </c>
      <c r="AI177">
        <v>2</v>
      </c>
      <c r="AJ177">
        <v>2</v>
      </c>
      <c r="AK177">
        <v>11</v>
      </c>
      <c r="AL177" t="s">
        <v>206</v>
      </c>
      <c r="AM177" t="s">
        <v>207</v>
      </c>
      <c r="AN177" t="s">
        <v>208</v>
      </c>
      <c r="AO177" t="s">
        <v>3877</v>
      </c>
      <c r="AP177" t="s">
        <v>74</v>
      </c>
      <c r="AQ177" t="s">
        <v>74</v>
      </c>
      <c r="AR177" t="s">
        <v>3878</v>
      </c>
      <c r="AS177" t="s">
        <v>3879</v>
      </c>
      <c r="AT177" t="s">
        <v>3880</v>
      </c>
      <c r="AU177">
        <v>2022</v>
      </c>
      <c r="AV177">
        <v>10</v>
      </c>
      <c r="AW177">
        <v>5</v>
      </c>
      <c r="AX177" t="s">
        <v>74</v>
      </c>
      <c r="AY177" t="s">
        <v>74</v>
      </c>
      <c r="AZ177" t="s">
        <v>74</v>
      </c>
      <c r="BA177" t="s">
        <v>74</v>
      </c>
      <c r="BB177" t="s">
        <v>74</v>
      </c>
      <c r="BC177" t="s">
        <v>74</v>
      </c>
      <c r="BD177" t="s">
        <v>74</v>
      </c>
      <c r="BE177" t="s">
        <v>3881</v>
      </c>
      <c r="BF177" t="str">
        <f>HYPERLINK("http://dx.doi.org/10.1128/spectrum.01427-22","http://dx.doi.org/10.1128/spectrum.01427-22")</f>
        <v>http://dx.doi.org/10.1128/spectrum.01427-22</v>
      </c>
      <c r="BG177" t="s">
        <v>74</v>
      </c>
      <c r="BH177" t="s">
        <v>2143</v>
      </c>
      <c r="BI177">
        <v>8</v>
      </c>
      <c r="BJ177" t="s">
        <v>214</v>
      </c>
      <c r="BK177" t="s">
        <v>100</v>
      </c>
      <c r="BL177" t="s">
        <v>214</v>
      </c>
      <c r="BM177" t="s">
        <v>3882</v>
      </c>
      <c r="BN177">
        <v>36121294</v>
      </c>
      <c r="BO177" t="s">
        <v>132</v>
      </c>
      <c r="BP177" t="s">
        <v>74</v>
      </c>
      <c r="BQ177" t="s">
        <v>74</v>
      </c>
      <c r="BR177" t="s">
        <v>103</v>
      </c>
      <c r="BS177" t="s">
        <v>3883</v>
      </c>
      <c r="BT177" t="str">
        <f>HYPERLINK("https%3A%2F%2Fwww.webofscience.com%2Fwos%2Fwoscc%2Ffull-record%2FWOS:000859652600001","View Full Record in Web of Science")</f>
        <v>View Full Record in Web of Science</v>
      </c>
    </row>
    <row r="178" spans="1:72" x14ac:dyDescent="0.15">
      <c r="A178" t="s">
        <v>72</v>
      </c>
      <c r="B178" t="s">
        <v>3884</v>
      </c>
      <c r="C178" t="s">
        <v>74</v>
      </c>
      <c r="D178" t="s">
        <v>74</v>
      </c>
      <c r="E178" t="s">
        <v>74</v>
      </c>
      <c r="F178" t="s">
        <v>3885</v>
      </c>
      <c r="G178" t="s">
        <v>74</v>
      </c>
      <c r="H178" t="s">
        <v>74</v>
      </c>
      <c r="I178" t="s">
        <v>3886</v>
      </c>
      <c r="J178" t="s">
        <v>3887</v>
      </c>
      <c r="K178" t="s">
        <v>74</v>
      </c>
      <c r="L178" t="s">
        <v>74</v>
      </c>
      <c r="M178" t="s">
        <v>78</v>
      </c>
      <c r="N178" t="s">
        <v>79</v>
      </c>
      <c r="O178" t="s">
        <v>74</v>
      </c>
      <c r="P178" t="s">
        <v>74</v>
      </c>
      <c r="Q178" t="s">
        <v>74</v>
      </c>
      <c r="R178" t="s">
        <v>74</v>
      </c>
      <c r="S178" t="s">
        <v>74</v>
      </c>
      <c r="T178" t="s">
        <v>3888</v>
      </c>
      <c r="U178" t="s">
        <v>3889</v>
      </c>
      <c r="V178" t="s">
        <v>3890</v>
      </c>
      <c r="W178" t="s">
        <v>3891</v>
      </c>
      <c r="X178" t="s">
        <v>3892</v>
      </c>
      <c r="Y178" t="s">
        <v>3893</v>
      </c>
      <c r="Z178" t="s">
        <v>3894</v>
      </c>
      <c r="AA178" t="s">
        <v>3895</v>
      </c>
      <c r="AB178" t="s">
        <v>3896</v>
      </c>
      <c r="AC178" t="s">
        <v>3897</v>
      </c>
      <c r="AD178" t="s">
        <v>3897</v>
      </c>
      <c r="AE178" t="s">
        <v>3897</v>
      </c>
      <c r="AF178" t="s">
        <v>74</v>
      </c>
      <c r="AG178">
        <v>33</v>
      </c>
      <c r="AH178">
        <v>4</v>
      </c>
      <c r="AI178">
        <v>4</v>
      </c>
      <c r="AJ178">
        <v>4</v>
      </c>
      <c r="AK178">
        <v>30</v>
      </c>
      <c r="AL178" t="s">
        <v>231</v>
      </c>
      <c r="AM178" t="s">
        <v>232</v>
      </c>
      <c r="AN178" t="s">
        <v>233</v>
      </c>
      <c r="AO178" t="s">
        <v>3898</v>
      </c>
      <c r="AP178" t="s">
        <v>3899</v>
      </c>
      <c r="AQ178" t="s">
        <v>74</v>
      </c>
      <c r="AR178" t="s">
        <v>3887</v>
      </c>
      <c r="AS178" t="s">
        <v>3900</v>
      </c>
      <c r="AT178" t="s">
        <v>325</v>
      </c>
      <c r="AU178">
        <v>2022</v>
      </c>
      <c r="AV178">
        <v>103</v>
      </c>
      <c r="AW178">
        <v>12</v>
      </c>
      <c r="AX178" t="s">
        <v>74</v>
      </c>
      <c r="AY178" t="s">
        <v>74</v>
      </c>
      <c r="AZ178" t="s">
        <v>74</v>
      </c>
      <c r="BA178" t="s">
        <v>74</v>
      </c>
      <c r="BB178" t="s">
        <v>74</v>
      </c>
      <c r="BC178" t="s">
        <v>74</v>
      </c>
      <c r="BD178" t="s">
        <v>3901</v>
      </c>
      <c r="BE178" t="s">
        <v>3902</v>
      </c>
      <c r="BF178" t="str">
        <f>HYPERLINK("http://dx.doi.org/10.1002/ecy.3818","http://dx.doi.org/10.1002/ecy.3818")</f>
        <v>http://dx.doi.org/10.1002/ecy.3818</v>
      </c>
      <c r="BG178" t="s">
        <v>74</v>
      </c>
      <c r="BH178" t="s">
        <v>2143</v>
      </c>
      <c r="BI178">
        <v>7</v>
      </c>
      <c r="BJ178" t="s">
        <v>3900</v>
      </c>
      <c r="BK178" t="s">
        <v>100</v>
      </c>
      <c r="BL178" t="s">
        <v>2041</v>
      </c>
      <c r="BM178" t="s">
        <v>3903</v>
      </c>
      <c r="BN178">
        <v>35852891</v>
      </c>
      <c r="BO178" t="s">
        <v>404</v>
      </c>
      <c r="BP178" t="s">
        <v>74</v>
      </c>
      <c r="BQ178" t="s">
        <v>74</v>
      </c>
      <c r="BR178" t="s">
        <v>103</v>
      </c>
      <c r="BS178" t="s">
        <v>3904</v>
      </c>
      <c r="BT178" t="str">
        <f>HYPERLINK("https%3A%2F%2Fwww.webofscience.com%2Fwos%2Fwoscc%2Ffull-record%2FWOS:000858576800001","View Full Record in Web of Science")</f>
        <v>View Full Record in Web of Science</v>
      </c>
    </row>
    <row r="179" spans="1:72" x14ac:dyDescent="0.15">
      <c r="A179" t="s">
        <v>72</v>
      </c>
      <c r="B179" t="s">
        <v>3905</v>
      </c>
      <c r="C179" t="s">
        <v>74</v>
      </c>
      <c r="D179" t="s">
        <v>74</v>
      </c>
      <c r="E179" t="s">
        <v>74</v>
      </c>
      <c r="F179" t="s">
        <v>3906</v>
      </c>
      <c r="G179" t="s">
        <v>74</v>
      </c>
      <c r="H179" t="s">
        <v>74</v>
      </c>
      <c r="I179" t="s">
        <v>3907</v>
      </c>
      <c r="J179" t="s">
        <v>3908</v>
      </c>
      <c r="K179" t="s">
        <v>74</v>
      </c>
      <c r="L179" t="s">
        <v>74</v>
      </c>
      <c r="M179" t="s">
        <v>78</v>
      </c>
      <c r="N179" t="s">
        <v>79</v>
      </c>
      <c r="O179" t="s">
        <v>74</v>
      </c>
      <c r="P179" t="s">
        <v>74</v>
      </c>
      <c r="Q179" t="s">
        <v>74</v>
      </c>
      <c r="R179" t="s">
        <v>74</v>
      </c>
      <c r="S179" t="s">
        <v>74</v>
      </c>
      <c r="T179" t="s">
        <v>3909</v>
      </c>
      <c r="U179" t="s">
        <v>3910</v>
      </c>
      <c r="V179" t="s">
        <v>3911</v>
      </c>
      <c r="W179" t="s">
        <v>3912</v>
      </c>
      <c r="X179" t="s">
        <v>3913</v>
      </c>
      <c r="Y179" t="s">
        <v>3914</v>
      </c>
      <c r="Z179" t="s">
        <v>3915</v>
      </c>
      <c r="AA179" t="s">
        <v>74</v>
      </c>
      <c r="AB179" t="s">
        <v>3916</v>
      </c>
      <c r="AC179" t="s">
        <v>3917</v>
      </c>
      <c r="AD179" t="s">
        <v>3918</v>
      </c>
      <c r="AE179" t="s">
        <v>3919</v>
      </c>
      <c r="AF179" t="s">
        <v>74</v>
      </c>
      <c r="AG179">
        <v>102</v>
      </c>
      <c r="AH179">
        <v>1</v>
      </c>
      <c r="AI179">
        <v>1</v>
      </c>
      <c r="AJ179">
        <v>0</v>
      </c>
      <c r="AK179">
        <v>1</v>
      </c>
      <c r="AL179" t="s">
        <v>178</v>
      </c>
      <c r="AM179" t="s">
        <v>450</v>
      </c>
      <c r="AN179" t="s">
        <v>668</v>
      </c>
      <c r="AO179" t="s">
        <v>3920</v>
      </c>
      <c r="AP179" t="s">
        <v>3921</v>
      </c>
      <c r="AQ179" t="s">
        <v>74</v>
      </c>
      <c r="AR179" t="s">
        <v>3922</v>
      </c>
      <c r="AS179" t="s">
        <v>3923</v>
      </c>
      <c r="AT179" t="s">
        <v>3924</v>
      </c>
      <c r="AU179">
        <v>2022</v>
      </c>
      <c r="AV179">
        <v>84</v>
      </c>
      <c r="AW179">
        <v>10</v>
      </c>
      <c r="AX179" t="s">
        <v>74</v>
      </c>
      <c r="AY179" t="s">
        <v>74</v>
      </c>
      <c r="AZ179" t="s">
        <v>74</v>
      </c>
      <c r="BA179" t="s">
        <v>74</v>
      </c>
      <c r="BB179" t="s">
        <v>74</v>
      </c>
      <c r="BC179" t="s">
        <v>74</v>
      </c>
      <c r="BD179">
        <v>93</v>
      </c>
      <c r="BE179" t="s">
        <v>3925</v>
      </c>
      <c r="BF179" t="str">
        <f>HYPERLINK("http://dx.doi.org/10.1007/s00445-022-01601-4","http://dx.doi.org/10.1007/s00445-022-01601-4")</f>
        <v>http://dx.doi.org/10.1007/s00445-022-01601-4</v>
      </c>
      <c r="BG179" t="s">
        <v>74</v>
      </c>
      <c r="BH179" t="s">
        <v>74</v>
      </c>
      <c r="BI179">
        <v>29</v>
      </c>
      <c r="BJ179" t="s">
        <v>129</v>
      </c>
      <c r="BK179" t="s">
        <v>100</v>
      </c>
      <c r="BL179" t="s">
        <v>130</v>
      </c>
      <c r="BM179" t="s">
        <v>3926</v>
      </c>
      <c r="BN179" t="s">
        <v>74</v>
      </c>
      <c r="BO179" t="s">
        <v>831</v>
      </c>
      <c r="BP179" t="s">
        <v>74</v>
      </c>
      <c r="BQ179" t="s">
        <v>74</v>
      </c>
      <c r="BR179" t="s">
        <v>103</v>
      </c>
      <c r="BS179" t="s">
        <v>3927</v>
      </c>
      <c r="BT179" t="str">
        <f>HYPERLINK("https%3A%2F%2Fwww.webofscience.com%2Fwos%2Fwoscc%2Ffull-record%2FWOS:000855462500001","View Full Record in Web of Science")</f>
        <v>View Full Record in Web of Science</v>
      </c>
    </row>
    <row r="180" spans="1:72" x14ac:dyDescent="0.15">
      <c r="A180" t="s">
        <v>72</v>
      </c>
      <c r="B180" t="s">
        <v>3928</v>
      </c>
      <c r="C180" t="s">
        <v>74</v>
      </c>
      <c r="D180" t="s">
        <v>74</v>
      </c>
      <c r="E180" t="s">
        <v>74</v>
      </c>
      <c r="F180" t="s">
        <v>3929</v>
      </c>
      <c r="G180" t="s">
        <v>74</v>
      </c>
      <c r="H180" t="s">
        <v>74</v>
      </c>
      <c r="I180" t="s">
        <v>3930</v>
      </c>
      <c r="J180" t="s">
        <v>3931</v>
      </c>
      <c r="K180" t="s">
        <v>74</v>
      </c>
      <c r="L180" t="s">
        <v>74</v>
      </c>
      <c r="M180" t="s">
        <v>78</v>
      </c>
      <c r="N180" t="s">
        <v>79</v>
      </c>
      <c r="O180" t="s">
        <v>74</v>
      </c>
      <c r="P180" t="s">
        <v>74</v>
      </c>
      <c r="Q180" t="s">
        <v>74</v>
      </c>
      <c r="R180" t="s">
        <v>74</v>
      </c>
      <c r="S180" t="s">
        <v>74</v>
      </c>
      <c r="T180" t="s">
        <v>3932</v>
      </c>
      <c r="U180" t="s">
        <v>3933</v>
      </c>
      <c r="V180" t="s">
        <v>3934</v>
      </c>
      <c r="W180" t="s">
        <v>3935</v>
      </c>
      <c r="X180" t="s">
        <v>3936</v>
      </c>
      <c r="Y180" t="s">
        <v>3937</v>
      </c>
      <c r="Z180" t="s">
        <v>3938</v>
      </c>
      <c r="AA180" t="s">
        <v>3939</v>
      </c>
      <c r="AB180" t="s">
        <v>3940</v>
      </c>
      <c r="AC180" t="s">
        <v>3941</v>
      </c>
      <c r="AD180" t="s">
        <v>3942</v>
      </c>
      <c r="AE180" t="s">
        <v>3943</v>
      </c>
      <c r="AF180" t="s">
        <v>74</v>
      </c>
      <c r="AG180">
        <v>101</v>
      </c>
      <c r="AH180">
        <v>2</v>
      </c>
      <c r="AI180">
        <v>3</v>
      </c>
      <c r="AJ180">
        <v>11</v>
      </c>
      <c r="AK180">
        <v>35</v>
      </c>
      <c r="AL180" t="s">
        <v>231</v>
      </c>
      <c r="AM180" t="s">
        <v>232</v>
      </c>
      <c r="AN180" t="s">
        <v>233</v>
      </c>
      <c r="AO180" t="s">
        <v>3944</v>
      </c>
      <c r="AP180" t="s">
        <v>3945</v>
      </c>
      <c r="AQ180" t="s">
        <v>74</v>
      </c>
      <c r="AR180" t="s">
        <v>3946</v>
      </c>
      <c r="AS180" t="s">
        <v>3947</v>
      </c>
      <c r="AT180" t="s">
        <v>2281</v>
      </c>
      <c r="AU180">
        <v>2022</v>
      </c>
      <c r="AV180">
        <v>31</v>
      </c>
      <c r="AW180">
        <v>11</v>
      </c>
      <c r="AX180" t="s">
        <v>74</v>
      </c>
      <c r="AY180" t="s">
        <v>74</v>
      </c>
      <c r="AZ180" t="s">
        <v>74</v>
      </c>
      <c r="BA180" t="s">
        <v>74</v>
      </c>
      <c r="BB180">
        <v>2353</v>
      </c>
      <c r="BC180">
        <v>2367</v>
      </c>
      <c r="BD180" t="s">
        <v>74</v>
      </c>
      <c r="BE180" t="s">
        <v>3948</v>
      </c>
      <c r="BF180" t="str">
        <f>HYPERLINK("http://dx.doi.org/10.1111/geb.13586","http://dx.doi.org/10.1111/geb.13586")</f>
        <v>http://dx.doi.org/10.1111/geb.13586</v>
      </c>
      <c r="BG180" t="s">
        <v>74</v>
      </c>
      <c r="BH180" t="s">
        <v>2143</v>
      </c>
      <c r="BI180">
        <v>15</v>
      </c>
      <c r="BJ180" t="s">
        <v>3949</v>
      </c>
      <c r="BK180" t="s">
        <v>100</v>
      </c>
      <c r="BL180" t="s">
        <v>3950</v>
      </c>
      <c r="BM180" t="s">
        <v>3951</v>
      </c>
      <c r="BN180" t="s">
        <v>74</v>
      </c>
      <c r="BO180" t="s">
        <v>3952</v>
      </c>
      <c r="BP180" t="s">
        <v>74</v>
      </c>
      <c r="BQ180" t="s">
        <v>74</v>
      </c>
      <c r="BR180" t="s">
        <v>103</v>
      </c>
      <c r="BS180" t="s">
        <v>3953</v>
      </c>
      <c r="BT180" t="str">
        <f>HYPERLINK("https%3A%2F%2Fwww.webofscience.com%2Fwos%2Fwoscc%2Ffull-record%2FWOS:000854880400001","View Full Record in Web of Science")</f>
        <v>View Full Record in Web of Science</v>
      </c>
    </row>
    <row r="181" spans="1:72" x14ac:dyDescent="0.15">
      <c r="A181" t="s">
        <v>72</v>
      </c>
      <c r="B181" t="s">
        <v>3954</v>
      </c>
      <c r="C181" t="s">
        <v>74</v>
      </c>
      <c r="D181" t="s">
        <v>74</v>
      </c>
      <c r="E181" t="s">
        <v>74</v>
      </c>
      <c r="F181" t="s">
        <v>3955</v>
      </c>
      <c r="G181" t="s">
        <v>74</v>
      </c>
      <c r="H181" t="s">
        <v>74</v>
      </c>
      <c r="I181" t="s">
        <v>3956</v>
      </c>
      <c r="J181" t="s">
        <v>3957</v>
      </c>
      <c r="K181" t="s">
        <v>74</v>
      </c>
      <c r="L181" t="s">
        <v>74</v>
      </c>
      <c r="M181" t="s">
        <v>78</v>
      </c>
      <c r="N181" t="s">
        <v>79</v>
      </c>
      <c r="O181" t="s">
        <v>74</v>
      </c>
      <c r="P181" t="s">
        <v>74</v>
      </c>
      <c r="Q181" t="s">
        <v>74</v>
      </c>
      <c r="R181" t="s">
        <v>74</v>
      </c>
      <c r="S181" t="s">
        <v>74</v>
      </c>
      <c r="T181" t="s">
        <v>3958</v>
      </c>
      <c r="U181" t="s">
        <v>3959</v>
      </c>
      <c r="V181" t="s">
        <v>3960</v>
      </c>
      <c r="W181" t="s">
        <v>3961</v>
      </c>
      <c r="X181" t="s">
        <v>3962</v>
      </c>
      <c r="Y181" t="s">
        <v>3963</v>
      </c>
      <c r="Z181" t="s">
        <v>3964</v>
      </c>
      <c r="AA181" t="s">
        <v>3965</v>
      </c>
      <c r="AB181" t="s">
        <v>3966</v>
      </c>
      <c r="AC181" t="s">
        <v>3967</v>
      </c>
      <c r="AD181" t="s">
        <v>3968</v>
      </c>
      <c r="AE181" t="s">
        <v>3969</v>
      </c>
      <c r="AF181" t="s">
        <v>74</v>
      </c>
      <c r="AG181">
        <v>235</v>
      </c>
      <c r="AH181">
        <v>22</v>
      </c>
      <c r="AI181">
        <v>24</v>
      </c>
      <c r="AJ181">
        <v>8</v>
      </c>
      <c r="AK181">
        <v>38</v>
      </c>
      <c r="AL181" t="s">
        <v>178</v>
      </c>
      <c r="AM181" t="s">
        <v>450</v>
      </c>
      <c r="AN181" t="s">
        <v>668</v>
      </c>
      <c r="AO181" t="s">
        <v>3970</v>
      </c>
      <c r="AP181" t="s">
        <v>3971</v>
      </c>
      <c r="AQ181" t="s">
        <v>74</v>
      </c>
      <c r="AR181" t="s">
        <v>3972</v>
      </c>
      <c r="AS181" t="s">
        <v>3973</v>
      </c>
      <c r="AT181" t="s">
        <v>238</v>
      </c>
      <c r="AU181">
        <v>2023</v>
      </c>
      <c r="AV181">
        <v>118</v>
      </c>
      <c r="AW181">
        <v>1</v>
      </c>
      <c r="AX181" t="s">
        <v>74</v>
      </c>
      <c r="AY181" t="s">
        <v>74</v>
      </c>
      <c r="AZ181" t="s">
        <v>74</v>
      </c>
      <c r="BA181" t="s">
        <v>74</v>
      </c>
      <c r="BB181">
        <v>1</v>
      </c>
      <c r="BC181">
        <v>94</v>
      </c>
      <c r="BD181" t="s">
        <v>74</v>
      </c>
      <c r="BE181" t="s">
        <v>3974</v>
      </c>
      <c r="BF181" t="str">
        <f>HYPERLINK("http://dx.doi.org/10.1007/s13225-022-00511-2","http://dx.doi.org/10.1007/s13225-022-00511-2")</f>
        <v>http://dx.doi.org/10.1007/s13225-022-00511-2</v>
      </c>
      <c r="BG181" t="s">
        <v>74</v>
      </c>
      <c r="BH181" t="s">
        <v>2143</v>
      </c>
      <c r="BI181">
        <v>94</v>
      </c>
      <c r="BJ181" t="s">
        <v>3975</v>
      </c>
      <c r="BK181" t="s">
        <v>100</v>
      </c>
      <c r="BL181" t="s">
        <v>3975</v>
      </c>
      <c r="BM181" t="s">
        <v>3976</v>
      </c>
      <c r="BN181" t="s">
        <v>74</v>
      </c>
      <c r="BO181" t="s">
        <v>74</v>
      </c>
      <c r="BP181" t="s">
        <v>74</v>
      </c>
      <c r="BQ181" t="s">
        <v>74</v>
      </c>
      <c r="BR181" t="s">
        <v>103</v>
      </c>
      <c r="BS181" t="s">
        <v>3977</v>
      </c>
      <c r="BT181" t="str">
        <f>HYPERLINK("https%3A%2F%2Fwww.webofscience.com%2Fwos%2Fwoscc%2Ffull-record%2FWOS:000854849700001","View Full Record in Web of Science")</f>
        <v>View Full Record in Web of Science</v>
      </c>
    </row>
    <row r="182" spans="1:72" x14ac:dyDescent="0.15">
      <c r="A182" t="s">
        <v>72</v>
      </c>
      <c r="B182" t="s">
        <v>3978</v>
      </c>
      <c r="C182" t="s">
        <v>74</v>
      </c>
      <c r="D182" t="s">
        <v>74</v>
      </c>
      <c r="E182" t="s">
        <v>74</v>
      </c>
      <c r="F182" t="s">
        <v>3979</v>
      </c>
      <c r="G182" t="s">
        <v>74</v>
      </c>
      <c r="H182" t="s">
        <v>74</v>
      </c>
      <c r="I182" t="s">
        <v>3980</v>
      </c>
      <c r="J182" t="s">
        <v>81</v>
      </c>
      <c r="K182" t="s">
        <v>74</v>
      </c>
      <c r="L182" t="s">
        <v>74</v>
      </c>
      <c r="M182" t="s">
        <v>78</v>
      </c>
      <c r="N182" t="s">
        <v>3981</v>
      </c>
      <c r="O182" t="s">
        <v>74</v>
      </c>
      <c r="P182" t="s">
        <v>74</v>
      </c>
      <c r="Q182" t="s">
        <v>74</v>
      </c>
      <c r="R182" t="s">
        <v>74</v>
      </c>
      <c r="S182" t="s">
        <v>74</v>
      </c>
      <c r="T182" t="s">
        <v>74</v>
      </c>
      <c r="U182" t="s">
        <v>74</v>
      </c>
      <c r="V182" t="s">
        <v>74</v>
      </c>
      <c r="W182" t="s">
        <v>74</v>
      </c>
      <c r="X182" t="s">
        <v>74</v>
      </c>
      <c r="Y182" t="s">
        <v>74</v>
      </c>
      <c r="Z182" t="s">
        <v>74</v>
      </c>
      <c r="AA182" t="s">
        <v>74</v>
      </c>
      <c r="AB182" t="s">
        <v>74</v>
      </c>
      <c r="AC182" t="s">
        <v>74</v>
      </c>
      <c r="AD182" t="s">
        <v>74</v>
      </c>
      <c r="AE182" t="s">
        <v>74</v>
      </c>
      <c r="AF182" t="s">
        <v>74</v>
      </c>
      <c r="AG182">
        <v>0</v>
      </c>
      <c r="AH182">
        <v>1</v>
      </c>
      <c r="AI182">
        <v>1</v>
      </c>
      <c r="AJ182">
        <v>0</v>
      </c>
      <c r="AK182">
        <v>1</v>
      </c>
      <c r="AL182" t="s">
        <v>2108</v>
      </c>
      <c r="AM182" t="s">
        <v>207</v>
      </c>
      <c r="AN182" t="s">
        <v>2109</v>
      </c>
      <c r="AO182" t="s">
        <v>2110</v>
      </c>
      <c r="AP182" t="s">
        <v>2111</v>
      </c>
      <c r="AQ182" t="s">
        <v>74</v>
      </c>
      <c r="AR182" t="s">
        <v>81</v>
      </c>
      <c r="AS182" t="s">
        <v>2112</v>
      </c>
      <c r="AT182" t="s">
        <v>3982</v>
      </c>
      <c r="AU182">
        <v>2022</v>
      </c>
      <c r="AV182">
        <v>377</v>
      </c>
      <c r="AW182">
        <v>6612</v>
      </c>
      <c r="AX182" t="s">
        <v>74</v>
      </c>
      <c r="AY182" t="s">
        <v>74</v>
      </c>
      <c r="AZ182" t="s">
        <v>74</v>
      </c>
      <c r="BA182" t="s">
        <v>74</v>
      </c>
      <c r="BB182">
        <v>1246</v>
      </c>
      <c r="BC182">
        <v>1247</v>
      </c>
      <c r="BD182" t="s">
        <v>74</v>
      </c>
      <c r="BE182" t="s">
        <v>74</v>
      </c>
      <c r="BF182" t="s">
        <v>74</v>
      </c>
      <c r="BG182" t="s">
        <v>74</v>
      </c>
      <c r="BH182" t="s">
        <v>74</v>
      </c>
      <c r="BI182">
        <v>2</v>
      </c>
      <c r="BJ182" t="s">
        <v>156</v>
      </c>
      <c r="BK182" t="s">
        <v>100</v>
      </c>
      <c r="BL182" t="s">
        <v>157</v>
      </c>
      <c r="BM182" t="s">
        <v>3983</v>
      </c>
      <c r="BN182">
        <v>36108019</v>
      </c>
      <c r="BO182" t="s">
        <v>74</v>
      </c>
      <c r="BP182" t="s">
        <v>74</v>
      </c>
      <c r="BQ182" t="s">
        <v>74</v>
      </c>
      <c r="BR182" t="s">
        <v>103</v>
      </c>
      <c r="BS182" t="s">
        <v>3984</v>
      </c>
      <c r="BT182" t="str">
        <f>HYPERLINK("https%3A%2F%2Fwww.webofscience.com%2Fwos%2Fwoscc%2Ffull-record%2FWOS:000887933500013","View Full Record in Web of Science")</f>
        <v>View Full Record in Web of Science</v>
      </c>
    </row>
    <row r="183" spans="1:72" x14ac:dyDescent="0.15">
      <c r="A183" t="s">
        <v>72</v>
      </c>
      <c r="B183" t="s">
        <v>3985</v>
      </c>
      <c r="C183" t="s">
        <v>74</v>
      </c>
      <c r="D183" t="s">
        <v>74</v>
      </c>
      <c r="E183" t="s">
        <v>74</v>
      </c>
      <c r="F183" t="s">
        <v>3986</v>
      </c>
      <c r="G183" t="s">
        <v>74</v>
      </c>
      <c r="H183" t="s">
        <v>74</v>
      </c>
      <c r="I183" t="s">
        <v>3987</v>
      </c>
      <c r="J183" t="s">
        <v>3988</v>
      </c>
      <c r="K183" t="s">
        <v>74</v>
      </c>
      <c r="L183" t="s">
        <v>74</v>
      </c>
      <c r="M183" t="s">
        <v>78</v>
      </c>
      <c r="N183" t="s">
        <v>79</v>
      </c>
      <c r="O183" t="s">
        <v>74</v>
      </c>
      <c r="P183" t="s">
        <v>74</v>
      </c>
      <c r="Q183" t="s">
        <v>74</v>
      </c>
      <c r="R183" t="s">
        <v>74</v>
      </c>
      <c r="S183" t="s">
        <v>74</v>
      </c>
      <c r="T183" t="s">
        <v>3989</v>
      </c>
      <c r="U183" t="s">
        <v>3990</v>
      </c>
      <c r="V183" t="s">
        <v>3991</v>
      </c>
      <c r="W183" t="s">
        <v>3992</v>
      </c>
      <c r="X183" t="s">
        <v>3993</v>
      </c>
      <c r="Y183" t="s">
        <v>3994</v>
      </c>
      <c r="Z183" t="s">
        <v>3995</v>
      </c>
      <c r="AA183" t="s">
        <v>74</v>
      </c>
      <c r="AB183" t="s">
        <v>3996</v>
      </c>
      <c r="AC183" t="s">
        <v>3997</v>
      </c>
      <c r="AD183" t="s">
        <v>3998</v>
      </c>
      <c r="AE183" t="s">
        <v>3999</v>
      </c>
      <c r="AF183" t="s">
        <v>74</v>
      </c>
      <c r="AG183">
        <v>28</v>
      </c>
      <c r="AH183">
        <v>1</v>
      </c>
      <c r="AI183">
        <v>1</v>
      </c>
      <c r="AJ183">
        <v>0</v>
      </c>
      <c r="AK183">
        <v>1</v>
      </c>
      <c r="AL183" t="s">
        <v>4000</v>
      </c>
      <c r="AM183" t="s">
        <v>4001</v>
      </c>
      <c r="AN183" t="s">
        <v>4002</v>
      </c>
      <c r="AO183" t="s">
        <v>4003</v>
      </c>
      <c r="AP183" t="s">
        <v>4004</v>
      </c>
      <c r="AQ183" t="s">
        <v>74</v>
      </c>
      <c r="AR183" t="s">
        <v>4005</v>
      </c>
      <c r="AS183" t="s">
        <v>4006</v>
      </c>
      <c r="AT183" t="s">
        <v>4007</v>
      </c>
      <c r="AU183">
        <v>2022</v>
      </c>
      <c r="AV183">
        <v>629</v>
      </c>
      <c r="AW183" t="s">
        <v>74</v>
      </c>
      <c r="AX183" t="s">
        <v>74</v>
      </c>
      <c r="AY183" t="s">
        <v>74</v>
      </c>
      <c r="AZ183" t="s">
        <v>74</v>
      </c>
      <c r="BA183" t="s">
        <v>74</v>
      </c>
      <c r="BB183">
        <v>159</v>
      </c>
      <c r="BC183">
        <v>164</v>
      </c>
      <c r="BD183" t="s">
        <v>74</v>
      </c>
      <c r="BE183" t="s">
        <v>4008</v>
      </c>
      <c r="BF183" t="str">
        <f>HYPERLINK("http://dx.doi.org/10.1016/j.bbrc.2022.09.008","http://dx.doi.org/10.1016/j.bbrc.2022.09.008")</f>
        <v>http://dx.doi.org/10.1016/j.bbrc.2022.09.008</v>
      </c>
      <c r="BG183" t="s">
        <v>74</v>
      </c>
      <c r="BH183" t="s">
        <v>2143</v>
      </c>
      <c r="BI183">
        <v>6</v>
      </c>
      <c r="BJ183" t="s">
        <v>4009</v>
      </c>
      <c r="BK183" t="s">
        <v>100</v>
      </c>
      <c r="BL183" t="s">
        <v>4009</v>
      </c>
      <c r="BM183" t="s">
        <v>4010</v>
      </c>
      <c r="BN183">
        <v>36122453</v>
      </c>
      <c r="BO183" t="s">
        <v>74</v>
      </c>
      <c r="BP183" t="s">
        <v>74</v>
      </c>
      <c r="BQ183" t="s">
        <v>74</v>
      </c>
      <c r="BR183" t="s">
        <v>103</v>
      </c>
      <c r="BS183" t="s">
        <v>4011</v>
      </c>
      <c r="BT183" t="str">
        <f>HYPERLINK("https%3A%2F%2Fwww.webofscience.com%2Fwos%2Fwoscc%2Ffull-record%2FWOS:000870339100009","View Full Record in Web of Science")</f>
        <v>View Full Record in Web of Science</v>
      </c>
    </row>
    <row r="184" spans="1:72" x14ac:dyDescent="0.15">
      <c r="A184" t="s">
        <v>72</v>
      </c>
      <c r="B184" t="s">
        <v>4012</v>
      </c>
      <c r="C184" t="s">
        <v>74</v>
      </c>
      <c r="D184" t="s">
        <v>74</v>
      </c>
      <c r="E184" t="s">
        <v>74</v>
      </c>
      <c r="F184" t="s">
        <v>4013</v>
      </c>
      <c r="G184" t="s">
        <v>74</v>
      </c>
      <c r="H184" t="s">
        <v>74</v>
      </c>
      <c r="I184" t="s">
        <v>4014</v>
      </c>
      <c r="J184" t="s">
        <v>4015</v>
      </c>
      <c r="K184" t="s">
        <v>74</v>
      </c>
      <c r="L184" t="s">
        <v>74</v>
      </c>
      <c r="M184" t="s">
        <v>78</v>
      </c>
      <c r="N184" t="s">
        <v>79</v>
      </c>
      <c r="O184" t="s">
        <v>74</v>
      </c>
      <c r="P184" t="s">
        <v>74</v>
      </c>
      <c r="Q184" t="s">
        <v>74</v>
      </c>
      <c r="R184" t="s">
        <v>74</v>
      </c>
      <c r="S184" t="s">
        <v>74</v>
      </c>
      <c r="T184" t="s">
        <v>74</v>
      </c>
      <c r="U184" t="s">
        <v>74</v>
      </c>
      <c r="V184" t="s">
        <v>4016</v>
      </c>
      <c r="W184" t="s">
        <v>4017</v>
      </c>
      <c r="X184" t="s">
        <v>4018</v>
      </c>
      <c r="Y184" t="s">
        <v>4019</v>
      </c>
      <c r="Z184" t="s">
        <v>4020</v>
      </c>
      <c r="AA184" t="s">
        <v>74</v>
      </c>
      <c r="AB184" t="s">
        <v>74</v>
      </c>
      <c r="AC184" t="s">
        <v>4021</v>
      </c>
      <c r="AD184" t="s">
        <v>4022</v>
      </c>
      <c r="AE184" t="s">
        <v>4023</v>
      </c>
      <c r="AF184" t="s">
        <v>74</v>
      </c>
      <c r="AG184">
        <v>20</v>
      </c>
      <c r="AH184">
        <v>1</v>
      </c>
      <c r="AI184">
        <v>1</v>
      </c>
      <c r="AJ184">
        <v>4</v>
      </c>
      <c r="AK184">
        <v>24</v>
      </c>
      <c r="AL184" t="s">
        <v>4024</v>
      </c>
      <c r="AM184" t="s">
        <v>2774</v>
      </c>
      <c r="AN184" t="s">
        <v>4025</v>
      </c>
      <c r="AO184" t="s">
        <v>4026</v>
      </c>
      <c r="AP184" t="s">
        <v>4027</v>
      </c>
      <c r="AQ184" t="s">
        <v>74</v>
      </c>
      <c r="AR184" t="s">
        <v>4028</v>
      </c>
      <c r="AS184" t="s">
        <v>4029</v>
      </c>
      <c r="AT184" t="s">
        <v>3982</v>
      </c>
      <c r="AU184">
        <v>2022</v>
      </c>
      <c r="AV184">
        <v>2022</v>
      </c>
      <c r="AW184" t="s">
        <v>74</v>
      </c>
      <c r="AX184" t="s">
        <v>74</v>
      </c>
      <c r="AY184" t="s">
        <v>74</v>
      </c>
      <c r="AZ184" t="s">
        <v>74</v>
      </c>
      <c r="BA184" t="s">
        <v>74</v>
      </c>
      <c r="BB184" t="s">
        <v>74</v>
      </c>
      <c r="BC184" t="s">
        <v>74</v>
      </c>
      <c r="BD184">
        <v>8759557</v>
      </c>
      <c r="BE184" t="s">
        <v>4030</v>
      </c>
      <c r="BF184" t="str">
        <f>HYPERLINK("http://dx.doi.org/10.1155/2022/8759557","http://dx.doi.org/10.1155/2022/8759557")</f>
        <v>http://dx.doi.org/10.1155/2022/8759557</v>
      </c>
      <c r="BG184" t="s">
        <v>74</v>
      </c>
      <c r="BH184" t="s">
        <v>74</v>
      </c>
      <c r="BI184">
        <v>10</v>
      </c>
      <c r="BJ184" t="s">
        <v>4031</v>
      </c>
      <c r="BK184" t="s">
        <v>215</v>
      </c>
      <c r="BL184" t="s">
        <v>402</v>
      </c>
      <c r="BM184" t="s">
        <v>4032</v>
      </c>
      <c r="BN184" t="s">
        <v>74</v>
      </c>
      <c r="BO184" t="s">
        <v>266</v>
      </c>
      <c r="BP184" t="s">
        <v>74</v>
      </c>
      <c r="BQ184" t="s">
        <v>74</v>
      </c>
      <c r="BR184" t="s">
        <v>103</v>
      </c>
      <c r="BS184" t="s">
        <v>4033</v>
      </c>
      <c r="BT184" t="str">
        <f>HYPERLINK("https%3A%2F%2Fwww.webofscience.com%2Fwos%2Fwoscc%2Ffull-record%2FWOS:000864066500004","View Full Record in Web of Science")</f>
        <v>View Full Record in Web of Science</v>
      </c>
    </row>
    <row r="185" spans="1:72" x14ac:dyDescent="0.15">
      <c r="A185" t="s">
        <v>72</v>
      </c>
      <c r="B185" t="s">
        <v>4034</v>
      </c>
      <c r="C185" t="s">
        <v>74</v>
      </c>
      <c r="D185" t="s">
        <v>74</v>
      </c>
      <c r="E185" t="s">
        <v>74</v>
      </c>
      <c r="F185" t="s">
        <v>4035</v>
      </c>
      <c r="G185" t="s">
        <v>74</v>
      </c>
      <c r="H185" t="s">
        <v>74</v>
      </c>
      <c r="I185" t="s">
        <v>4036</v>
      </c>
      <c r="J185" t="s">
        <v>4037</v>
      </c>
      <c r="K185" t="s">
        <v>74</v>
      </c>
      <c r="L185" t="s">
        <v>74</v>
      </c>
      <c r="M185" t="s">
        <v>78</v>
      </c>
      <c r="N185" t="s">
        <v>79</v>
      </c>
      <c r="O185" t="s">
        <v>74</v>
      </c>
      <c r="P185" t="s">
        <v>74</v>
      </c>
      <c r="Q185" t="s">
        <v>74</v>
      </c>
      <c r="R185" t="s">
        <v>74</v>
      </c>
      <c r="S185" t="s">
        <v>74</v>
      </c>
      <c r="T185" t="s">
        <v>4038</v>
      </c>
      <c r="U185" t="s">
        <v>4039</v>
      </c>
      <c r="V185" t="s">
        <v>4040</v>
      </c>
      <c r="W185" t="s">
        <v>4041</v>
      </c>
      <c r="X185" t="s">
        <v>4042</v>
      </c>
      <c r="Y185" t="s">
        <v>4043</v>
      </c>
      <c r="Z185" t="s">
        <v>4044</v>
      </c>
      <c r="AA185" t="s">
        <v>4045</v>
      </c>
      <c r="AB185" t="s">
        <v>74</v>
      </c>
      <c r="AC185" t="s">
        <v>4046</v>
      </c>
      <c r="AD185" t="s">
        <v>4047</v>
      </c>
      <c r="AE185" t="s">
        <v>4048</v>
      </c>
      <c r="AF185" t="s">
        <v>74</v>
      </c>
      <c r="AG185">
        <v>45</v>
      </c>
      <c r="AH185">
        <v>2</v>
      </c>
      <c r="AI185">
        <v>2</v>
      </c>
      <c r="AJ185">
        <v>3</v>
      </c>
      <c r="AK185">
        <v>24</v>
      </c>
      <c r="AL185" t="s">
        <v>121</v>
      </c>
      <c r="AM185" t="s">
        <v>122</v>
      </c>
      <c r="AN185" t="s">
        <v>123</v>
      </c>
      <c r="AO185" t="s">
        <v>4049</v>
      </c>
      <c r="AP185" t="s">
        <v>74</v>
      </c>
      <c r="AQ185" t="s">
        <v>74</v>
      </c>
      <c r="AR185" t="s">
        <v>4050</v>
      </c>
      <c r="AS185" t="s">
        <v>4051</v>
      </c>
      <c r="AT185" t="s">
        <v>3982</v>
      </c>
      <c r="AU185">
        <v>2022</v>
      </c>
      <c r="AV185">
        <v>14</v>
      </c>
      <c r="AW185" t="s">
        <v>74</v>
      </c>
      <c r="AX185" t="s">
        <v>74</v>
      </c>
      <c r="AY185" t="s">
        <v>74</v>
      </c>
      <c r="AZ185" t="s">
        <v>74</v>
      </c>
      <c r="BA185" t="s">
        <v>74</v>
      </c>
      <c r="BB185" t="s">
        <v>74</v>
      </c>
      <c r="BC185" t="s">
        <v>74</v>
      </c>
      <c r="BD185">
        <v>964077</v>
      </c>
      <c r="BE185" t="s">
        <v>4052</v>
      </c>
      <c r="BF185" t="str">
        <f>HYPERLINK("http://dx.doi.org/10.3389/fnagi.2022.964077","http://dx.doi.org/10.3389/fnagi.2022.964077")</f>
        <v>http://dx.doi.org/10.3389/fnagi.2022.964077</v>
      </c>
      <c r="BG185" t="s">
        <v>74</v>
      </c>
      <c r="BH185" t="s">
        <v>74</v>
      </c>
      <c r="BI185">
        <v>12</v>
      </c>
      <c r="BJ185" t="s">
        <v>4053</v>
      </c>
      <c r="BK185" t="s">
        <v>100</v>
      </c>
      <c r="BL185" t="s">
        <v>4054</v>
      </c>
      <c r="BM185" t="s">
        <v>4055</v>
      </c>
      <c r="BN185">
        <v>36185487</v>
      </c>
      <c r="BO185" t="s">
        <v>132</v>
      </c>
      <c r="BP185" t="s">
        <v>74</v>
      </c>
      <c r="BQ185" t="s">
        <v>74</v>
      </c>
      <c r="BR185" t="s">
        <v>103</v>
      </c>
      <c r="BS185" t="s">
        <v>4056</v>
      </c>
      <c r="BT185" t="str">
        <f>HYPERLINK("https%3A%2F%2Fwww.webofscience.com%2Fwos%2Fwoscc%2Ffull-record%2FWOS:000862437800001","View Full Record in Web of Science")</f>
        <v>View Full Record in Web of Science</v>
      </c>
    </row>
    <row r="186" spans="1:72" x14ac:dyDescent="0.15">
      <c r="A186" t="s">
        <v>72</v>
      </c>
      <c r="B186" t="s">
        <v>4057</v>
      </c>
      <c r="C186" t="s">
        <v>74</v>
      </c>
      <c r="D186" t="s">
        <v>74</v>
      </c>
      <c r="E186" t="s">
        <v>74</v>
      </c>
      <c r="F186" t="s">
        <v>4058</v>
      </c>
      <c r="G186" t="s">
        <v>74</v>
      </c>
      <c r="H186" t="s">
        <v>74</v>
      </c>
      <c r="I186" t="s">
        <v>4059</v>
      </c>
      <c r="J186" t="s">
        <v>4060</v>
      </c>
      <c r="K186" t="s">
        <v>74</v>
      </c>
      <c r="L186" t="s">
        <v>74</v>
      </c>
      <c r="M186" t="s">
        <v>78</v>
      </c>
      <c r="N186" t="s">
        <v>79</v>
      </c>
      <c r="O186" t="s">
        <v>74</v>
      </c>
      <c r="P186" t="s">
        <v>74</v>
      </c>
      <c r="Q186" t="s">
        <v>74</v>
      </c>
      <c r="R186" t="s">
        <v>74</v>
      </c>
      <c r="S186" t="s">
        <v>74</v>
      </c>
      <c r="T186" t="s">
        <v>4061</v>
      </c>
      <c r="U186" t="s">
        <v>4062</v>
      </c>
      <c r="V186" t="s">
        <v>4063</v>
      </c>
      <c r="W186" t="s">
        <v>4064</v>
      </c>
      <c r="X186" t="s">
        <v>4065</v>
      </c>
      <c r="Y186" t="s">
        <v>4066</v>
      </c>
      <c r="Z186" t="s">
        <v>4067</v>
      </c>
      <c r="AA186" t="s">
        <v>4068</v>
      </c>
      <c r="AB186" t="s">
        <v>74</v>
      </c>
      <c r="AC186" t="s">
        <v>74</v>
      </c>
      <c r="AD186" t="s">
        <v>74</v>
      </c>
      <c r="AE186" t="s">
        <v>74</v>
      </c>
      <c r="AF186" t="s">
        <v>74</v>
      </c>
      <c r="AG186">
        <v>38</v>
      </c>
      <c r="AH186">
        <v>4</v>
      </c>
      <c r="AI186">
        <v>4</v>
      </c>
      <c r="AJ186">
        <v>3</v>
      </c>
      <c r="AK186">
        <v>13</v>
      </c>
      <c r="AL186" t="s">
        <v>121</v>
      </c>
      <c r="AM186" t="s">
        <v>122</v>
      </c>
      <c r="AN186" t="s">
        <v>123</v>
      </c>
      <c r="AO186" t="s">
        <v>4069</v>
      </c>
      <c r="AP186" t="s">
        <v>74</v>
      </c>
      <c r="AQ186" t="s">
        <v>74</v>
      </c>
      <c r="AR186" t="s">
        <v>4070</v>
      </c>
      <c r="AS186" t="s">
        <v>4071</v>
      </c>
      <c r="AT186" t="s">
        <v>3982</v>
      </c>
      <c r="AU186">
        <v>2022</v>
      </c>
      <c r="AV186">
        <v>9</v>
      </c>
      <c r="AW186" t="s">
        <v>74</v>
      </c>
      <c r="AX186" t="s">
        <v>74</v>
      </c>
      <c r="AY186" t="s">
        <v>74</v>
      </c>
      <c r="AZ186" t="s">
        <v>74</v>
      </c>
      <c r="BA186" t="s">
        <v>74</v>
      </c>
      <c r="BB186" t="s">
        <v>74</v>
      </c>
      <c r="BC186" t="s">
        <v>74</v>
      </c>
      <c r="BD186">
        <v>1003627</v>
      </c>
      <c r="BE186" t="s">
        <v>4072</v>
      </c>
      <c r="BF186" t="str">
        <f>HYPERLINK("http://dx.doi.org/10.3389/fnut.2022.1003627","http://dx.doi.org/10.3389/fnut.2022.1003627")</f>
        <v>http://dx.doi.org/10.3389/fnut.2022.1003627</v>
      </c>
      <c r="BG186" t="s">
        <v>74</v>
      </c>
      <c r="BH186" t="s">
        <v>74</v>
      </c>
      <c r="BI186">
        <v>12</v>
      </c>
      <c r="BJ186" t="s">
        <v>784</v>
      </c>
      <c r="BK186" t="s">
        <v>100</v>
      </c>
      <c r="BL186" t="s">
        <v>784</v>
      </c>
      <c r="BM186" t="s">
        <v>4073</v>
      </c>
      <c r="BN186">
        <v>36185650</v>
      </c>
      <c r="BO186" t="s">
        <v>132</v>
      </c>
      <c r="BP186" t="s">
        <v>74</v>
      </c>
      <c r="BQ186" t="s">
        <v>74</v>
      </c>
      <c r="BR186" t="s">
        <v>103</v>
      </c>
      <c r="BS186" t="s">
        <v>4074</v>
      </c>
      <c r="BT186" t="str">
        <f>HYPERLINK("https%3A%2F%2Fwww.webofscience.com%2Fwos%2Fwoscc%2Ffull-record%2FWOS:000862454600001","View Full Record in Web of Science")</f>
        <v>View Full Record in Web of Science</v>
      </c>
    </row>
    <row r="187" spans="1:72" x14ac:dyDescent="0.15">
      <c r="A187" t="s">
        <v>72</v>
      </c>
      <c r="B187" t="s">
        <v>4075</v>
      </c>
      <c r="C187" t="s">
        <v>74</v>
      </c>
      <c r="D187" t="s">
        <v>74</v>
      </c>
      <c r="E187" t="s">
        <v>74</v>
      </c>
      <c r="F187" t="s">
        <v>4076</v>
      </c>
      <c r="G187" t="s">
        <v>74</v>
      </c>
      <c r="H187" t="s">
        <v>74</v>
      </c>
      <c r="I187" t="s">
        <v>4077</v>
      </c>
      <c r="J187" t="s">
        <v>137</v>
      </c>
      <c r="K187" t="s">
        <v>74</v>
      </c>
      <c r="L187" t="s">
        <v>74</v>
      </c>
      <c r="M187" t="s">
        <v>78</v>
      </c>
      <c r="N187" t="s">
        <v>79</v>
      </c>
      <c r="O187" t="s">
        <v>74</v>
      </c>
      <c r="P187" t="s">
        <v>74</v>
      </c>
      <c r="Q187" t="s">
        <v>74</v>
      </c>
      <c r="R187" t="s">
        <v>74</v>
      </c>
      <c r="S187" t="s">
        <v>74</v>
      </c>
      <c r="T187" t="s">
        <v>74</v>
      </c>
      <c r="U187" t="s">
        <v>4078</v>
      </c>
      <c r="V187" t="s">
        <v>4079</v>
      </c>
      <c r="W187" t="s">
        <v>4080</v>
      </c>
      <c r="X187" t="s">
        <v>4081</v>
      </c>
      <c r="Y187" t="s">
        <v>4082</v>
      </c>
      <c r="Z187" t="s">
        <v>4083</v>
      </c>
      <c r="AA187" t="s">
        <v>4084</v>
      </c>
      <c r="AB187" t="s">
        <v>4085</v>
      </c>
      <c r="AC187" t="s">
        <v>4086</v>
      </c>
      <c r="AD187" t="s">
        <v>2200</v>
      </c>
      <c r="AE187" t="s">
        <v>4087</v>
      </c>
      <c r="AF187" t="s">
        <v>74</v>
      </c>
      <c r="AG187">
        <v>86</v>
      </c>
      <c r="AH187">
        <v>3</v>
      </c>
      <c r="AI187">
        <v>3</v>
      </c>
      <c r="AJ187">
        <v>0</v>
      </c>
      <c r="AK187">
        <v>20</v>
      </c>
      <c r="AL187" t="s">
        <v>149</v>
      </c>
      <c r="AM187" t="s">
        <v>150</v>
      </c>
      <c r="AN187" t="s">
        <v>151</v>
      </c>
      <c r="AO187" t="s">
        <v>74</v>
      </c>
      <c r="AP187" t="s">
        <v>152</v>
      </c>
      <c r="AQ187" t="s">
        <v>74</v>
      </c>
      <c r="AR187" t="s">
        <v>153</v>
      </c>
      <c r="AS187" t="s">
        <v>154</v>
      </c>
      <c r="AT187" t="s">
        <v>3982</v>
      </c>
      <c r="AU187">
        <v>2022</v>
      </c>
      <c r="AV187">
        <v>13</v>
      </c>
      <c r="AW187">
        <v>1</v>
      </c>
      <c r="AX187" t="s">
        <v>74</v>
      </c>
      <c r="AY187" t="s">
        <v>74</v>
      </c>
      <c r="AZ187" t="s">
        <v>74</v>
      </c>
      <c r="BA187" t="s">
        <v>74</v>
      </c>
      <c r="BB187" t="s">
        <v>74</v>
      </c>
      <c r="BC187" t="s">
        <v>74</v>
      </c>
      <c r="BD187">
        <v>5443</v>
      </c>
      <c r="BE187" t="s">
        <v>4088</v>
      </c>
      <c r="BF187" t="str">
        <f>HYPERLINK("http://dx.doi.org/10.1038/s41467-022-33166-3","http://dx.doi.org/10.1038/s41467-022-33166-3")</f>
        <v>http://dx.doi.org/10.1038/s41467-022-33166-3</v>
      </c>
      <c r="BG187" t="s">
        <v>74</v>
      </c>
      <c r="BH187" t="s">
        <v>74</v>
      </c>
      <c r="BI187">
        <v>10</v>
      </c>
      <c r="BJ187" t="s">
        <v>156</v>
      </c>
      <c r="BK187" t="s">
        <v>100</v>
      </c>
      <c r="BL187" t="s">
        <v>157</v>
      </c>
      <c r="BM187" t="s">
        <v>4089</v>
      </c>
      <c r="BN187">
        <v>36114188</v>
      </c>
      <c r="BO187" t="s">
        <v>1655</v>
      </c>
      <c r="BP187" t="s">
        <v>74</v>
      </c>
      <c r="BQ187" t="s">
        <v>74</v>
      </c>
      <c r="BR187" t="s">
        <v>103</v>
      </c>
      <c r="BS187" t="s">
        <v>4090</v>
      </c>
      <c r="BT187" t="str">
        <f>HYPERLINK("https%3A%2F%2Fwww.webofscience.com%2Fwos%2Fwoscc%2Ffull-record%2FWOS:000854793700023","View Full Record in Web of Science")</f>
        <v>View Full Record in Web of Science</v>
      </c>
    </row>
    <row r="188" spans="1:72" x14ac:dyDescent="0.15">
      <c r="A188" t="s">
        <v>72</v>
      </c>
      <c r="B188" t="s">
        <v>4091</v>
      </c>
      <c r="C188" t="s">
        <v>74</v>
      </c>
      <c r="D188" t="s">
        <v>74</v>
      </c>
      <c r="E188" t="s">
        <v>74</v>
      </c>
      <c r="F188" t="s">
        <v>4092</v>
      </c>
      <c r="G188" t="s">
        <v>74</v>
      </c>
      <c r="H188" t="s">
        <v>74</v>
      </c>
      <c r="I188" t="s">
        <v>4093</v>
      </c>
      <c r="J188" t="s">
        <v>2738</v>
      </c>
      <c r="K188" t="s">
        <v>74</v>
      </c>
      <c r="L188" t="s">
        <v>74</v>
      </c>
      <c r="M188" t="s">
        <v>78</v>
      </c>
      <c r="N188" t="s">
        <v>79</v>
      </c>
      <c r="O188" t="s">
        <v>74</v>
      </c>
      <c r="P188" t="s">
        <v>74</v>
      </c>
      <c r="Q188" t="s">
        <v>74</v>
      </c>
      <c r="R188" t="s">
        <v>74</v>
      </c>
      <c r="S188" t="s">
        <v>74</v>
      </c>
      <c r="T188" t="s">
        <v>4094</v>
      </c>
      <c r="U188" t="s">
        <v>4095</v>
      </c>
      <c r="V188" t="s">
        <v>4096</v>
      </c>
      <c r="W188" t="s">
        <v>4097</v>
      </c>
      <c r="X188" t="s">
        <v>4098</v>
      </c>
      <c r="Y188" t="s">
        <v>4099</v>
      </c>
      <c r="Z188" t="s">
        <v>4100</v>
      </c>
      <c r="AA188" t="s">
        <v>4101</v>
      </c>
      <c r="AB188" t="s">
        <v>4102</v>
      </c>
      <c r="AC188" t="s">
        <v>4103</v>
      </c>
      <c r="AD188" t="s">
        <v>4104</v>
      </c>
      <c r="AE188" t="s">
        <v>4105</v>
      </c>
      <c r="AF188" t="s">
        <v>74</v>
      </c>
      <c r="AG188">
        <v>69</v>
      </c>
      <c r="AH188">
        <v>6</v>
      </c>
      <c r="AI188">
        <v>6</v>
      </c>
      <c r="AJ188">
        <v>8</v>
      </c>
      <c r="AK188">
        <v>28</v>
      </c>
      <c r="AL188" t="s">
        <v>946</v>
      </c>
      <c r="AM188" t="s">
        <v>207</v>
      </c>
      <c r="AN188" t="s">
        <v>947</v>
      </c>
      <c r="AO188" t="s">
        <v>2751</v>
      </c>
      <c r="AP188" t="s">
        <v>2752</v>
      </c>
      <c r="AQ188" t="s">
        <v>74</v>
      </c>
      <c r="AR188" t="s">
        <v>2753</v>
      </c>
      <c r="AS188" t="s">
        <v>2754</v>
      </c>
      <c r="AT188" t="s">
        <v>3982</v>
      </c>
      <c r="AU188">
        <v>2022</v>
      </c>
      <c r="AV188">
        <v>127</v>
      </c>
      <c r="AW188">
        <v>17</v>
      </c>
      <c r="AX188" t="s">
        <v>74</v>
      </c>
      <c r="AY188" t="s">
        <v>74</v>
      </c>
      <c r="AZ188" t="s">
        <v>74</v>
      </c>
      <c r="BA188" t="s">
        <v>74</v>
      </c>
      <c r="BB188" t="s">
        <v>74</v>
      </c>
      <c r="BC188" t="s">
        <v>74</v>
      </c>
      <c r="BD188" t="s">
        <v>4106</v>
      </c>
      <c r="BE188" t="s">
        <v>4107</v>
      </c>
      <c r="BF188" t="str">
        <f>HYPERLINK("http://dx.doi.org/10.1029/2022JD036851","http://dx.doi.org/10.1029/2022JD036851")</f>
        <v>http://dx.doi.org/10.1029/2022JD036851</v>
      </c>
      <c r="BG188" t="s">
        <v>74</v>
      </c>
      <c r="BH188" t="s">
        <v>74</v>
      </c>
      <c r="BI188">
        <v>17</v>
      </c>
      <c r="BJ188" t="s">
        <v>457</v>
      </c>
      <c r="BK188" t="s">
        <v>100</v>
      </c>
      <c r="BL188" t="s">
        <v>457</v>
      </c>
      <c r="BM188" t="s">
        <v>4108</v>
      </c>
      <c r="BN188" t="s">
        <v>74</v>
      </c>
      <c r="BO188" t="s">
        <v>831</v>
      </c>
      <c r="BP188" t="s">
        <v>74</v>
      </c>
      <c r="BQ188" t="s">
        <v>74</v>
      </c>
      <c r="BR188" t="s">
        <v>103</v>
      </c>
      <c r="BS188" t="s">
        <v>4109</v>
      </c>
      <c r="BT188" t="str">
        <f>HYPERLINK("https%3A%2F%2Fwww.webofscience.com%2Fwos%2Fwoscc%2Ffull-record%2FWOS:000855302500001","View Full Record in Web of Science")</f>
        <v>View Full Record in Web of Science</v>
      </c>
    </row>
    <row r="189" spans="1:72" x14ac:dyDescent="0.15">
      <c r="A189" t="s">
        <v>72</v>
      </c>
      <c r="B189" t="s">
        <v>4110</v>
      </c>
      <c r="C189" t="s">
        <v>74</v>
      </c>
      <c r="D189" t="s">
        <v>74</v>
      </c>
      <c r="E189" t="s">
        <v>74</v>
      </c>
      <c r="F189" t="s">
        <v>4111</v>
      </c>
      <c r="G189" t="s">
        <v>74</v>
      </c>
      <c r="H189" t="s">
        <v>74</v>
      </c>
      <c r="I189" t="s">
        <v>4112</v>
      </c>
      <c r="J189" t="s">
        <v>3244</v>
      </c>
      <c r="K189" t="s">
        <v>74</v>
      </c>
      <c r="L189" t="s">
        <v>74</v>
      </c>
      <c r="M189" t="s">
        <v>78</v>
      </c>
      <c r="N189" t="s">
        <v>79</v>
      </c>
      <c r="O189" t="s">
        <v>74</v>
      </c>
      <c r="P189" t="s">
        <v>74</v>
      </c>
      <c r="Q189" t="s">
        <v>74</v>
      </c>
      <c r="R189" t="s">
        <v>74</v>
      </c>
      <c r="S189" t="s">
        <v>74</v>
      </c>
      <c r="T189" t="s">
        <v>74</v>
      </c>
      <c r="U189" t="s">
        <v>4113</v>
      </c>
      <c r="V189" t="s">
        <v>4114</v>
      </c>
      <c r="W189" t="s">
        <v>4115</v>
      </c>
      <c r="X189" t="s">
        <v>4116</v>
      </c>
      <c r="Y189" t="s">
        <v>4117</v>
      </c>
      <c r="Z189" t="s">
        <v>4118</v>
      </c>
      <c r="AA189" t="s">
        <v>4119</v>
      </c>
      <c r="AB189" t="s">
        <v>4120</v>
      </c>
      <c r="AC189" t="s">
        <v>4121</v>
      </c>
      <c r="AD189" t="s">
        <v>4122</v>
      </c>
      <c r="AE189" t="s">
        <v>4123</v>
      </c>
      <c r="AF189" t="s">
        <v>74</v>
      </c>
      <c r="AG189">
        <v>75</v>
      </c>
      <c r="AH189">
        <v>0</v>
      </c>
      <c r="AI189">
        <v>0</v>
      </c>
      <c r="AJ189">
        <v>3</v>
      </c>
      <c r="AK189">
        <v>8</v>
      </c>
      <c r="AL189" t="s">
        <v>2460</v>
      </c>
      <c r="AM189" t="s">
        <v>2461</v>
      </c>
      <c r="AN189" t="s">
        <v>2462</v>
      </c>
      <c r="AO189" t="s">
        <v>3256</v>
      </c>
      <c r="AP189" t="s">
        <v>3257</v>
      </c>
      <c r="AQ189" t="s">
        <v>74</v>
      </c>
      <c r="AR189" t="s">
        <v>3258</v>
      </c>
      <c r="AS189" t="s">
        <v>3259</v>
      </c>
      <c r="AT189" t="s">
        <v>3982</v>
      </c>
      <c r="AU189">
        <v>2022</v>
      </c>
      <c r="AV189">
        <v>22</v>
      </c>
      <c r="AW189">
        <v>18</v>
      </c>
      <c r="AX189" t="s">
        <v>74</v>
      </c>
      <c r="AY189" t="s">
        <v>74</v>
      </c>
      <c r="AZ189" t="s">
        <v>74</v>
      </c>
      <c r="BA189" t="s">
        <v>74</v>
      </c>
      <c r="BB189">
        <v>12025</v>
      </c>
      <c r="BC189">
        <v>12054</v>
      </c>
      <c r="BD189" t="s">
        <v>74</v>
      </c>
      <c r="BE189" t="s">
        <v>4124</v>
      </c>
      <c r="BF189" t="str">
        <f>HYPERLINK("http://dx.doi.org/10.5194/acp-22-12025-2022","http://dx.doi.org/10.5194/acp-22-12025-2022")</f>
        <v>http://dx.doi.org/10.5194/acp-22-12025-2022</v>
      </c>
      <c r="BG189" t="s">
        <v>74</v>
      </c>
      <c r="BH189" t="s">
        <v>74</v>
      </c>
      <c r="BI189">
        <v>30</v>
      </c>
      <c r="BJ189" t="s">
        <v>1129</v>
      </c>
      <c r="BK189" t="s">
        <v>100</v>
      </c>
      <c r="BL189" t="s">
        <v>1130</v>
      </c>
      <c r="BM189" t="s">
        <v>4125</v>
      </c>
      <c r="BN189" t="s">
        <v>74</v>
      </c>
      <c r="BO189" t="s">
        <v>4126</v>
      </c>
      <c r="BP189" t="s">
        <v>74</v>
      </c>
      <c r="BQ189" t="s">
        <v>74</v>
      </c>
      <c r="BR189" t="s">
        <v>103</v>
      </c>
      <c r="BS189" t="s">
        <v>4127</v>
      </c>
      <c r="BT189" t="str">
        <f>HYPERLINK("https%3A%2F%2Fwww.webofscience.com%2Fwos%2Fwoscc%2Ffull-record%2FWOS:000854218200001","View Full Record in Web of Science")</f>
        <v>View Full Record in Web of Science</v>
      </c>
    </row>
    <row r="190" spans="1:72" x14ac:dyDescent="0.15">
      <c r="A190" t="s">
        <v>72</v>
      </c>
      <c r="B190" t="s">
        <v>4128</v>
      </c>
      <c r="C190" t="s">
        <v>74</v>
      </c>
      <c r="D190" t="s">
        <v>74</v>
      </c>
      <c r="E190" t="s">
        <v>74</v>
      </c>
      <c r="F190" t="s">
        <v>4129</v>
      </c>
      <c r="G190" t="s">
        <v>74</v>
      </c>
      <c r="H190" t="s">
        <v>74</v>
      </c>
      <c r="I190" t="s">
        <v>4130</v>
      </c>
      <c r="J190" t="s">
        <v>2738</v>
      </c>
      <c r="K190" t="s">
        <v>74</v>
      </c>
      <c r="L190" t="s">
        <v>74</v>
      </c>
      <c r="M190" t="s">
        <v>78</v>
      </c>
      <c r="N190" t="s">
        <v>79</v>
      </c>
      <c r="O190" t="s">
        <v>74</v>
      </c>
      <c r="P190" t="s">
        <v>74</v>
      </c>
      <c r="Q190" t="s">
        <v>74</v>
      </c>
      <c r="R190" t="s">
        <v>74</v>
      </c>
      <c r="S190" t="s">
        <v>74</v>
      </c>
      <c r="T190" t="s">
        <v>4131</v>
      </c>
      <c r="U190" t="s">
        <v>4132</v>
      </c>
      <c r="V190" t="s">
        <v>4133</v>
      </c>
      <c r="W190" t="s">
        <v>4134</v>
      </c>
      <c r="X190" t="s">
        <v>4135</v>
      </c>
      <c r="Y190" t="s">
        <v>4136</v>
      </c>
      <c r="Z190" t="s">
        <v>4137</v>
      </c>
      <c r="AA190" t="s">
        <v>4138</v>
      </c>
      <c r="AB190" t="s">
        <v>4139</v>
      </c>
      <c r="AC190" t="s">
        <v>4140</v>
      </c>
      <c r="AD190" t="s">
        <v>4141</v>
      </c>
      <c r="AE190" t="s">
        <v>4142</v>
      </c>
      <c r="AF190" t="s">
        <v>74</v>
      </c>
      <c r="AG190">
        <v>55</v>
      </c>
      <c r="AH190">
        <v>2</v>
      </c>
      <c r="AI190">
        <v>2</v>
      </c>
      <c r="AJ190">
        <v>1</v>
      </c>
      <c r="AK190">
        <v>2</v>
      </c>
      <c r="AL190" t="s">
        <v>946</v>
      </c>
      <c r="AM190" t="s">
        <v>207</v>
      </c>
      <c r="AN190" t="s">
        <v>947</v>
      </c>
      <c r="AO190" t="s">
        <v>2751</v>
      </c>
      <c r="AP190" t="s">
        <v>2752</v>
      </c>
      <c r="AQ190" t="s">
        <v>74</v>
      </c>
      <c r="AR190" t="s">
        <v>2753</v>
      </c>
      <c r="AS190" t="s">
        <v>2754</v>
      </c>
      <c r="AT190" t="s">
        <v>3982</v>
      </c>
      <c r="AU190">
        <v>2022</v>
      </c>
      <c r="AV190">
        <v>127</v>
      </c>
      <c r="AW190">
        <v>17</v>
      </c>
      <c r="AX190" t="s">
        <v>74</v>
      </c>
      <c r="AY190" t="s">
        <v>74</v>
      </c>
      <c r="AZ190" t="s">
        <v>74</v>
      </c>
      <c r="BA190" t="s">
        <v>74</v>
      </c>
      <c r="BB190" t="s">
        <v>74</v>
      </c>
      <c r="BC190" t="s">
        <v>74</v>
      </c>
      <c r="BD190" t="s">
        <v>4143</v>
      </c>
      <c r="BE190" t="s">
        <v>4144</v>
      </c>
      <c r="BF190" t="str">
        <f>HYPERLINK("http://dx.doi.org/10.1029/2022JD036582","http://dx.doi.org/10.1029/2022JD036582")</f>
        <v>http://dx.doi.org/10.1029/2022JD036582</v>
      </c>
      <c r="BG190" t="s">
        <v>74</v>
      </c>
      <c r="BH190" t="s">
        <v>74</v>
      </c>
      <c r="BI190">
        <v>14</v>
      </c>
      <c r="BJ190" t="s">
        <v>457</v>
      </c>
      <c r="BK190" t="s">
        <v>100</v>
      </c>
      <c r="BL190" t="s">
        <v>457</v>
      </c>
      <c r="BM190" t="s">
        <v>4145</v>
      </c>
      <c r="BN190" t="s">
        <v>74</v>
      </c>
      <c r="BO190" t="s">
        <v>74</v>
      </c>
      <c r="BP190" t="s">
        <v>74</v>
      </c>
      <c r="BQ190" t="s">
        <v>74</v>
      </c>
      <c r="BR190" t="s">
        <v>103</v>
      </c>
      <c r="BS190" t="s">
        <v>4146</v>
      </c>
      <c r="BT190" t="str">
        <f>HYPERLINK("https%3A%2F%2Fwww.webofscience.com%2Fwos%2Fwoscc%2Ffull-record%2FWOS:000853444900001","View Full Record in Web of Science")</f>
        <v>View Full Record in Web of Science</v>
      </c>
    </row>
    <row r="191" spans="1:72" x14ac:dyDescent="0.15">
      <c r="A191" t="s">
        <v>72</v>
      </c>
      <c r="B191" t="s">
        <v>4147</v>
      </c>
      <c r="C191" t="s">
        <v>74</v>
      </c>
      <c r="D191" t="s">
        <v>74</v>
      </c>
      <c r="E191" t="s">
        <v>74</v>
      </c>
      <c r="F191" t="s">
        <v>4148</v>
      </c>
      <c r="G191" t="s">
        <v>74</v>
      </c>
      <c r="H191" t="s">
        <v>74</v>
      </c>
      <c r="I191" t="s">
        <v>4149</v>
      </c>
      <c r="J191" t="s">
        <v>2738</v>
      </c>
      <c r="K191" t="s">
        <v>74</v>
      </c>
      <c r="L191" t="s">
        <v>74</v>
      </c>
      <c r="M191" t="s">
        <v>78</v>
      </c>
      <c r="N191" t="s">
        <v>79</v>
      </c>
      <c r="O191" t="s">
        <v>74</v>
      </c>
      <c r="P191" t="s">
        <v>74</v>
      </c>
      <c r="Q191" t="s">
        <v>74</v>
      </c>
      <c r="R191" t="s">
        <v>74</v>
      </c>
      <c r="S191" t="s">
        <v>74</v>
      </c>
      <c r="T191" t="s">
        <v>4150</v>
      </c>
      <c r="U191" t="s">
        <v>4151</v>
      </c>
      <c r="V191" t="s">
        <v>4152</v>
      </c>
      <c r="W191" t="s">
        <v>4153</v>
      </c>
      <c r="X191" t="s">
        <v>4154</v>
      </c>
      <c r="Y191" t="s">
        <v>4155</v>
      </c>
      <c r="Z191" t="s">
        <v>4156</v>
      </c>
      <c r="AA191" t="s">
        <v>4157</v>
      </c>
      <c r="AB191" t="s">
        <v>4158</v>
      </c>
      <c r="AC191" t="s">
        <v>4159</v>
      </c>
      <c r="AD191" t="s">
        <v>4160</v>
      </c>
      <c r="AE191" t="s">
        <v>4161</v>
      </c>
      <c r="AF191" t="s">
        <v>74</v>
      </c>
      <c r="AG191">
        <v>60</v>
      </c>
      <c r="AH191">
        <v>1</v>
      </c>
      <c r="AI191">
        <v>1</v>
      </c>
      <c r="AJ191">
        <v>2</v>
      </c>
      <c r="AK191">
        <v>20</v>
      </c>
      <c r="AL191" t="s">
        <v>946</v>
      </c>
      <c r="AM191" t="s">
        <v>207</v>
      </c>
      <c r="AN191" t="s">
        <v>947</v>
      </c>
      <c r="AO191" t="s">
        <v>2751</v>
      </c>
      <c r="AP191" t="s">
        <v>2752</v>
      </c>
      <c r="AQ191" t="s">
        <v>74</v>
      </c>
      <c r="AR191" t="s">
        <v>2753</v>
      </c>
      <c r="AS191" t="s">
        <v>2754</v>
      </c>
      <c r="AT191" t="s">
        <v>3982</v>
      </c>
      <c r="AU191">
        <v>2022</v>
      </c>
      <c r="AV191">
        <v>127</v>
      </c>
      <c r="AW191">
        <v>17</v>
      </c>
      <c r="AX191" t="s">
        <v>74</v>
      </c>
      <c r="AY191" t="s">
        <v>74</v>
      </c>
      <c r="AZ191" t="s">
        <v>74</v>
      </c>
      <c r="BA191" t="s">
        <v>74</v>
      </c>
      <c r="BB191" t="s">
        <v>74</v>
      </c>
      <c r="BC191" t="s">
        <v>74</v>
      </c>
      <c r="BD191" t="s">
        <v>4162</v>
      </c>
      <c r="BE191" t="s">
        <v>4163</v>
      </c>
      <c r="BF191" t="str">
        <f>HYPERLINK("http://dx.doi.org/10.1029/2022JD036762","http://dx.doi.org/10.1029/2022JD036762")</f>
        <v>http://dx.doi.org/10.1029/2022JD036762</v>
      </c>
      <c r="BG191" t="s">
        <v>74</v>
      </c>
      <c r="BH191" t="s">
        <v>74</v>
      </c>
      <c r="BI191">
        <v>21</v>
      </c>
      <c r="BJ191" t="s">
        <v>457</v>
      </c>
      <c r="BK191" t="s">
        <v>100</v>
      </c>
      <c r="BL191" t="s">
        <v>457</v>
      </c>
      <c r="BM191" t="s">
        <v>4164</v>
      </c>
      <c r="BN191" t="s">
        <v>74</v>
      </c>
      <c r="BO191" t="s">
        <v>74</v>
      </c>
      <c r="BP191" t="s">
        <v>74</v>
      </c>
      <c r="BQ191" t="s">
        <v>74</v>
      </c>
      <c r="BR191" t="s">
        <v>103</v>
      </c>
      <c r="BS191" t="s">
        <v>4165</v>
      </c>
      <c r="BT191" t="str">
        <f>HYPERLINK("https%3A%2F%2Fwww.webofscience.com%2Fwos%2Fwoscc%2Ffull-record%2FWOS:000849822200001","View Full Record in Web of Science")</f>
        <v>View Full Record in Web of Science</v>
      </c>
    </row>
    <row r="192" spans="1:72" x14ac:dyDescent="0.15">
      <c r="A192" t="s">
        <v>72</v>
      </c>
      <c r="B192" t="s">
        <v>4166</v>
      </c>
      <c r="C192" t="s">
        <v>74</v>
      </c>
      <c r="D192" t="s">
        <v>74</v>
      </c>
      <c r="E192" t="s">
        <v>74</v>
      </c>
      <c r="F192" t="s">
        <v>4167</v>
      </c>
      <c r="G192" t="s">
        <v>74</v>
      </c>
      <c r="H192" t="s">
        <v>74</v>
      </c>
      <c r="I192" t="s">
        <v>4168</v>
      </c>
      <c r="J192" t="s">
        <v>4169</v>
      </c>
      <c r="K192" t="s">
        <v>74</v>
      </c>
      <c r="L192" t="s">
        <v>74</v>
      </c>
      <c r="M192" t="s">
        <v>78</v>
      </c>
      <c r="N192" t="s">
        <v>79</v>
      </c>
      <c r="O192" t="s">
        <v>74</v>
      </c>
      <c r="P192" t="s">
        <v>74</v>
      </c>
      <c r="Q192" t="s">
        <v>74</v>
      </c>
      <c r="R192" t="s">
        <v>74</v>
      </c>
      <c r="S192" t="s">
        <v>74</v>
      </c>
      <c r="T192" t="s">
        <v>74</v>
      </c>
      <c r="U192" t="s">
        <v>4170</v>
      </c>
      <c r="V192" t="s">
        <v>4171</v>
      </c>
      <c r="W192" t="s">
        <v>4172</v>
      </c>
      <c r="X192" t="s">
        <v>4173</v>
      </c>
      <c r="Y192" t="s">
        <v>4174</v>
      </c>
      <c r="Z192" t="s">
        <v>4175</v>
      </c>
      <c r="AA192" t="s">
        <v>4176</v>
      </c>
      <c r="AB192" t="s">
        <v>4177</v>
      </c>
      <c r="AC192" t="s">
        <v>74</v>
      </c>
      <c r="AD192" t="s">
        <v>74</v>
      </c>
      <c r="AE192" t="s">
        <v>74</v>
      </c>
      <c r="AF192" t="s">
        <v>74</v>
      </c>
      <c r="AG192">
        <v>53</v>
      </c>
      <c r="AH192">
        <v>2</v>
      </c>
      <c r="AI192">
        <v>2</v>
      </c>
      <c r="AJ192">
        <v>1</v>
      </c>
      <c r="AK192">
        <v>5</v>
      </c>
      <c r="AL192" t="s">
        <v>421</v>
      </c>
      <c r="AM192" t="s">
        <v>422</v>
      </c>
      <c r="AN192" t="s">
        <v>423</v>
      </c>
      <c r="AO192" t="s">
        <v>4178</v>
      </c>
      <c r="AP192" t="s">
        <v>74</v>
      </c>
      <c r="AQ192" t="s">
        <v>74</v>
      </c>
      <c r="AR192" t="s">
        <v>4169</v>
      </c>
      <c r="AS192" t="s">
        <v>4179</v>
      </c>
      <c r="AT192" t="s">
        <v>4180</v>
      </c>
      <c r="AU192">
        <v>2022</v>
      </c>
      <c r="AV192">
        <v>17</v>
      </c>
      <c r="AW192">
        <v>9</v>
      </c>
      <c r="AX192" t="s">
        <v>74</v>
      </c>
      <c r="AY192" t="s">
        <v>74</v>
      </c>
      <c r="AZ192" t="s">
        <v>74</v>
      </c>
      <c r="BA192" t="s">
        <v>74</v>
      </c>
      <c r="BB192" t="s">
        <v>74</v>
      </c>
      <c r="BC192" t="s">
        <v>74</v>
      </c>
      <c r="BD192" t="s">
        <v>4181</v>
      </c>
      <c r="BE192" t="s">
        <v>4182</v>
      </c>
      <c r="BF192" t="str">
        <f>HYPERLINK("http://dx.doi.org/10.1371/journal.pone.0255868","http://dx.doi.org/10.1371/journal.pone.0255868")</f>
        <v>http://dx.doi.org/10.1371/journal.pone.0255868</v>
      </c>
      <c r="BG192" t="s">
        <v>74</v>
      </c>
      <c r="BH192" t="s">
        <v>74</v>
      </c>
      <c r="BI192">
        <v>13</v>
      </c>
      <c r="BJ192" t="s">
        <v>156</v>
      </c>
      <c r="BK192" t="s">
        <v>100</v>
      </c>
      <c r="BL192" t="s">
        <v>157</v>
      </c>
      <c r="BM192" t="s">
        <v>4183</v>
      </c>
      <c r="BN192">
        <v>36107936</v>
      </c>
      <c r="BO192" t="s">
        <v>159</v>
      </c>
      <c r="BP192" t="s">
        <v>74</v>
      </c>
      <c r="BQ192" t="s">
        <v>74</v>
      </c>
      <c r="BR192" t="s">
        <v>103</v>
      </c>
      <c r="BS192" t="s">
        <v>4184</v>
      </c>
      <c r="BT192" t="str">
        <f>HYPERLINK("https%3A%2F%2Fwww.webofscience.com%2Fwos%2Fwoscc%2Ffull-record%2FWOS:000892087100001","View Full Record in Web of Science")</f>
        <v>View Full Record in Web of Science</v>
      </c>
    </row>
    <row r="193" spans="1:72" x14ac:dyDescent="0.15">
      <c r="A193" t="s">
        <v>72</v>
      </c>
      <c r="B193" t="s">
        <v>4185</v>
      </c>
      <c r="C193" t="s">
        <v>74</v>
      </c>
      <c r="D193" t="s">
        <v>74</v>
      </c>
      <c r="E193" t="s">
        <v>74</v>
      </c>
      <c r="F193" t="s">
        <v>4186</v>
      </c>
      <c r="G193" t="s">
        <v>74</v>
      </c>
      <c r="H193" t="s">
        <v>74</v>
      </c>
      <c r="I193" t="s">
        <v>4187</v>
      </c>
      <c r="J193" t="s">
        <v>247</v>
      </c>
      <c r="K193" t="s">
        <v>74</v>
      </c>
      <c r="L193" t="s">
        <v>74</v>
      </c>
      <c r="M193" t="s">
        <v>78</v>
      </c>
      <c r="N193" t="s">
        <v>79</v>
      </c>
      <c r="O193" t="s">
        <v>74</v>
      </c>
      <c r="P193" t="s">
        <v>74</v>
      </c>
      <c r="Q193" t="s">
        <v>74</v>
      </c>
      <c r="R193" t="s">
        <v>74</v>
      </c>
      <c r="S193" t="s">
        <v>74</v>
      </c>
      <c r="T193" t="s">
        <v>4188</v>
      </c>
      <c r="U193" t="s">
        <v>4189</v>
      </c>
      <c r="V193" t="s">
        <v>4190</v>
      </c>
      <c r="W193" t="s">
        <v>4191</v>
      </c>
      <c r="X193" t="s">
        <v>4192</v>
      </c>
      <c r="Y193" t="s">
        <v>4193</v>
      </c>
      <c r="Z193" t="s">
        <v>4194</v>
      </c>
      <c r="AA193" t="s">
        <v>74</v>
      </c>
      <c r="AB193" t="s">
        <v>74</v>
      </c>
      <c r="AC193" t="s">
        <v>4195</v>
      </c>
      <c r="AD193" t="s">
        <v>4196</v>
      </c>
      <c r="AE193" t="s">
        <v>4197</v>
      </c>
      <c r="AF193" t="s">
        <v>74</v>
      </c>
      <c r="AG193">
        <v>55</v>
      </c>
      <c r="AH193">
        <v>0</v>
      </c>
      <c r="AI193">
        <v>0</v>
      </c>
      <c r="AJ193">
        <v>1</v>
      </c>
      <c r="AK193">
        <v>10</v>
      </c>
      <c r="AL193" t="s">
        <v>121</v>
      </c>
      <c r="AM193" t="s">
        <v>122</v>
      </c>
      <c r="AN193" t="s">
        <v>123</v>
      </c>
      <c r="AO193" t="s">
        <v>74</v>
      </c>
      <c r="AP193" t="s">
        <v>258</v>
      </c>
      <c r="AQ193" t="s">
        <v>74</v>
      </c>
      <c r="AR193" t="s">
        <v>259</v>
      </c>
      <c r="AS193" t="s">
        <v>260</v>
      </c>
      <c r="AT193" t="s">
        <v>4180</v>
      </c>
      <c r="AU193">
        <v>2022</v>
      </c>
      <c r="AV193">
        <v>9</v>
      </c>
      <c r="AW193" t="s">
        <v>74</v>
      </c>
      <c r="AX193" t="s">
        <v>74</v>
      </c>
      <c r="AY193" t="s">
        <v>74</v>
      </c>
      <c r="AZ193" t="s">
        <v>74</v>
      </c>
      <c r="BA193" t="s">
        <v>74</v>
      </c>
      <c r="BB193" t="s">
        <v>74</v>
      </c>
      <c r="BC193" t="s">
        <v>74</v>
      </c>
      <c r="BD193">
        <v>934504</v>
      </c>
      <c r="BE193" t="s">
        <v>4198</v>
      </c>
      <c r="BF193" t="str">
        <f>HYPERLINK("http://dx.doi.org/10.3389/fmars.2022.934504","http://dx.doi.org/10.3389/fmars.2022.934504")</f>
        <v>http://dx.doi.org/10.3389/fmars.2022.934504</v>
      </c>
      <c r="BG193" t="s">
        <v>74</v>
      </c>
      <c r="BH193" t="s">
        <v>74</v>
      </c>
      <c r="BI193">
        <v>13</v>
      </c>
      <c r="BJ193" t="s">
        <v>263</v>
      </c>
      <c r="BK193" t="s">
        <v>100</v>
      </c>
      <c r="BL193" t="s">
        <v>264</v>
      </c>
      <c r="BM193" t="s">
        <v>4199</v>
      </c>
      <c r="BN193" t="s">
        <v>74</v>
      </c>
      <c r="BO193" t="s">
        <v>266</v>
      </c>
      <c r="BP193" t="s">
        <v>74</v>
      </c>
      <c r="BQ193" t="s">
        <v>74</v>
      </c>
      <c r="BR193" t="s">
        <v>103</v>
      </c>
      <c r="BS193" t="s">
        <v>4200</v>
      </c>
      <c r="BT193" t="str">
        <f>HYPERLINK("https%3A%2F%2Fwww.webofscience.com%2Fwos%2Fwoscc%2Ffull-record%2FWOS:000864651700001","View Full Record in Web of Science")</f>
        <v>View Full Record in Web of Science</v>
      </c>
    </row>
    <row r="194" spans="1:72" x14ac:dyDescent="0.15">
      <c r="A194" t="s">
        <v>72</v>
      </c>
      <c r="B194" t="s">
        <v>4201</v>
      </c>
      <c r="C194" t="s">
        <v>74</v>
      </c>
      <c r="D194" t="s">
        <v>74</v>
      </c>
      <c r="E194" t="s">
        <v>74</v>
      </c>
      <c r="F194" t="s">
        <v>4202</v>
      </c>
      <c r="G194" t="s">
        <v>74</v>
      </c>
      <c r="H194" t="s">
        <v>74</v>
      </c>
      <c r="I194" t="s">
        <v>4203</v>
      </c>
      <c r="J194" t="s">
        <v>1839</v>
      </c>
      <c r="K194" t="s">
        <v>74</v>
      </c>
      <c r="L194" t="s">
        <v>74</v>
      </c>
      <c r="M194" t="s">
        <v>78</v>
      </c>
      <c r="N194" t="s">
        <v>79</v>
      </c>
      <c r="O194" t="s">
        <v>74</v>
      </c>
      <c r="P194" t="s">
        <v>74</v>
      </c>
      <c r="Q194" t="s">
        <v>74</v>
      </c>
      <c r="R194" t="s">
        <v>74</v>
      </c>
      <c r="S194" t="s">
        <v>74</v>
      </c>
      <c r="T194" t="s">
        <v>4204</v>
      </c>
      <c r="U194" t="s">
        <v>4205</v>
      </c>
      <c r="V194" t="s">
        <v>4206</v>
      </c>
      <c r="W194" t="s">
        <v>4207</v>
      </c>
      <c r="X194" t="s">
        <v>4208</v>
      </c>
      <c r="Y194" t="s">
        <v>4209</v>
      </c>
      <c r="Z194" t="s">
        <v>74</v>
      </c>
      <c r="AA194" t="s">
        <v>4210</v>
      </c>
      <c r="AB194" t="s">
        <v>4211</v>
      </c>
      <c r="AC194" t="s">
        <v>4212</v>
      </c>
      <c r="AD194" t="s">
        <v>4213</v>
      </c>
      <c r="AE194" t="s">
        <v>4214</v>
      </c>
      <c r="AF194" t="s">
        <v>74</v>
      </c>
      <c r="AG194">
        <v>75</v>
      </c>
      <c r="AH194">
        <v>3</v>
      </c>
      <c r="AI194">
        <v>3</v>
      </c>
      <c r="AJ194">
        <v>2</v>
      </c>
      <c r="AK194">
        <v>15</v>
      </c>
      <c r="AL194" t="s">
        <v>1065</v>
      </c>
      <c r="AM194" t="s">
        <v>1066</v>
      </c>
      <c r="AN194" t="s">
        <v>1067</v>
      </c>
      <c r="AO194" t="s">
        <v>1851</v>
      </c>
      <c r="AP194" t="s">
        <v>1852</v>
      </c>
      <c r="AQ194" t="s">
        <v>74</v>
      </c>
      <c r="AR194" t="s">
        <v>1853</v>
      </c>
      <c r="AS194" t="s">
        <v>1854</v>
      </c>
      <c r="AT194" t="s">
        <v>4180</v>
      </c>
      <c r="AU194">
        <v>2022</v>
      </c>
      <c r="AV194">
        <v>35</v>
      </c>
      <c r="AW194">
        <v>18</v>
      </c>
      <c r="AX194" t="s">
        <v>74</v>
      </c>
      <c r="AY194" t="s">
        <v>74</v>
      </c>
      <c r="AZ194" t="s">
        <v>74</v>
      </c>
      <c r="BA194" t="s">
        <v>74</v>
      </c>
      <c r="BB194">
        <v>5805</v>
      </c>
      <c r="BC194">
        <v>5821</v>
      </c>
      <c r="BD194" t="s">
        <v>74</v>
      </c>
      <c r="BE194" t="s">
        <v>4215</v>
      </c>
      <c r="BF194" t="str">
        <f>HYPERLINK("http://dx.doi.org/10.1175/JCLI-D-21-0896.1","http://dx.doi.org/10.1175/JCLI-D-21-0896.1")</f>
        <v>http://dx.doi.org/10.1175/JCLI-D-21-0896.1</v>
      </c>
      <c r="BG194" t="s">
        <v>74</v>
      </c>
      <c r="BH194" t="s">
        <v>74</v>
      </c>
      <c r="BI194">
        <v>17</v>
      </c>
      <c r="BJ194" t="s">
        <v>457</v>
      </c>
      <c r="BK194" t="s">
        <v>100</v>
      </c>
      <c r="BL194" t="s">
        <v>457</v>
      </c>
      <c r="BM194" t="s">
        <v>4216</v>
      </c>
      <c r="BN194" t="s">
        <v>74</v>
      </c>
      <c r="BO194" t="s">
        <v>4217</v>
      </c>
      <c r="BP194" t="s">
        <v>74</v>
      </c>
      <c r="BQ194" t="s">
        <v>74</v>
      </c>
      <c r="BR194" t="s">
        <v>103</v>
      </c>
      <c r="BS194" t="s">
        <v>4218</v>
      </c>
      <c r="BT194" t="str">
        <f>HYPERLINK("https%3A%2F%2Fwww.webofscience.com%2Fwos%2Fwoscc%2Ffull-record%2FWOS:000862950100001","View Full Record in Web of Science")</f>
        <v>View Full Record in Web of Science</v>
      </c>
    </row>
    <row r="195" spans="1:72" x14ac:dyDescent="0.15">
      <c r="A195" t="s">
        <v>72</v>
      </c>
      <c r="B195" t="s">
        <v>4219</v>
      </c>
      <c r="C195" t="s">
        <v>74</v>
      </c>
      <c r="D195" t="s">
        <v>74</v>
      </c>
      <c r="E195" t="s">
        <v>74</v>
      </c>
      <c r="F195" t="s">
        <v>4220</v>
      </c>
      <c r="G195" t="s">
        <v>74</v>
      </c>
      <c r="H195" t="s">
        <v>74</v>
      </c>
      <c r="I195" t="s">
        <v>4221</v>
      </c>
      <c r="J195" t="s">
        <v>1839</v>
      </c>
      <c r="K195" t="s">
        <v>74</v>
      </c>
      <c r="L195" t="s">
        <v>74</v>
      </c>
      <c r="M195" t="s">
        <v>78</v>
      </c>
      <c r="N195" t="s">
        <v>79</v>
      </c>
      <c r="O195" t="s">
        <v>74</v>
      </c>
      <c r="P195" t="s">
        <v>74</v>
      </c>
      <c r="Q195" t="s">
        <v>74</v>
      </c>
      <c r="R195" t="s">
        <v>74</v>
      </c>
      <c r="S195" t="s">
        <v>74</v>
      </c>
      <c r="T195" t="s">
        <v>4222</v>
      </c>
      <c r="U195" t="s">
        <v>4223</v>
      </c>
      <c r="V195" t="s">
        <v>4224</v>
      </c>
      <c r="W195" t="s">
        <v>4225</v>
      </c>
      <c r="X195" t="s">
        <v>4226</v>
      </c>
      <c r="Y195" t="s">
        <v>4227</v>
      </c>
      <c r="Z195" t="s">
        <v>4228</v>
      </c>
      <c r="AA195" t="s">
        <v>4229</v>
      </c>
      <c r="AB195" t="s">
        <v>4230</v>
      </c>
      <c r="AC195" t="s">
        <v>4231</v>
      </c>
      <c r="AD195" t="s">
        <v>4232</v>
      </c>
      <c r="AE195" t="s">
        <v>4233</v>
      </c>
      <c r="AF195" t="s">
        <v>74</v>
      </c>
      <c r="AG195">
        <v>137</v>
      </c>
      <c r="AH195">
        <v>7</v>
      </c>
      <c r="AI195">
        <v>7</v>
      </c>
      <c r="AJ195">
        <v>2</v>
      </c>
      <c r="AK195">
        <v>17</v>
      </c>
      <c r="AL195" t="s">
        <v>1065</v>
      </c>
      <c r="AM195" t="s">
        <v>1066</v>
      </c>
      <c r="AN195" t="s">
        <v>1067</v>
      </c>
      <c r="AO195" t="s">
        <v>1851</v>
      </c>
      <c r="AP195" t="s">
        <v>1852</v>
      </c>
      <c r="AQ195" t="s">
        <v>74</v>
      </c>
      <c r="AR195" t="s">
        <v>1853</v>
      </c>
      <c r="AS195" t="s">
        <v>1854</v>
      </c>
      <c r="AT195" t="s">
        <v>4180</v>
      </c>
      <c r="AU195">
        <v>2022</v>
      </c>
      <c r="AV195">
        <v>35</v>
      </c>
      <c r="AW195">
        <v>18</v>
      </c>
      <c r="AX195" t="s">
        <v>74</v>
      </c>
      <c r="AY195" t="s">
        <v>74</v>
      </c>
      <c r="AZ195" t="s">
        <v>74</v>
      </c>
      <c r="BA195" t="s">
        <v>74</v>
      </c>
      <c r="BB195">
        <v>6075</v>
      </c>
      <c r="BC195">
        <v>6100</v>
      </c>
      <c r="BD195" t="s">
        <v>74</v>
      </c>
      <c r="BE195" t="s">
        <v>4234</v>
      </c>
      <c r="BF195" t="str">
        <f>HYPERLINK("http://dx.doi.org/10.1175/JCLI-D-21-0766.1","http://dx.doi.org/10.1175/JCLI-D-21-0766.1")</f>
        <v>http://dx.doi.org/10.1175/JCLI-D-21-0766.1</v>
      </c>
      <c r="BG195" t="s">
        <v>74</v>
      </c>
      <c r="BH195" t="s">
        <v>74</v>
      </c>
      <c r="BI195">
        <v>26</v>
      </c>
      <c r="BJ195" t="s">
        <v>457</v>
      </c>
      <c r="BK195" t="s">
        <v>100</v>
      </c>
      <c r="BL195" t="s">
        <v>457</v>
      </c>
      <c r="BM195" t="s">
        <v>4216</v>
      </c>
      <c r="BN195" t="s">
        <v>74</v>
      </c>
      <c r="BO195" t="s">
        <v>3327</v>
      </c>
      <c r="BP195" t="s">
        <v>74</v>
      </c>
      <c r="BQ195" t="s">
        <v>74</v>
      </c>
      <c r="BR195" t="s">
        <v>103</v>
      </c>
      <c r="BS195" t="s">
        <v>4235</v>
      </c>
      <c r="BT195" t="str">
        <f>HYPERLINK("https%3A%2F%2Fwww.webofscience.com%2Fwos%2Fwoscc%2Ffull-record%2FWOS:000862950100016","View Full Record in Web of Science")</f>
        <v>View Full Record in Web of Science</v>
      </c>
    </row>
    <row r="196" spans="1:72" x14ac:dyDescent="0.15">
      <c r="A196" t="s">
        <v>72</v>
      </c>
      <c r="B196" t="s">
        <v>4236</v>
      </c>
      <c r="C196" t="s">
        <v>74</v>
      </c>
      <c r="D196" t="s">
        <v>74</v>
      </c>
      <c r="E196" t="s">
        <v>74</v>
      </c>
      <c r="F196" t="s">
        <v>4237</v>
      </c>
      <c r="G196" t="s">
        <v>74</v>
      </c>
      <c r="H196" t="s">
        <v>74</v>
      </c>
      <c r="I196" t="s">
        <v>4238</v>
      </c>
      <c r="J196" t="s">
        <v>137</v>
      </c>
      <c r="K196" t="s">
        <v>74</v>
      </c>
      <c r="L196" t="s">
        <v>74</v>
      </c>
      <c r="M196" t="s">
        <v>78</v>
      </c>
      <c r="N196" t="s">
        <v>79</v>
      </c>
      <c r="O196" t="s">
        <v>74</v>
      </c>
      <c r="P196" t="s">
        <v>74</v>
      </c>
      <c r="Q196" t="s">
        <v>74</v>
      </c>
      <c r="R196" t="s">
        <v>74</v>
      </c>
      <c r="S196" t="s">
        <v>74</v>
      </c>
      <c r="T196" t="s">
        <v>74</v>
      </c>
      <c r="U196" t="s">
        <v>4239</v>
      </c>
      <c r="V196" t="s">
        <v>4240</v>
      </c>
      <c r="W196" t="s">
        <v>4241</v>
      </c>
      <c r="X196" t="s">
        <v>4242</v>
      </c>
      <c r="Y196" t="s">
        <v>4243</v>
      </c>
      <c r="Z196" t="s">
        <v>4244</v>
      </c>
      <c r="AA196" t="s">
        <v>4245</v>
      </c>
      <c r="AB196" t="s">
        <v>4246</v>
      </c>
      <c r="AC196" t="s">
        <v>4247</v>
      </c>
      <c r="AD196" t="s">
        <v>4248</v>
      </c>
      <c r="AE196" t="s">
        <v>4249</v>
      </c>
      <c r="AF196" t="s">
        <v>74</v>
      </c>
      <c r="AG196">
        <v>110</v>
      </c>
      <c r="AH196">
        <v>4</v>
      </c>
      <c r="AI196">
        <v>5</v>
      </c>
      <c r="AJ196">
        <v>7</v>
      </c>
      <c r="AK196">
        <v>19</v>
      </c>
      <c r="AL196" t="s">
        <v>149</v>
      </c>
      <c r="AM196" t="s">
        <v>150</v>
      </c>
      <c r="AN196" t="s">
        <v>151</v>
      </c>
      <c r="AO196" t="s">
        <v>74</v>
      </c>
      <c r="AP196" t="s">
        <v>152</v>
      </c>
      <c r="AQ196" t="s">
        <v>74</v>
      </c>
      <c r="AR196" t="s">
        <v>153</v>
      </c>
      <c r="AS196" t="s">
        <v>154</v>
      </c>
      <c r="AT196" t="s">
        <v>4180</v>
      </c>
      <c r="AU196">
        <v>2022</v>
      </c>
      <c r="AV196">
        <v>13</v>
      </c>
      <c r="AW196">
        <v>1</v>
      </c>
      <c r="AX196" t="s">
        <v>74</v>
      </c>
      <c r="AY196" t="s">
        <v>74</v>
      </c>
      <c r="AZ196" t="s">
        <v>74</v>
      </c>
      <c r="BA196" t="s">
        <v>74</v>
      </c>
      <c r="BB196" t="s">
        <v>74</v>
      </c>
      <c r="BC196" t="s">
        <v>74</v>
      </c>
      <c r="BD196">
        <v>5428</v>
      </c>
      <c r="BE196" t="s">
        <v>4250</v>
      </c>
      <c r="BF196" t="str">
        <f>HYPERLINK("http://dx.doi.org/10.1038/s41467-022-33009-1","http://dx.doi.org/10.1038/s41467-022-33009-1")</f>
        <v>http://dx.doi.org/10.1038/s41467-022-33009-1</v>
      </c>
      <c r="BG196" t="s">
        <v>74</v>
      </c>
      <c r="BH196" t="s">
        <v>74</v>
      </c>
      <c r="BI196">
        <v>14</v>
      </c>
      <c r="BJ196" t="s">
        <v>156</v>
      </c>
      <c r="BK196" t="s">
        <v>100</v>
      </c>
      <c r="BL196" t="s">
        <v>157</v>
      </c>
      <c r="BM196" t="s">
        <v>4251</v>
      </c>
      <c r="BN196">
        <v>36109505</v>
      </c>
      <c r="BO196" t="s">
        <v>884</v>
      </c>
      <c r="BP196" t="s">
        <v>74</v>
      </c>
      <c r="BQ196" t="s">
        <v>74</v>
      </c>
      <c r="BR196" t="s">
        <v>103</v>
      </c>
      <c r="BS196" t="s">
        <v>4252</v>
      </c>
      <c r="BT196" t="str">
        <f>HYPERLINK("https%3A%2F%2Fwww.webofscience.com%2Fwos%2Fwoscc%2Ffull-record%2FWOS:000854795700018","View Full Record in Web of Science")</f>
        <v>View Full Record in Web of Science</v>
      </c>
    </row>
    <row r="197" spans="1:72" x14ac:dyDescent="0.15">
      <c r="A197" t="s">
        <v>72</v>
      </c>
      <c r="B197" t="s">
        <v>4253</v>
      </c>
      <c r="C197" t="s">
        <v>74</v>
      </c>
      <c r="D197" t="s">
        <v>74</v>
      </c>
      <c r="E197" t="s">
        <v>74</v>
      </c>
      <c r="F197" t="s">
        <v>4254</v>
      </c>
      <c r="G197" t="s">
        <v>74</v>
      </c>
      <c r="H197" t="s">
        <v>74</v>
      </c>
      <c r="I197" t="s">
        <v>4255</v>
      </c>
      <c r="J197" t="s">
        <v>4256</v>
      </c>
      <c r="K197" t="s">
        <v>74</v>
      </c>
      <c r="L197" t="s">
        <v>74</v>
      </c>
      <c r="M197" t="s">
        <v>78</v>
      </c>
      <c r="N197" t="s">
        <v>79</v>
      </c>
      <c r="O197" t="s">
        <v>74</v>
      </c>
      <c r="P197" t="s">
        <v>74</v>
      </c>
      <c r="Q197" t="s">
        <v>74</v>
      </c>
      <c r="R197" t="s">
        <v>74</v>
      </c>
      <c r="S197" t="s">
        <v>74</v>
      </c>
      <c r="T197" t="s">
        <v>4257</v>
      </c>
      <c r="U197" t="s">
        <v>4258</v>
      </c>
      <c r="V197" t="s">
        <v>4259</v>
      </c>
      <c r="W197" t="s">
        <v>4260</v>
      </c>
      <c r="X197" t="s">
        <v>4261</v>
      </c>
      <c r="Y197" t="s">
        <v>4262</v>
      </c>
      <c r="Z197" t="s">
        <v>4263</v>
      </c>
      <c r="AA197" t="s">
        <v>4264</v>
      </c>
      <c r="AB197" t="s">
        <v>4265</v>
      </c>
      <c r="AC197" t="s">
        <v>4266</v>
      </c>
      <c r="AD197" t="s">
        <v>4267</v>
      </c>
      <c r="AE197" t="s">
        <v>4268</v>
      </c>
      <c r="AF197" t="s">
        <v>74</v>
      </c>
      <c r="AG197">
        <v>61</v>
      </c>
      <c r="AH197">
        <v>6</v>
      </c>
      <c r="AI197">
        <v>6</v>
      </c>
      <c r="AJ197">
        <v>3</v>
      </c>
      <c r="AK197">
        <v>16</v>
      </c>
      <c r="AL197" t="s">
        <v>2249</v>
      </c>
      <c r="AM197" t="s">
        <v>90</v>
      </c>
      <c r="AN197" t="s">
        <v>2250</v>
      </c>
      <c r="AO197" t="s">
        <v>4269</v>
      </c>
      <c r="AP197" t="s">
        <v>4270</v>
      </c>
      <c r="AQ197" t="s">
        <v>74</v>
      </c>
      <c r="AR197" t="s">
        <v>4271</v>
      </c>
      <c r="AS197" t="s">
        <v>4272</v>
      </c>
      <c r="AT197" t="s">
        <v>428</v>
      </c>
      <c r="AU197">
        <v>2022</v>
      </c>
      <c r="AV197">
        <v>126</v>
      </c>
      <c r="AW197">
        <v>10</v>
      </c>
      <c r="AX197" t="s">
        <v>74</v>
      </c>
      <c r="AY197" t="s">
        <v>74</v>
      </c>
      <c r="AZ197" t="s">
        <v>74</v>
      </c>
      <c r="BA197" t="s">
        <v>74</v>
      </c>
      <c r="BB197">
        <v>640</v>
      </c>
      <c r="BC197">
        <v>647</v>
      </c>
      <c r="BD197" t="s">
        <v>74</v>
      </c>
      <c r="BE197" t="s">
        <v>4273</v>
      </c>
      <c r="BF197" t="str">
        <f>HYPERLINK("http://dx.doi.org/10.1016/j.funbio.2022.08.002","http://dx.doi.org/10.1016/j.funbio.2022.08.002")</f>
        <v>http://dx.doi.org/10.1016/j.funbio.2022.08.002</v>
      </c>
      <c r="BG197" t="s">
        <v>74</v>
      </c>
      <c r="BH197" t="s">
        <v>2143</v>
      </c>
      <c r="BI197">
        <v>8</v>
      </c>
      <c r="BJ197" t="s">
        <v>3975</v>
      </c>
      <c r="BK197" t="s">
        <v>100</v>
      </c>
      <c r="BL197" t="s">
        <v>3975</v>
      </c>
      <c r="BM197" t="s">
        <v>4274</v>
      </c>
      <c r="BN197">
        <v>36116896</v>
      </c>
      <c r="BO197" t="s">
        <v>74</v>
      </c>
      <c r="BP197" t="s">
        <v>74</v>
      </c>
      <c r="BQ197" t="s">
        <v>74</v>
      </c>
      <c r="BR197" t="s">
        <v>103</v>
      </c>
      <c r="BS197" t="s">
        <v>4275</v>
      </c>
      <c r="BT197" t="str">
        <f>HYPERLINK("https%3A%2F%2Fwww.webofscience.com%2Fwos%2Fwoscc%2Ffull-record%2FWOS:000855664400003","View Full Record in Web of Science")</f>
        <v>View Full Record in Web of Science</v>
      </c>
    </row>
    <row r="198" spans="1:72" x14ac:dyDescent="0.15">
      <c r="A198" t="s">
        <v>72</v>
      </c>
      <c r="B198" t="s">
        <v>4276</v>
      </c>
      <c r="C198" t="s">
        <v>74</v>
      </c>
      <c r="D198" t="s">
        <v>74</v>
      </c>
      <c r="E198" t="s">
        <v>74</v>
      </c>
      <c r="F198" t="s">
        <v>4277</v>
      </c>
      <c r="G198" t="s">
        <v>74</v>
      </c>
      <c r="H198" t="s">
        <v>74</v>
      </c>
      <c r="I198" t="s">
        <v>4278</v>
      </c>
      <c r="J198" t="s">
        <v>4279</v>
      </c>
      <c r="K198" t="s">
        <v>74</v>
      </c>
      <c r="L198" t="s">
        <v>74</v>
      </c>
      <c r="M198" t="s">
        <v>78</v>
      </c>
      <c r="N198" t="s">
        <v>79</v>
      </c>
      <c r="O198" t="s">
        <v>74</v>
      </c>
      <c r="P198" t="s">
        <v>74</v>
      </c>
      <c r="Q198" t="s">
        <v>74</v>
      </c>
      <c r="R198" t="s">
        <v>74</v>
      </c>
      <c r="S198" t="s">
        <v>74</v>
      </c>
      <c r="T198" t="s">
        <v>74</v>
      </c>
      <c r="U198" t="s">
        <v>4280</v>
      </c>
      <c r="V198" t="s">
        <v>4281</v>
      </c>
      <c r="W198" t="s">
        <v>4282</v>
      </c>
      <c r="X198" t="s">
        <v>4283</v>
      </c>
      <c r="Y198" t="s">
        <v>4284</v>
      </c>
      <c r="Z198" t="s">
        <v>4285</v>
      </c>
      <c r="AA198" t="s">
        <v>4286</v>
      </c>
      <c r="AB198" t="s">
        <v>4287</v>
      </c>
      <c r="AC198" t="s">
        <v>4288</v>
      </c>
      <c r="AD198" t="s">
        <v>4289</v>
      </c>
      <c r="AE198" t="s">
        <v>4290</v>
      </c>
      <c r="AF198" t="s">
        <v>74</v>
      </c>
      <c r="AG198">
        <v>90</v>
      </c>
      <c r="AH198">
        <v>10</v>
      </c>
      <c r="AI198">
        <v>10</v>
      </c>
      <c r="AJ198">
        <v>7</v>
      </c>
      <c r="AK198">
        <v>22</v>
      </c>
      <c r="AL198" t="s">
        <v>149</v>
      </c>
      <c r="AM198" t="s">
        <v>150</v>
      </c>
      <c r="AN198" t="s">
        <v>151</v>
      </c>
      <c r="AO198" t="s">
        <v>4291</v>
      </c>
      <c r="AP198" t="s">
        <v>4292</v>
      </c>
      <c r="AQ198" t="s">
        <v>74</v>
      </c>
      <c r="AR198" t="s">
        <v>4293</v>
      </c>
      <c r="AS198" t="s">
        <v>4294</v>
      </c>
      <c r="AT198" t="s">
        <v>428</v>
      </c>
      <c r="AU198">
        <v>2022</v>
      </c>
      <c r="AV198">
        <v>15</v>
      </c>
      <c r="AW198">
        <v>10</v>
      </c>
      <c r="AX198" t="s">
        <v>74</v>
      </c>
      <c r="AY198" t="s">
        <v>74</v>
      </c>
      <c r="AZ198" t="s">
        <v>74</v>
      </c>
      <c r="BA198" t="s">
        <v>74</v>
      </c>
      <c r="BB198">
        <v>819</v>
      </c>
      <c r="BC198" t="s">
        <v>2114</v>
      </c>
      <c r="BD198" t="s">
        <v>74</v>
      </c>
      <c r="BE198" t="s">
        <v>4295</v>
      </c>
      <c r="BF198" t="str">
        <f>HYPERLINK("http://dx.doi.org/10.1038/s41561-022-01025-x","http://dx.doi.org/10.1038/s41561-022-01025-x")</f>
        <v>http://dx.doi.org/10.1038/s41561-022-01025-x</v>
      </c>
      <c r="BG198" t="s">
        <v>74</v>
      </c>
      <c r="BH198" t="s">
        <v>2143</v>
      </c>
      <c r="BI198">
        <v>11</v>
      </c>
      <c r="BJ198" t="s">
        <v>129</v>
      </c>
      <c r="BK198" t="s">
        <v>100</v>
      </c>
      <c r="BL198" t="s">
        <v>130</v>
      </c>
      <c r="BM198" t="s">
        <v>4296</v>
      </c>
      <c r="BN198" t="s">
        <v>74</v>
      </c>
      <c r="BO198" t="s">
        <v>4297</v>
      </c>
      <c r="BP198" t="s">
        <v>74</v>
      </c>
      <c r="BQ198" t="s">
        <v>74</v>
      </c>
      <c r="BR198" t="s">
        <v>103</v>
      </c>
      <c r="BS198" t="s">
        <v>4298</v>
      </c>
      <c r="BT198" t="str">
        <f>HYPERLINK("https%3A%2F%2Fwww.webofscience.com%2Fwos%2Fwoscc%2Ffull-record%2FWOS:000854727400002","View Full Record in Web of Science")</f>
        <v>View Full Record in Web of Science</v>
      </c>
    </row>
    <row r="199" spans="1:72" x14ac:dyDescent="0.15">
      <c r="A199" t="s">
        <v>72</v>
      </c>
      <c r="B199" t="s">
        <v>4299</v>
      </c>
      <c r="C199" t="s">
        <v>74</v>
      </c>
      <c r="D199" t="s">
        <v>74</v>
      </c>
      <c r="E199" t="s">
        <v>74</v>
      </c>
      <c r="F199" t="s">
        <v>4300</v>
      </c>
      <c r="G199" t="s">
        <v>74</v>
      </c>
      <c r="H199" t="s">
        <v>74</v>
      </c>
      <c r="I199" t="s">
        <v>4301</v>
      </c>
      <c r="J199" t="s">
        <v>4302</v>
      </c>
      <c r="K199" t="s">
        <v>74</v>
      </c>
      <c r="L199" t="s">
        <v>74</v>
      </c>
      <c r="M199" t="s">
        <v>78</v>
      </c>
      <c r="N199" t="s">
        <v>79</v>
      </c>
      <c r="O199" t="s">
        <v>74</v>
      </c>
      <c r="P199" t="s">
        <v>74</v>
      </c>
      <c r="Q199" t="s">
        <v>74</v>
      </c>
      <c r="R199" t="s">
        <v>74</v>
      </c>
      <c r="S199" t="s">
        <v>74</v>
      </c>
      <c r="T199" t="s">
        <v>4303</v>
      </c>
      <c r="U199" t="s">
        <v>4304</v>
      </c>
      <c r="V199" t="s">
        <v>4305</v>
      </c>
      <c r="W199" t="s">
        <v>4306</v>
      </c>
      <c r="X199" t="s">
        <v>4307</v>
      </c>
      <c r="Y199" t="s">
        <v>4308</v>
      </c>
      <c r="Z199" t="s">
        <v>4309</v>
      </c>
      <c r="AA199" t="s">
        <v>4310</v>
      </c>
      <c r="AB199" t="s">
        <v>4311</v>
      </c>
      <c r="AC199" t="s">
        <v>4312</v>
      </c>
      <c r="AD199" t="s">
        <v>4313</v>
      </c>
      <c r="AE199" t="s">
        <v>4314</v>
      </c>
      <c r="AF199" t="s">
        <v>74</v>
      </c>
      <c r="AG199">
        <v>54</v>
      </c>
      <c r="AH199">
        <v>4</v>
      </c>
      <c r="AI199">
        <v>4</v>
      </c>
      <c r="AJ199">
        <v>3</v>
      </c>
      <c r="AK199">
        <v>10</v>
      </c>
      <c r="AL199" t="s">
        <v>4315</v>
      </c>
      <c r="AM199" t="s">
        <v>2060</v>
      </c>
      <c r="AN199" t="s">
        <v>4316</v>
      </c>
      <c r="AO199" t="s">
        <v>4317</v>
      </c>
      <c r="AP199" t="s">
        <v>4318</v>
      </c>
      <c r="AQ199" t="s">
        <v>74</v>
      </c>
      <c r="AR199" t="s">
        <v>4319</v>
      </c>
      <c r="AS199" t="s">
        <v>4320</v>
      </c>
      <c r="AT199" t="s">
        <v>2281</v>
      </c>
      <c r="AU199">
        <v>2022</v>
      </c>
      <c r="AV199">
        <v>135</v>
      </c>
      <c r="AW199">
        <v>6</v>
      </c>
      <c r="AX199" t="s">
        <v>74</v>
      </c>
      <c r="AY199" t="s">
        <v>74</v>
      </c>
      <c r="AZ199" t="s">
        <v>74</v>
      </c>
      <c r="BA199" t="s">
        <v>74</v>
      </c>
      <c r="BB199">
        <v>771</v>
      </c>
      <c r="BC199">
        <v>784</v>
      </c>
      <c r="BD199" t="s">
        <v>74</v>
      </c>
      <c r="BE199" t="s">
        <v>4321</v>
      </c>
      <c r="BF199" t="str">
        <f>HYPERLINK("http://dx.doi.org/10.1007/s10265-022-01411-x","http://dx.doi.org/10.1007/s10265-022-01411-x")</f>
        <v>http://dx.doi.org/10.1007/s10265-022-01411-x</v>
      </c>
      <c r="BG199" t="s">
        <v>74</v>
      </c>
      <c r="BH199" t="s">
        <v>2143</v>
      </c>
      <c r="BI199">
        <v>14</v>
      </c>
      <c r="BJ199" t="s">
        <v>1438</v>
      </c>
      <c r="BK199" t="s">
        <v>100</v>
      </c>
      <c r="BL199" t="s">
        <v>1438</v>
      </c>
      <c r="BM199" t="s">
        <v>4322</v>
      </c>
      <c r="BN199">
        <v>36107269</v>
      </c>
      <c r="BO199" t="s">
        <v>74</v>
      </c>
      <c r="BP199" t="s">
        <v>74</v>
      </c>
      <c r="BQ199" t="s">
        <v>74</v>
      </c>
      <c r="BR199" t="s">
        <v>103</v>
      </c>
      <c r="BS199" t="s">
        <v>4323</v>
      </c>
      <c r="BT199" t="str">
        <f>HYPERLINK("https%3A%2F%2Fwww.webofscience.com%2Fwos%2Fwoscc%2Ffull-record%2FWOS:000854694000001","View Full Record in Web of Science")</f>
        <v>View Full Record in Web of Science</v>
      </c>
    </row>
    <row r="200" spans="1:72" x14ac:dyDescent="0.15">
      <c r="A200" t="s">
        <v>72</v>
      </c>
      <c r="B200" t="s">
        <v>4324</v>
      </c>
      <c r="C200" t="s">
        <v>74</v>
      </c>
      <c r="D200" t="s">
        <v>74</v>
      </c>
      <c r="E200" t="s">
        <v>74</v>
      </c>
      <c r="F200" t="s">
        <v>4325</v>
      </c>
      <c r="G200" t="s">
        <v>74</v>
      </c>
      <c r="H200" t="s">
        <v>74</v>
      </c>
      <c r="I200" t="s">
        <v>4326</v>
      </c>
      <c r="J200" t="s">
        <v>4327</v>
      </c>
      <c r="K200" t="s">
        <v>74</v>
      </c>
      <c r="L200" t="s">
        <v>74</v>
      </c>
      <c r="M200" t="s">
        <v>78</v>
      </c>
      <c r="N200" t="s">
        <v>79</v>
      </c>
      <c r="O200" t="s">
        <v>74</v>
      </c>
      <c r="P200" t="s">
        <v>74</v>
      </c>
      <c r="Q200" t="s">
        <v>74</v>
      </c>
      <c r="R200" t="s">
        <v>74</v>
      </c>
      <c r="S200" t="s">
        <v>74</v>
      </c>
      <c r="T200" t="s">
        <v>4328</v>
      </c>
      <c r="U200" t="s">
        <v>4329</v>
      </c>
      <c r="V200" t="s">
        <v>4330</v>
      </c>
      <c r="W200" t="s">
        <v>4331</v>
      </c>
      <c r="X200" t="s">
        <v>4332</v>
      </c>
      <c r="Y200" t="s">
        <v>4333</v>
      </c>
      <c r="Z200" t="s">
        <v>4334</v>
      </c>
      <c r="AA200" t="s">
        <v>4335</v>
      </c>
      <c r="AB200" t="s">
        <v>4336</v>
      </c>
      <c r="AC200" t="s">
        <v>4337</v>
      </c>
      <c r="AD200" t="s">
        <v>4338</v>
      </c>
      <c r="AE200" t="s">
        <v>4339</v>
      </c>
      <c r="AF200" t="s">
        <v>74</v>
      </c>
      <c r="AG200">
        <v>35</v>
      </c>
      <c r="AH200">
        <v>1</v>
      </c>
      <c r="AI200">
        <v>1</v>
      </c>
      <c r="AJ200">
        <v>1</v>
      </c>
      <c r="AK200">
        <v>1</v>
      </c>
      <c r="AL200" t="s">
        <v>178</v>
      </c>
      <c r="AM200" t="s">
        <v>450</v>
      </c>
      <c r="AN200" t="s">
        <v>668</v>
      </c>
      <c r="AO200" t="s">
        <v>4340</v>
      </c>
      <c r="AP200" t="s">
        <v>4341</v>
      </c>
      <c r="AQ200" t="s">
        <v>74</v>
      </c>
      <c r="AR200" t="s">
        <v>4342</v>
      </c>
      <c r="AS200" t="s">
        <v>4343</v>
      </c>
      <c r="AT200" t="s">
        <v>3605</v>
      </c>
      <c r="AU200">
        <v>2022</v>
      </c>
      <c r="AV200">
        <v>45</v>
      </c>
      <c r="AW200">
        <v>9</v>
      </c>
      <c r="AX200" t="s">
        <v>74</v>
      </c>
      <c r="AY200" t="s">
        <v>74</v>
      </c>
      <c r="AZ200" t="s">
        <v>74</v>
      </c>
      <c r="BA200" t="s">
        <v>74</v>
      </c>
      <c r="BB200">
        <v>1523</v>
      </c>
      <c r="BC200">
        <v>1528</v>
      </c>
      <c r="BD200" t="s">
        <v>74</v>
      </c>
      <c r="BE200" t="s">
        <v>4344</v>
      </c>
      <c r="BF200" t="str">
        <f>HYPERLINK("http://dx.doi.org/10.1007/s00300-022-03081-w","http://dx.doi.org/10.1007/s00300-022-03081-w")</f>
        <v>http://dx.doi.org/10.1007/s00300-022-03081-w</v>
      </c>
      <c r="BG200" t="s">
        <v>74</v>
      </c>
      <c r="BH200" t="s">
        <v>2143</v>
      </c>
      <c r="BI200">
        <v>6</v>
      </c>
      <c r="BJ200" t="s">
        <v>1169</v>
      </c>
      <c r="BK200" t="s">
        <v>100</v>
      </c>
      <c r="BL200" t="s">
        <v>1170</v>
      </c>
      <c r="BM200" t="s">
        <v>4345</v>
      </c>
      <c r="BN200" t="s">
        <v>74</v>
      </c>
      <c r="BO200" t="s">
        <v>74</v>
      </c>
      <c r="BP200" t="s">
        <v>74</v>
      </c>
      <c r="BQ200" t="s">
        <v>74</v>
      </c>
      <c r="BR200" t="s">
        <v>103</v>
      </c>
      <c r="BS200" t="s">
        <v>4346</v>
      </c>
      <c r="BT200" t="str">
        <f>HYPERLINK("https%3A%2F%2Fwww.webofscience.com%2Fwos%2Fwoscc%2Ffull-record%2FWOS:000854706100001","View Full Record in Web of Science")</f>
        <v>View Full Record in Web of Science</v>
      </c>
    </row>
    <row r="201" spans="1:72" x14ac:dyDescent="0.15">
      <c r="A201" t="s">
        <v>72</v>
      </c>
      <c r="B201" t="s">
        <v>4347</v>
      </c>
      <c r="C201" t="s">
        <v>74</v>
      </c>
      <c r="D201" t="s">
        <v>74</v>
      </c>
      <c r="E201" t="s">
        <v>74</v>
      </c>
      <c r="F201" t="s">
        <v>4348</v>
      </c>
      <c r="G201" t="s">
        <v>74</v>
      </c>
      <c r="H201" t="s">
        <v>74</v>
      </c>
      <c r="I201" t="s">
        <v>4349</v>
      </c>
      <c r="J201" t="s">
        <v>3747</v>
      </c>
      <c r="K201" t="s">
        <v>74</v>
      </c>
      <c r="L201" t="s">
        <v>74</v>
      </c>
      <c r="M201" t="s">
        <v>78</v>
      </c>
      <c r="N201" t="s">
        <v>79</v>
      </c>
      <c r="O201" t="s">
        <v>74</v>
      </c>
      <c r="P201" t="s">
        <v>74</v>
      </c>
      <c r="Q201" t="s">
        <v>74</v>
      </c>
      <c r="R201" t="s">
        <v>74</v>
      </c>
      <c r="S201" t="s">
        <v>74</v>
      </c>
      <c r="T201" t="s">
        <v>4350</v>
      </c>
      <c r="U201" t="s">
        <v>4351</v>
      </c>
      <c r="V201" t="s">
        <v>4352</v>
      </c>
      <c r="W201" t="s">
        <v>4353</v>
      </c>
      <c r="X201" t="s">
        <v>4354</v>
      </c>
      <c r="Y201" t="s">
        <v>4355</v>
      </c>
      <c r="Z201" t="s">
        <v>4356</v>
      </c>
      <c r="AA201" t="s">
        <v>4357</v>
      </c>
      <c r="AB201" t="s">
        <v>4358</v>
      </c>
      <c r="AC201" t="s">
        <v>4359</v>
      </c>
      <c r="AD201" t="s">
        <v>4360</v>
      </c>
      <c r="AE201" t="s">
        <v>4361</v>
      </c>
      <c r="AF201" t="s">
        <v>74</v>
      </c>
      <c r="AG201">
        <v>71</v>
      </c>
      <c r="AH201">
        <v>3</v>
      </c>
      <c r="AI201">
        <v>3</v>
      </c>
      <c r="AJ201">
        <v>28</v>
      </c>
      <c r="AK201">
        <v>111</v>
      </c>
      <c r="AL201" t="s">
        <v>501</v>
      </c>
      <c r="AM201" t="s">
        <v>502</v>
      </c>
      <c r="AN201" t="s">
        <v>503</v>
      </c>
      <c r="AO201" t="s">
        <v>3759</v>
      </c>
      <c r="AP201" t="s">
        <v>3760</v>
      </c>
      <c r="AQ201" t="s">
        <v>74</v>
      </c>
      <c r="AR201" t="s">
        <v>3761</v>
      </c>
      <c r="AS201" t="s">
        <v>3762</v>
      </c>
      <c r="AT201" t="s">
        <v>4362</v>
      </c>
      <c r="AU201">
        <v>2022</v>
      </c>
      <c r="AV201">
        <v>853</v>
      </c>
      <c r="AW201" t="s">
        <v>74</v>
      </c>
      <c r="AX201" t="s">
        <v>74</v>
      </c>
      <c r="AY201" t="s">
        <v>74</v>
      </c>
      <c r="AZ201" t="s">
        <v>74</v>
      </c>
      <c r="BA201" t="s">
        <v>74</v>
      </c>
      <c r="BB201" t="s">
        <v>74</v>
      </c>
      <c r="BC201" t="s">
        <v>74</v>
      </c>
      <c r="BD201">
        <v>158645</v>
      </c>
      <c r="BE201" t="s">
        <v>4363</v>
      </c>
      <c r="BF201" t="str">
        <f>HYPERLINK("http://dx.doi.org/10.1016/j.scitotenv.2022.158645","http://dx.doi.org/10.1016/j.scitotenv.2022.158645")</f>
        <v>http://dx.doi.org/10.1016/j.scitotenv.2022.158645</v>
      </c>
      <c r="BG201" t="s">
        <v>74</v>
      </c>
      <c r="BH201" t="s">
        <v>2143</v>
      </c>
      <c r="BI201">
        <v>10</v>
      </c>
      <c r="BJ201" t="s">
        <v>2040</v>
      </c>
      <c r="BK201" t="s">
        <v>100</v>
      </c>
      <c r="BL201" t="s">
        <v>2041</v>
      </c>
      <c r="BM201" t="s">
        <v>4364</v>
      </c>
      <c r="BN201">
        <v>36089018</v>
      </c>
      <c r="BO201" t="s">
        <v>831</v>
      </c>
      <c r="BP201" t="s">
        <v>74</v>
      </c>
      <c r="BQ201" t="s">
        <v>74</v>
      </c>
      <c r="BR201" t="s">
        <v>103</v>
      </c>
      <c r="BS201" t="s">
        <v>4365</v>
      </c>
      <c r="BT201" t="str">
        <f>HYPERLINK("https%3A%2F%2Fwww.webofscience.com%2Fwos%2Fwoscc%2Ffull-record%2FWOS:000861181400009","View Full Record in Web of Science")</f>
        <v>View Full Record in Web of Science</v>
      </c>
    </row>
    <row r="202" spans="1:72" x14ac:dyDescent="0.15">
      <c r="A202" t="s">
        <v>72</v>
      </c>
      <c r="B202" t="s">
        <v>4366</v>
      </c>
      <c r="C202" t="s">
        <v>74</v>
      </c>
      <c r="D202" t="s">
        <v>74</v>
      </c>
      <c r="E202" t="s">
        <v>74</v>
      </c>
      <c r="F202" t="s">
        <v>4367</v>
      </c>
      <c r="G202" t="s">
        <v>74</v>
      </c>
      <c r="H202" t="s">
        <v>74</v>
      </c>
      <c r="I202" t="s">
        <v>4368</v>
      </c>
      <c r="J202" t="s">
        <v>137</v>
      </c>
      <c r="K202" t="s">
        <v>74</v>
      </c>
      <c r="L202" t="s">
        <v>74</v>
      </c>
      <c r="M202" t="s">
        <v>78</v>
      </c>
      <c r="N202" t="s">
        <v>79</v>
      </c>
      <c r="O202" t="s">
        <v>74</v>
      </c>
      <c r="P202" t="s">
        <v>74</v>
      </c>
      <c r="Q202" t="s">
        <v>74</v>
      </c>
      <c r="R202" t="s">
        <v>74</v>
      </c>
      <c r="S202" t="s">
        <v>74</v>
      </c>
      <c r="T202" t="s">
        <v>74</v>
      </c>
      <c r="U202" t="s">
        <v>4369</v>
      </c>
      <c r="V202" t="s">
        <v>4370</v>
      </c>
      <c r="W202" t="s">
        <v>4371</v>
      </c>
      <c r="X202" t="s">
        <v>4372</v>
      </c>
      <c r="Y202" t="s">
        <v>4373</v>
      </c>
      <c r="Z202" t="s">
        <v>4374</v>
      </c>
      <c r="AA202" t="s">
        <v>4375</v>
      </c>
      <c r="AB202" t="s">
        <v>4376</v>
      </c>
      <c r="AC202" t="s">
        <v>4377</v>
      </c>
      <c r="AD202" t="s">
        <v>4378</v>
      </c>
      <c r="AE202" t="s">
        <v>4379</v>
      </c>
      <c r="AF202" t="s">
        <v>74</v>
      </c>
      <c r="AG202">
        <v>69</v>
      </c>
      <c r="AH202">
        <v>9</v>
      </c>
      <c r="AI202">
        <v>10</v>
      </c>
      <c r="AJ202">
        <v>8</v>
      </c>
      <c r="AK202">
        <v>14</v>
      </c>
      <c r="AL202" t="s">
        <v>149</v>
      </c>
      <c r="AM202" t="s">
        <v>150</v>
      </c>
      <c r="AN202" t="s">
        <v>151</v>
      </c>
      <c r="AO202" t="s">
        <v>74</v>
      </c>
      <c r="AP202" t="s">
        <v>152</v>
      </c>
      <c r="AQ202" t="s">
        <v>74</v>
      </c>
      <c r="AR202" t="s">
        <v>153</v>
      </c>
      <c r="AS202" t="s">
        <v>154</v>
      </c>
      <c r="AT202" t="s">
        <v>4380</v>
      </c>
      <c r="AU202">
        <v>2022</v>
      </c>
      <c r="AV202">
        <v>13</v>
      </c>
      <c r="AW202">
        <v>1</v>
      </c>
      <c r="AX202" t="s">
        <v>74</v>
      </c>
      <c r="AY202" t="s">
        <v>74</v>
      </c>
      <c r="AZ202" t="s">
        <v>74</v>
      </c>
      <c r="BA202" t="s">
        <v>74</v>
      </c>
      <c r="BB202" t="s">
        <v>74</v>
      </c>
      <c r="BC202" t="s">
        <v>74</v>
      </c>
      <c r="BD202">
        <v>4957</v>
      </c>
      <c r="BE202" t="s">
        <v>4381</v>
      </c>
      <c r="BF202" t="str">
        <f>HYPERLINK("http://dx.doi.org/10.1038/s41467-022-32632-2","http://dx.doi.org/10.1038/s41467-022-32632-2")</f>
        <v>http://dx.doi.org/10.1038/s41467-022-32632-2</v>
      </c>
      <c r="BG202" t="s">
        <v>74</v>
      </c>
      <c r="BH202" t="s">
        <v>74</v>
      </c>
      <c r="BI202">
        <v>9</v>
      </c>
      <c r="BJ202" t="s">
        <v>156</v>
      </c>
      <c r="BK202" t="s">
        <v>100</v>
      </c>
      <c r="BL202" t="s">
        <v>157</v>
      </c>
      <c r="BM202" t="s">
        <v>4382</v>
      </c>
      <c r="BN202">
        <v>36104329</v>
      </c>
      <c r="BO202" t="s">
        <v>159</v>
      </c>
      <c r="BP202" t="s">
        <v>74</v>
      </c>
      <c r="BQ202" t="s">
        <v>74</v>
      </c>
      <c r="BR202" t="s">
        <v>103</v>
      </c>
      <c r="BS202" t="s">
        <v>4383</v>
      </c>
      <c r="BT202" t="str">
        <f>HYPERLINK("https%3A%2F%2Fwww.webofscience.com%2Fwos%2Fwoscc%2Ffull-record%2FWOS:000853935100021","View Full Record in Web of Science")</f>
        <v>View Full Record in Web of Science</v>
      </c>
    </row>
    <row r="203" spans="1:72" x14ac:dyDescent="0.15">
      <c r="A203" t="s">
        <v>72</v>
      </c>
      <c r="B203" t="s">
        <v>4384</v>
      </c>
      <c r="C203" t="s">
        <v>74</v>
      </c>
      <c r="D203" t="s">
        <v>74</v>
      </c>
      <c r="E203" t="s">
        <v>74</v>
      </c>
      <c r="F203" t="s">
        <v>4385</v>
      </c>
      <c r="G203" t="s">
        <v>74</v>
      </c>
      <c r="H203" t="s">
        <v>74</v>
      </c>
      <c r="I203" t="s">
        <v>4386</v>
      </c>
      <c r="J203" t="s">
        <v>3489</v>
      </c>
      <c r="K203" t="s">
        <v>74</v>
      </c>
      <c r="L203" t="s">
        <v>74</v>
      </c>
      <c r="M203" t="s">
        <v>78</v>
      </c>
      <c r="N203" t="s">
        <v>79</v>
      </c>
      <c r="O203" t="s">
        <v>74</v>
      </c>
      <c r="P203" t="s">
        <v>74</v>
      </c>
      <c r="Q203" t="s">
        <v>74</v>
      </c>
      <c r="R203" t="s">
        <v>74</v>
      </c>
      <c r="S203" t="s">
        <v>74</v>
      </c>
      <c r="T203" t="s">
        <v>4387</v>
      </c>
      <c r="U203" t="s">
        <v>4388</v>
      </c>
      <c r="V203" t="s">
        <v>4389</v>
      </c>
      <c r="W203" t="s">
        <v>4390</v>
      </c>
      <c r="X203" t="s">
        <v>4391</v>
      </c>
      <c r="Y203" t="s">
        <v>4392</v>
      </c>
      <c r="Z203" t="s">
        <v>4393</v>
      </c>
      <c r="AA203" t="s">
        <v>4394</v>
      </c>
      <c r="AB203" t="s">
        <v>4395</v>
      </c>
      <c r="AC203" t="s">
        <v>4396</v>
      </c>
      <c r="AD203" t="s">
        <v>4397</v>
      </c>
      <c r="AE203" t="s">
        <v>4398</v>
      </c>
      <c r="AF203" t="s">
        <v>74</v>
      </c>
      <c r="AG203">
        <v>61</v>
      </c>
      <c r="AH203">
        <v>5</v>
      </c>
      <c r="AI203">
        <v>5</v>
      </c>
      <c r="AJ203">
        <v>2</v>
      </c>
      <c r="AK203">
        <v>6</v>
      </c>
      <c r="AL203" t="s">
        <v>3499</v>
      </c>
      <c r="AM203" t="s">
        <v>2774</v>
      </c>
      <c r="AN203" t="s">
        <v>3500</v>
      </c>
      <c r="AO203" t="s">
        <v>3501</v>
      </c>
      <c r="AP203" t="s">
        <v>74</v>
      </c>
      <c r="AQ203" t="s">
        <v>74</v>
      </c>
      <c r="AR203" t="s">
        <v>3502</v>
      </c>
      <c r="AS203" t="s">
        <v>3503</v>
      </c>
      <c r="AT203" t="s">
        <v>4380</v>
      </c>
      <c r="AU203">
        <v>2022</v>
      </c>
      <c r="AV203">
        <v>9</v>
      </c>
      <c r="AW203">
        <v>9</v>
      </c>
      <c r="AX203" t="s">
        <v>74</v>
      </c>
      <c r="AY203" t="s">
        <v>74</v>
      </c>
      <c r="AZ203" t="s">
        <v>74</v>
      </c>
      <c r="BA203" t="s">
        <v>74</v>
      </c>
      <c r="BB203" t="s">
        <v>74</v>
      </c>
      <c r="BC203" t="s">
        <v>74</v>
      </c>
      <c r="BD203">
        <v>220028</v>
      </c>
      <c r="BE203" t="s">
        <v>4399</v>
      </c>
      <c r="BF203" t="str">
        <f>HYPERLINK("http://dx.doi.org/10.1098/rsos.220028","http://dx.doi.org/10.1098/rsos.220028")</f>
        <v>http://dx.doi.org/10.1098/rsos.220028</v>
      </c>
      <c r="BG203" t="s">
        <v>74</v>
      </c>
      <c r="BH203" t="s">
        <v>74</v>
      </c>
      <c r="BI203">
        <v>13</v>
      </c>
      <c r="BJ203" t="s">
        <v>156</v>
      </c>
      <c r="BK203" t="s">
        <v>100</v>
      </c>
      <c r="BL203" t="s">
        <v>157</v>
      </c>
      <c r="BM203" t="s">
        <v>4400</v>
      </c>
      <c r="BN203">
        <v>36117863</v>
      </c>
      <c r="BO203" t="s">
        <v>159</v>
      </c>
      <c r="BP203" t="s">
        <v>74</v>
      </c>
      <c r="BQ203" t="s">
        <v>74</v>
      </c>
      <c r="BR203" t="s">
        <v>103</v>
      </c>
      <c r="BS203" t="s">
        <v>4401</v>
      </c>
      <c r="BT203" t="str">
        <f>HYPERLINK("https%3A%2F%2Fwww.webofscience.com%2Fwos%2Fwoscc%2Ffull-record%2FWOS:000856516500007","View Full Record in Web of Science")</f>
        <v>View Full Record in Web of Science</v>
      </c>
    </row>
    <row r="204" spans="1:72" x14ac:dyDescent="0.15">
      <c r="A204" t="s">
        <v>72</v>
      </c>
      <c r="B204" t="s">
        <v>4402</v>
      </c>
      <c r="C204" t="s">
        <v>74</v>
      </c>
      <c r="D204" t="s">
        <v>74</v>
      </c>
      <c r="E204" t="s">
        <v>74</v>
      </c>
      <c r="F204" t="s">
        <v>4403</v>
      </c>
      <c r="G204" t="s">
        <v>74</v>
      </c>
      <c r="H204" t="s">
        <v>74</v>
      </c>
      <c r="I204" t="s">
        <v>4404</v>
      </c>
      <c r="J204" t="s">
        <v>2473</v>
      </c>
      <c r="K204" t="s">
        <v>74</v>
      </c>
      <c r="L204" t="s">
        <v>74</v>
      </c>
      <c r="M204" t="s">
        <v>78</v>
      </c>
      <c r="N204" t="s">
        <v>79</v>
      </c>
      <c r="O204" t="s">
        <v>74</v>
      </c>
      <c r="P204" t="s">
        <v>74</v>
      </c>
      <c r="Q204" t="s">
        <v>74</v>
      </c>
      <c r="R204" t="s">
        <v>74</v>
      </c>
      <c r="S204" t="s">
        <v>74</v>
      </c>
      <c r="T204" t="s">
        <v>74</v>
      </c>
      <c r="U204" t="s">
        <v>4405</v>
      </c>
      <c r="V204" t="s">
        <v>4406</v>
      </c>
      <c r="W204" t="s">
        <v>4407</v>
      </c>
      <c r="X204" t="s">
        <v>4408</v>
      </c>
      <c r="Y204" t="s">
        <v>4409</v>
      </c>
      <c r="Z204" t="s">
        <v>4410</v>
      </c>
      <c r="AA204" t="s">
        <v>4411</v>
      </c>
      <c r="AB204" t="s">
        <v>4412</v>
      </c>
      <c r="AC204" t="s">
        <v>4413</v>
      </c>
      <c r="AD204" t="s">
        <v>4414</v>
      </c>
      <c r="AE204" t="s">
        <v>4415</v>
      </c>
      <c r="AF204" t="s">
        <v>74</v>
      </c>
      <c r="AG204">
        <v>50</v>
      </c>
      <c r="AH204">
        <v>3</v>
      </c>
      <c r="AI204">
        <v>3</v>
      </c>
      <c r="AJ204">
        <v>0</v>
      </c>
      <c r="AK204">
        <v>1</v>
      </c>
      <c r="AL204" t="s">
        <v>2460</v>
      </c>
      <c r="AM204" t="s">
        <v>2461</v>
      </c>
      <c r="AN204" t="s">
        <v>2462</v>
      </c>
      <c r="AO204" t="s">
        <v>2485</v>
      </c>
      <c r="AP204" t="s">
        <v>2486</v>
      </c>
      <c r="AQ204" t="s">
        <v>74</v>
      </c>
      <c r="AR204" t="s">
        <v>2473</v>
      </c>
      <c r="AS204" t="s">
        <v>2487</v>
      </c>
      <c r="AT204" t="s">
        <v>4380</v>
      </c>
      <c r="AU204">
        <v>2022</v>
      </c>
      <c r="AV204">
        <v>16</v>
      </c>
      <c r="AW204">
        <v>9</v>
      </c>
      <c r="AX204" t="s">
        <v>74</v>
      </c>
      <c r="AY204" t="s">
        <v>74</v>
      </c>
      <c r="AZ204" t="s">
        <v>74</v>
      </c>
      <c r="BA204" t="s">
        <v>74</v>
      </c>
      <c r="BB204">
        <v>3703</v>
      </c>
      <c r="BC204">
        <v>3721</v>
      </c>
      <c r="BD204" t="s">
        <v>74</v>
      </c>
      <c r="BE204" t="s">
        <v>4416</v>
      </c>
      <c r="BF204" t="str">
        <f>HYPERLINK("http://dx.doi.org/10.5194/tc-16-3703-2022","http://dx.doi.org/10.5194/tc-16-3703-2022")</f>
        <v>http://dx.doi.org/10.5194/tc-16-3703-2022</v>
      </c>
      <c r="BG204" t="s">
        <v>74</v>
      </c>
      <c r="BH204" t="s">
        <v>74</v>
      </c>
      <c r="BI204">
        <v>19</v>
      </c>
      <c r="BJ204" t="s">
        <v>354</v>
      </c>
      <c r="BK204" t="s">
        <v>100</v>
      </c>
      <c r="BL204" t="s">
        <v>241</v>
      </c>
      <c r="BM204" t="s">
        <v>4417</v>
      </c>
      <c r="BN204" t="s">
        <v>74</v>
      </c>
      <c r="BO204" t="s">
        <v>3262</v>
      </c>
      <c r="BP204" t="s">
        <v>74</v>
      </c>
      <c r="BQ204" t="s">
        <v>74</v>
      </c>
      <c r="BR204" t="s">
        <v>103</v>
      </c>
      <c r="BS204" t="s">
        <v>4418</v>
      </c>
      <c r="BT204" t="str">
        <f>HYPERLINK("https%3A%2F%2Fwww.webofscience.com%2Fwos%2Fwoscc%2Ffull-record%2FWOS:000853435500001","View Full Record in Web of Science")</f>
        <v>View Full Record in Web of Science</v>
      </c>
    </row>
    <row r="205" spans="1:72" x14ac:dyDescent="0.15">
      <c r="A205" t="s">
        <v>72</v>
      </c>
      <c r="B205" t="s">
        <v>4419</v>
      </c>
      <c r="C205" t="s">
        <v>74</v>
      </c>
      <c r="D205" t="s">
        <v>74</v>
      </c>
      <c r="E205" t="s">
        <v>74</v>
      </c>
      <c r="F205" t="s">
        <v>4420</v>
      </c>
      <c r="G205" t="s">
        <v>74</v>
      </c>
      <c r="H205" t="s">
        <v>74</v>
      </c>
      <c r="I205" t="s">
        <v>4421</v>
      </c>
      <c r="J205" t="s">
        <v>4422</v>
      </c>
      <c r="K205" t="s">
        <v>74</v>
      </c>
      <c r="L205" t="s">
        <v>74</v>
      </c>
      <c r="M205" t="s">
        <v>78</v>
      </c>
      <c r="N205" t="s">
        <v>79</v>
      </c>
      <c r="O205" t="s">
        <v>74</v>
      </c>
      <c r="P205" t="s">
        <v>74</v>
      </c>
      <c r="Q205" t="s">
        <v>74</v>
      </c>
      <c r="R205" t="s">
        <v>74</v>
      </c>
      <c r="S205" t="s">
        <v>74</v>
      </c>
      <c r="T205" t="s">
        <v>4423</v>
      </c>
      <c r="U205" t="s">
        <v>4424</v>
      </c>
      <c r="V205" t="s">
        <v>4425</v>
      </c>
      <c r="W205" t="s">
        <v>4426</v>
      </c>
      <c r="X205" t="s">
        <v>4427</v>
      </c>
      <c r="Y205" t="s">
        <v>4428</v>
      </c>
      <c r="Z205" t="s">
        <v>4429</v>
      </c>
      <c r="AA205" t="s">
        <v>4430</v>
      </c>
      <c r="AB205" t="s">
        <v>4431</v>
      </c>
      <c r="AC205" t="s">
        <v>4432</v>
      </c>
      <c r="AD205" t="s">
        <v>1259</v>
      </c>
      <c r="AE205" t="s">
        <v>4433</v>
      </c>
      <c r="AF205" t="s">
        <v>74</v>
      </c>
      <c r="AG205">
        <v>44</v>
      </c>
      <c r="AH205">
        <v>1</v>
      </c>
      <c r="AI205">
        <v>1</v>
      </c>
      <c r="AJ205">
        <v>4</v>
      </c>
      <c r="AK205">
        <v>28</v>
      </c>
      <c r="AL205" t="s">
        <v>231</v>
      </c>
      <c r="AM205" t="s">
        <v>232</v>
      </c>
      <c r="AN205" t="s">
        <v>233</v>
      </c>
      <c r="AO205" t="s">
        <v>4434</v>
      </c>
      <c r="AP205" t="s">
        <v>4435</v>
      </c>
      <c r="AQ205" t="s">
        <v>74</v>
      </c>
      <c r="AR205" t="s">
        <v>4436</v>
      </c>
      <c r="AS205" t="s">
        <v>4437</v>
      </c>
      <c r="AT205" t="s">
        <v>2281</v>
      </c>
      <c r="AU205">
        <v>2022</v>
      </c>
      <c r="AV205">
        <v>124</v>
      </c>
      <c r="AW205">
        <v>11</v>
      </c>
      <c r="AX205" t="s">
        <v>74</v>
      </c>
      <c r="AY205" t="s">
        <v>74</v>
      </c>
      <c r="AZ205" t="s">
        <v>74</v>
      </c>
      <c r="BA205" t="s">
        <v>74</v>
      </c>
      <c r="BB205" t="s">
        <v>74</v>
      </c>
      <c r="BC205" t="s">
        <v>74</v>
      </c>
      <c r="BD205">
        <v>2200049</v>
      </c>
      <c r="BE205" t="s">
        <v>4438</v>
      </c>
      <c r="BF205" t="str">
        <f>HYPERLINK("http://dx.doi.org/10.1002/ejlt.202200049","http://dx.doi.org/10.1002/ejlt.202200049")</f>
        <v>http://dx.doi.org/10.1002/ejlt.202200049</v>
      </c>
      <c r="BG205" t="s">
        <v>74</v>
      </c>
      <c r="BH205" t="s">
        <v>2143</v>
      </c>
      <c r="BI205">
        <v>13</v>
      </c>
      <c r="BJ205" t="s">
        <v>4439</v>
      </c>
      <c r="BK205" t="s">
        <v>100</v>
      </c>
      <c r="BL205" t="s">
        <v>4439</v>
      </c>
      <c r="BM205" t="s">
        <v>4440</v>
      </c>
      <c r="BN205" t="s">
        <v>74</v>
      </c>
      <c r="BO205" t="s">
        <v>74</v>
      </c>
      <c r="BP205" t="s">
        <v>74</v>
      </c>
      <c r="BQ205" t="s">
        <v>74</v>
      </c>
      <c r="BR205" t="s">
        <v>103</v>
      </c>
      <c r="BS205" t="s">
        <v>4441</v>
      </c>
      <c r="BT205" t="str">
        <f>HYPERLINK("https%3A%2F%2Fwww.webofscience.com%2Fwos%2Fwoscc%2Ffull-record%2FWOS:000853576700001","View Full Record in Web of Science")</f>
        <v>View Full Record in Web of Science</v>
      </c>
    </row>
    <row r="206" spans="1:72" x14ac:dyDescent="0.15">
      <c r="A206" t="s">
        <v>72</v>
      </c>
      <c r="B206" t="s">
        <v>4442</v>
      </c>
      <c r="C206" t="s">
        <v>74</v>
      </c>
      <c r="D206" t="s">
        <v>74</v>
      </c>
      <c r="E206" t="s">
        <v>74</v>
      </c>
      <c r="F206" t="s">
        <v>4443</v>
      </c>
      <c r="G206" t="s">
        <v>74</v>
      </c>
      <c r="H206" t="s">
        <v>74</v>
      </c>
      <c r="I206" t="s">
        <v>4444</v>
      </c>
      <c r="J206" t="s">
        <v>4445</v>
      </c>
      <c r="K206" t="s">
        <v>74</v>
      </c>
      <c r="L206" t="s">
        <v>74</v>
      </c>
      <c r="M206" t="s">
        <v>78</v>
      </c>
      <c r="N206" t="s">
        <v>79</v>
      </c>
      <c r="O206" t="s">
        <v>74</v>
      </c>
      <c r="P206" t="s">
        <v>74</v>
      </c>
      <c r="Q206" t="s">
        <v>74</v>
      </c>
      <c r="R206" t="s">
        <v>74</v>
      </c>
      <c r="S206" t="s">
        <v>74</v>
      </c>
      <c r="T206" t="s">
        <v>4446</v>
      </c>
      <c r="U206" t="s">
        <v>4447</v>
      </c>
      <c r="V206" t="s">
        <v>4448</v>
      </c>
      <c r="W206" t="s">
        <v>4449</v>
      </c>
      <c r="X206" t="s">
        <v>4450</v>
      </c>
      <c r="Y206" t="s">
        <v>4451</v>
      </c>
      <c r="Z206" t="s">
        <v>4452</v>
      </c>
      <c r="AA206" t="s">
        <v>74</v>
      </c>
      <c r="AB206" t="s">
        <v>4453</v>
      </c>
      <c r="AC206" t="s">
        <v>4454</v>
      </c>
      <c r="AD206" t="s">
        <v>4455</v>
      </c>
      <c r="AE206" t="s">
        <v>4456</v>
      </c>
      <c r="AF206" t="s">
        <v>74</v>
      </c>
      <c r="AG206">
        <v>48</v>
      </c>
      <c r="AH206">
        <v>0</v>
      </c>
      <c r="AI206">
        <v>0</v>
      </c>
      <c r="AJ206">
        <v>1</v>
      </c>
      <c r="AK206">
        <v>7</v>
      </c>
      <c r="AL206" t="s">
        <v>2391</v>
      </c>
      <c r="AM206" t="s">
        <v>2392</v>
      </c>
      <c r="AN206" t="s">
        <v>2393</v>
      </c>
      <c r="AO206" t="s">
        <v>4457</v>
      </c>
      <c r="AP206" t="s">
        <v>4458</v>
      </c>
      <c r="AQ206" t="s">
        <v>74</v>
      </c>
      <c r="AR206" t="s">
        <v>4459</v>
      </c>
      <c r="AS206" t="s">
        <v>4460</v>
      </c>
      <c r="AT206" t="s">
        <v>2281</v>
      </c>
      <c r="AU206">
        <v>2022</v>
      </c>
      <c r="AV206">
        <v>192</v>
      </c>
      <c r="AW206">
        <v>6</v>
      </c>
      <c r="AX206" t="s">
        <v>74</v>
      </c>
      <c r="AY206" t="s">
        <v>74</v>
      </c>
      <c r="AZ206" t="s">
        <v>74</v>
      </c>
      <c r="BA206" t="s">
        <v>74</v>
      </c>
      <c r="BB206">
        <v>737</v>
      </c>
      <c r="BC206">
        <v>750</v>
      </c>
      <c r="BD206" t="s">
        <v>74</v>
      </c>
      <c r="BE206" t="s">
        <v>4461</v>
      </c>
      <c r="BF206" t="str">
        <f>HYPERLINK("http://dx.doi.org/10.1007/s00360-022-01461-6","http://dx.doi.org/10.1007/s00360-022-01461-6")</f>
        <v>http://dx.doi.org/10.1007/s00360-022-01461-6</v>
      </c>
      <c r="BG206" t="s">
        <v>74</v>
      </c>
      <c r="BH206" t="s">
        <v>2143</v>
      </c>
      <c r="BI206">
        <v>14</v>
      </c>
      <c r="BJ206" t="s">
        <v>4462</v>
      </c>
      <c r="BK206" t="s">
        <v>100</v>
      </c>
      <c r="BL206" t="s">
        <v>4462</v>
      </c>
      <c r="BM206" t="s">
        <v>4463</v>
      </c>
      <c r="BN206">
        <v>36104549</v>
      </c>
      <c r="BO206" t="s">
        <v>1341</v>
      </c>
      <c r="BP206" t="s">
        <v>74</v>
      </c>
      <c r="BQ206" t="s">
        <v>74</v>
      </c>
      <c r="BR206" t="s">
        <v>103</v>
      </c>
      <c r="BS206" t="s">
        <v>4464</v>
      </c>
      <c r="BT206" t="str">
        <f>HYPERLINK("https%3A%2F%2Fwww.webofscience.com%2Fwos%2Fwoscc%2Ffull-record%2FWOS:000854720100001","View Full Record in Web of Science")</f>
        <v>View Full Record in Web of Science</v>
      </c>
    </row>
    <row r="207" spans="1:72" x14ac:dyDescent="0.15">
      <c r="A207" t="s">
        <v>72</v>
      </c>
      <c r="B207" t="s">
        <v>4465</v>
      </c>
      <c r="C207" t="s">
        <v>74</v>
      </c>
      <c r="D207" t="s">
        <v>74</v>
      </c>
      <c r="E207" t="s">
        <v>74</v>
      </c>
      <c r="F207" t="s">
        <v>4466</v>
      </c>
      <c r="G207" t="s">
        <v>74</v>
      </c>
      <c r="H207" t="s">
        <v>74</v>
      </c>
      <c r="I207" t="s">
        <v>4467</v>
      </c>
      <c r="J207" t="s">
        <v>4468</v>
      </c>
      <c r="K207" t="s">
        <v>74</v>
      </c>
      <c r="L207" t="s">
        <v>74</v>
      </c>
      <c r="M207" t="s">
        <v>78</v>
      </c>
      <c r="N207" t="s">
        <v>79</v>
      </c>
      <c r="O207" t="s">
        <v>74</v>
      </c>
      <c r="P207" t="s">
        <v>74</v>
      </c>
      <c r="Q207" t="s">
        <v>74</v>
      </c>
      <c r="R207" t="s">
        <v>74</v>
      </c>
      <c r="S207" t="s">
        <v>74</v>
      </c>
      <c r="T207" t="s">
        <v>4469</v>
      </c>
      <c r="U207" t="s">
        <v>4470</v>
      </c>
      <c r="V207" t="s">
        <v>4471</v>
      </c>
      <c r="W207" t="s">
        <v>4472</v>
      </c>
      <c r="X207" t="s">
        <v>4473</v>
      </c>
      <c r="Y207" t="s">
        <v>4474</v>
      </c>
      <c r="Z207" t="s">
        <v>4475</v>
      </c>
      <c r="AA207" t="s">
        <v>4476</v>
      </c>
      <c r="AB207" t="s">
        <v>4477</v>
      </c>
      <c r="AC207" t="s">
        <v>4478</v>
      </c>
      <c r="AD207" t="s">
        <v>4479</v>
      </c>
      <c r="AE207" t="s">
        <v>4480</v>
      </c>
      <c r="AF207" t="s">
        <v>74</v>
      </c>
      <c r="AG207">
        <v>47</v>
      </c>
      <c r="AH207">
        <v>4</v>
      </c>
      <c r="AI207">
        <v>4</v>
      </c>
      <c r="AJ207">
        <v>32</v>
      </c>
      <c r="AK207">
        <v>102</v>
      </c>
      <c r="AL207" t="s">
        <v>231</v>
      </c>
      <c r="AM207" t="s">
        <v>232</v>
      </c>
      <c r="AN207" t="s">
        <v>233</v>
      </c>
      <c r="AO207" t="s">
        <v>4481</v>
      </c>
      <c r="AP207" t="s">
        <v>4482</v>
      </c>
      <c r="AQ207" t="s">
        <v>74</v>
      </c>
      <c r="AR207" t="s">
        <v>4483</v>
      </c>
      <c r="AS207" t="s">
        <v>4484</v>
      </c>
      <c r="AT207" t="s">
        <v>428</v>
      </c>
      <c r="AU207">
        <v>2022</v>
      </c>
      <c r="AV207">
        <v>87</v>
      </c>
      <c r="AW207">
        <v>10</v>
      </c>
      <c r="AX207" t="s">
        <v>74</v>
      </c>
      <c r="AY207" t="s">
        <v>74</v>
      </c>
      <c r="AZ207" t="s">
        <v>74</v>
      </c>
      <c r="BA207" t="s">
        <v>74</v>
      </c>
      <c r="BB207">
        <v>4440</v>
      </c>
      <c r="BC207">
        <v>4452</v>
      </c>
      <c r="BD207" t="s">
        <v>74</v>
      </c>
      <c r="BE207" t="s">
        <v>4485</v>
      </c>
      <c r="BF207" t="str">
        <f>HYPERLINK("http://dx.doi.org/10.1111/1750-3841.16308","http://dx.doi.org/10.1111/1750-3841.16308")</f>
        <v>http://dx.doi.org/10.1111/1750-3841.16308</v>
      </c>
      <c r="BG207" t="s">
        <v>74</v>
      </c>
      <c r="BH207" t="s">
        <v>2143</v>
      </c>
      <c r="BI207">
        <v>13</v>
      </c>
      <c r="BJ207" t="s">
        <v>4486</v>
      </c>
      <c r="BK207" t="s">
        <v>100</v>
      </c>
      <c r="BL207" t="s">
        <v>4486</v>
      </c>
      <c r="BM207" t="s">
        <v>4487</v>
      </c>
      <c r="BN207">
        <v>36102040</v>
      </c>
      <c r="BO207" t="s">
        <v>74</v>
      </c>
      <c r="BP207" t="s">
        <v>74</v>
      </c>
      <c r="BQ207" t="s">
        <v>74</v>
      </c>
      <c r="BR207" t="s">
        <v>103</v>
      </c>
      <c r="BS207" t="s">
        <v>4488</v>
      </c>
      <c r="BT207" t="str">
        <f>HYPERLINK("https%3A%2F%2Fwww.webofscience.com%2Fwos%2Fwoscc%2Ffull-record%2FWOS:000853530400001","View Full Record in Web of Science")</f>
        <v>View Full Record in Web of Science</v>
      </c>
    </row>
    <row r="208" spans="1:72" x14ac:dyDescent="0.15">
      <c r="A208" t="s">
        <v>72</v>
      </c>
      <c r="B208" t="s">
        <v>4489</v>
      </c>
      <c r="C208" t="s">
        <v>74</v>
      </c>
      <c r="D208" t="s">
        <v>74</v>
      </c>
      <c r="E208" t="s">
        <v>74</v>
      </c>
      <c r="F208" t="s">
        <v>4490</v>
      </c>
      <c r="G208" t="s">
        <v>74</v>
      </c>
      <c r="H208" t="s">
        <v>74</v>
      </c>
      <c r="I208" t="s">
        <v>4491</v>
      </c>
      <c r="J208" t="s">
        <v>247</v>
      </c>
      <c r="K208" t="s">
        <v>74</v>
      </c>
      <c r="L208" t="s">
        <v>74</v>
      </c>
      <c r="M208" t="s">
        <v>78</v>
      </c>
      <c r="N208" t="s">
        <v>79</v>
      </c>
      <c r="O208" t="s">
        <v>74</v>
      </c>
      <c r="P208" t="s">
        <v>74</v>
      </c>
      <c r="Q208" t="s">
        <v>74</v>
      </c>
      <c r="R208" t="s">
        <v>74</v>
      </c>
      <c r="S208" t="s">
        <v>74</v>
      </c>
      <c r="T208" t="s">
        <v>4492</v>
      </c>
      <c r="U208" t="s">
        <v>4493</v>
      </c>
      <c r="V208" t="s">
        <v>4494</v>
      </c>
      <c r="W208" t="s">
        <v>4495</v>
      </c>
      <c r="X208" t="s">
        <v>4496</v>
      </c>
      <c r="Y208" t="s">
        <v>4497</v>
      </c>
      <c r="Z208" t="s">
        <v>4498</v>
      </c>
      <c r="AA208" t="s">
        <v>4499</v>
      </c>
      <c r="AB208" t="s">
        <v>4500</v>
      </c>
      <c r="AC208" t="s">
        <v>4501</v>
      </c>
      <c r="AD208" t="s">
        <v>4502</v>
      </c>
      <c r="AE208" t="s">
        <v>4503</v>
      </c>
      <c r="AF208" t="s">
        <v>74</v>
      </c>
      <c r="AG208">
        <v>98</v>
      </c>
      <c r="AH208">
        <v>25</v>
      </c>
      <c r="AI208">
        <v>25</v>
      </c>
      <c r="AJ208">
        <v>4</v>
      </c>
      <c r="AK208">
        <v>17</v>
      </c>
      <c r="AL208" t="s">
        <v>121</v>
      </c>
      <c r="AM208" t="s">
        <v>122</v>
      </c>
      <c r="AN208" t="s">
        <v>123</v>
      </c>
      <c r="AO208" t="s">
        <v>74</v>
      </c>
      <c r="AP208" t="s">
        <v>258</v>
      </c>
      <c r="AQ208" t="s">
        <v>74</v>
      </c>
      <c r="AR208" t="s">
        <v>259</v>
      </c>
      <c r="AS208" t="s">
        <v>260</v>
      </c>
      <c r="AT208" t="s">
        <v>4504</v>
      </c>
      <c r="AU208">
        <v>2022</v>
      </c>
      <c r="AV208">
        <v>9</v>
      </c>
      <c r="AW208" t="s">
        <v>74</v>
      </c>
      <c r="AX208" t="s">
        <v>74</v>
      </c>
      <c r="AY208" t="s">
        <v>74</v>
      </c>
      <c r="AZ208" t="s">
        <v>74</v>
      </c>
      <c r="BA208" t="s">
        <v>74</v>
      </c>
      <c r="BB208" t="s">
        <v>74</v>
      </c>
      <c r="BC208" t="s">
        <v>74</v>
      </c>
      <c r="BD208">
        <v>968853</v>
      </c>
      <c r="BE208" t="s">
        <v>4505</v>
      </c>
      <c r="BF208" t="str">
        <f>HYPERLINK("http://dx.doi.org/10.3389/fmars.2022.968853","http://dx.doi.org/10.3389/fmars.2022.968853")</f>
        <v>http://dx.doi.org/10.3389/fmars.2022.968853</v>
      </c>
      <c r="BG208" t="s">
        <v>74</v>
      </c>
      <c r="BH208" t="s">
        <v>74</v>
      </c>
      <c r="BI208">
        <v>16</v>
      </c>
      <c r="BJ208" t="s">
        <v>263</v>
      </c>
      <c r="BK208" t="s">
        <v>100</v>
      </c>
      <c r="BL208" t="s">
        <v>264</v>
      </c>
      <c r="BM208" t="s">
        <v>4506</v>
      </c>
      <c r="BN208" t="s">
        <v>74</v>
      </c>
      <c r="BO208" t="s">
        <v>1655</v>
      </c>
      <c r="BP208" t="s">
        <v>74</v>
      </c>
      <c r="BQ208" t="s">
        <v>74</v>
      </c>
      <c r="BR208" t="s">
        <v>103</v>
      </c>
      <c r="BS208" t="s">
        <v>4507</v>
      </c>
      <c r="BT208" t="str">
        <f>HYPERLINK("https%3A%2F%2Fwww.webofscience.com%2Fwos%2Fwoscc%2Ffull-record%2FWOS:000884557600001","View Full Record in Web of Science")</f>
        <v>View Full Record in Web of Science</v>
      </c>
    </row>
    <row r="209" spans="1:72" x14ac:dyDescent="0.15">
      <c r="A209" t="s">
        <v>72</v>
      </c>
      <c r="B209" t="s">
        <v>4508</v>
      </c>
      <c r="C209" t="s">
        <v>74</v>
      </c>
      <c r="D209" t="s">
        <v>74</v>
      </c>
      <c r="E209" t="s">
        <v>74</v>
      </c>
      <c r="F209" t="s">
        <v>4509</v>
      </c>
      <c r="G209" t="s">
        <v>74</v>
      </c>
      <c r="H209" t="s">
        <v>74</v>
      </c>
      <c r="I209" t="s">
        <v>4510</v>
      </c>
      <c r="J209" t="s">
        <v>4511</v>
      </c>
      <c r="K209" t="s">
        <v>74</v>
      </c>
      <c r="L209" t="s">
        <v>74</v>
      </c>
      <c r="M209" t="s">
        <v>78</v>
      </c>
      <c r="N209" t="s">
        <v>79</v>
      </c>
      <c r="O209" t="s">
        <v>74</v>
      </c>
      <c r="P209" t="s">
        <v>74</v>
      </c>
      <c r="Q209" t="s">
        <v>74</v>
      </c>
      <c r="R209" t="s">
        <v>74</v>
      </c>
      <c r="S209" t="s">
        <v>74</v>
      </c>
      <c r="T209" t="s">
        <v>4512</v>
      </c>
      <c r="U209" t="s">
        <v>4513</v>
      </c>
      <c r="V209" t="s">
        <v>4514</v>
      </c>
      <c r="W209" t="s">
        <v>4515</v>
      </c>
      <c r="X209" t="s">
        <v>4516</v>
      </c>
      <c r="Y209" t="s">
        <v>4517</v>
      </c>
      <c r="Z209" t="s">
        <v>4518</v>
      </c>
      <c r="AA209" t="s">
        <v>74</v>
      </c>
      <c r="AB209" t="s">
        <v>74</v>
      </c>
      <c r="AC209" t="s">
        <v>4519</v>
      </c>
      <c r="AD209" t="s">
        <v>4519</v>
      </c>
      <c r="AE209" t="s">
        <v>4520</v>
      </c>
      <c r="AF209" t="s">
        <v>74</v>
      </c>
      <c r="AG209">
        <v>70</v>
      </c>
      <c r="AH209">
        <v>1</v>
      </c>
      <c r="AI209">
        <v>1</v>
      </c>
      <c r="AJ209">
        <v>0</v>
      </c>
      <c r="AK209">
        <v>1</v>
      </c>
      <c r="AL209" t="s">
        <v>501</v>
      </c>
      <c r="AM209" t="s">
        <v>502</v>
      </c>
      <c r="AN209" t="s">
        <v>503</v>
      </c>
      <c r="AO209" t="s">
        <v>4521</v>
      </c>
      <c r="AP209" t="s">
        <v>4522</v>
      </c>
      <c r="AQ209" t="s">
        <v>74</v>
      </c>
      <c r="AR209" t="s">
        <v>4523</v>
      </c>
      <c r="AS209" t="s">
        <v>4524</v>
      </c>
      <c r="AT209" t="s">
        <v>325</v>
      </c>
      <c r="AU209">
        <v>2022</v>
      </c>
      <c r="AV209">
        <v>256</v>
      </c>
      <c r="AW209" t="s">
        <v>74</v>
      </c>
      <c r="AX209" t="s">
        <v>74</v>
      </c>
      <c r="AY209" t="s">
        <v>74</v>
      </c>
      <c r="AZ209" t="s">
        <v>74</v>
      </c>
      <c r="BA209" t="s">
        <v>74</v>
      </c>
      <c r="BB209" t="s">
        <v>74</v>
      </c>
      <c r="BC209" t="s">
        <v>74</v>
      </c>
      <c r="BD209">
        <v>106466</v>
      </c>
      <c r="BE209" t="s">
        <v>4525</v>
      </c>
      <c r="BF209" t="str">
        <f>HYPERLINK("http://dx.doi.org/10.1016/j.fishres.2022.106466","http://dx.doi.org/10.1016/j.fishres.2022.106466")</f>
        <v>http://dx.doi.org/10.1016/j.fishres.2022.106466</v>
      </c>
      <c r="BG209" t="s">
        <v>74</v>
      </c>
      <c r="BH209" t="s">
        <v>2143</v>
      </c>
      <c r="BI209">
        <v>10</v>
      </c>
      <c r="BJ209" t="s">
        <v>1931</v>
      </c>
      <c r="BK209" t="s">
        <v>100</v>
      </c>
      <c r="BL209" t="s">
        <v>1931</v>
      </c>
      <c r="BM209" t="s">
        <v>4526</v>
      </c>
      <c r="BN209" t="s">
        <v>74</v>
      </c>
      <c r="BO209" t="s">
        <v>74</v>
      </c>
      <c r="BP209" t="s">
        <v>74</v>
      </c>
      <c r="BQ209" t="s">
        <v>74</v>
      </c>
      <c r="BR209" t="s">
        <v>103</v>
      </c>
      <c r="BS209" t="s">
        <v>4527</v>
      </c>
      <c r="BT209" t="str">
        <f>HYPERLINK("https%3A%2F%2Fwww.webofscience.com%2Fwos%2Fwoscc%2Ffull-record%2FWOS:000870882200006","View Full Record in Web of Science")</f>
        <v>View Full Record in Web of Science</v>
      </c>
    </row>
    <row r="210" spans="1:72" x14ac:dyDescent="0.15">
      <c r="A210" t="s">
        <v>72</v>
      </c>
      <c r="B210" t="s">
        <v>4528</v>
      </c>
      <c r="C210" t="s">
        <v>74</v>
      </c>
      <c r="D210" t="s">
        <v>74</v>
      </c>
      <c r="E210" t="s">
        <v>74</v>
      </c>
      <c r="F210" t="s">
        <v>4529</v>
      </c>
      <c r="G210" t="s">
        <v>74</v>
      </c>
      <c r="H210" t="s">
        <v>74</v>
      </c>
      <c r="I210" t="s">
        <v>4530</v>
      </c>
      <c r="J210" t="s">
        <v>4531</v>
      </c>
      <c r="K210" t="s">
        <v>74</v>
      </c>
      <c r="L210" t="s">
        <v>74</v>
      </c>
      <c r="M210" t="s">
        <v>78</v>
      </c>
      <c r="N210" t="s">
        <v>79</v>
      </c>
      <c r="O210" t="s">
        <v>74</v>
      </c>
      <c r="P210" t="s">
        <v>74</v>
      </c>
      <c r="Q210" t="s">
        <v>74</v>
      </c>
      <c r="R210" t="s">
        <v>74</v>
      </c>
      <c r="S210" t="s">
        <v>74</v>
      </c>
      <c r="T210" t="s">
        <v>4532</v>
      </c>
      <c r="U210" t="s">
        <v>4533</v>
      </c>
      <c r="V210" t="s">
        <v>4534</v>
      </c>
      <c r="W210" t="s">
        <v>4535</v>
      </c>
      <c r="X210" t="s">
        <v>4536</v>
      </c>
      <c r="Y210" t="s">
        <v>4537</v>
      </c>
      <c r="Z210" t="s">
        <v>4538</v>
      </c>
      <c r="AA210" t="s">
        <v>4539</v>
      </c>
      <c r="AB210" t="s">
        <v>4540</v>
      </c>
      <c r="AC210" t="s">
        <v>74</v>
      </c>
      <c r="AD210" t="s">
        <v>74</v>
      </c>
      <c r="AE210" t="s">
        <v>74</v>
      </c>
      <c r="AF210" t="s">
        <v>74</v>
      </c>
      <c r="AG210">
        <v>72</v>
      </c>
      <c r="AH210">
        <v>5</v>
      </c>
      <c r="AI210">
        <v>5</v>
      </c>
      <c r="AJ210">
        <v>6</v>
      </c>
      <c r="AK210">
        <v>25</v>
      </c>
      <c r="AL210" t="s">
        <v>121</v>
      </c>
      <c r="AM210" t="s">
        <v>122</v>
      </c>
      <c r="AN210" t="s">
        <v>123</v>
      </c>
      <c r="AO210" t="s">
        <v>4541</v>
      </c>
      <c r="AP210" t="s">
        <v>74</v>
      </c>
      <c r="AQ210" t="s">
        <v>74</v>
      </c>
      <c r="AR210" t="s">
        <v>4542</v>
      </c>
      <c r="AS210" t="s">
        <v>4543</v>
      </c>
      <c r="AT210" t="s">
        <v>4504</v>
      </c>
      <c r="AU210">
        <v>2022</v>
      </c>
      <c r="AV210">
        <v>13</v>
      </c>
      <c r="AW210" t="s">
        <v>74</v>
      </c>
      <c r="AX210" t="s">
        <v>74</v>
      </c>
      <c r="AY210" t="s">
        <v>74</v>
      </c>
      <c r="AZ210" t="s">
        <v>74</v>
      </c>
      <c r="BA210" t="s">
        <v>74</v>
      </c>
      <c r="BB210" t="s">
        <v>74</v>
      </c>
      <c r="BC210" t="s">
        <v>74</v>
      </c>
      <c r="BD210">
        <v>1006991</v>
      </c>
      <c r="BE210" t="s">
        <v>4544</v>
      </c>
      <c r="BF210" t="str">
        <f>HYPERLINK("http://dx.doi.org/10.3389/fpls.2022.1006991","http://dx.doi.org/10.3389/fpls.2022.1006991")</f>
        <v>http://dx.doi.org/10.3389/fpls.2022.1006991</v>
      </c>
      <c r="BG210" t="s">
        <v>74</v>
      </c>
      <c r="BH210" t="s">
        <v>74</v>
      </c>
      <c r="BI210">
        <v>20</v>
      </c>
      <c r="BJ210" t="s">
        <v>1438</v>
      </c>
      <c r="BK210" t="s">
        <v>100</v>
      </c>
      <c r="BL210" t="s">
        <v>1438</v>
      </c>
      <c r="BM210" t="s">
        <v>4545</v>
      </c>
      <c r="BN210">
        <v>36176693</v>
      </c>
      <c r="BO210" t="s">
        <v>132</v>
      </c>
      <c r="BP210" t="s">
        <v>74</v>
      </c>
      <c r="BQ210" t="s">
        <v>74</v>
      </c>
      <c r="BR210" t="s">
        <v>103</v>
      </c>
      <c r="BS210" t="s">
        <v>4546</v>
      </c>
      <c r="BT210" t="str">
        <f>HYPERLINK("https%3A%2F%2Fwww.webofscience.com%2Fwos%2Fwoscc%2Ffull-record%2FWOS:000861213800001","View Full Record in Web of Science")</f>
        <v>View Full Record in Web of Science</v>
      </c>
    </row>
    <row r="211" spans="1:72" x14ac:dyDescent="0.15">
      <c r="A211" t="s">
        <v>72</v>
      </c>
      <c r="B211" t="s">
        <v>4547</v>
      </c>
      <c r="C211" t="s">
        <v>74</v>
      </c>
      <c r="D211" t="s">
        <v>74</v>
      </c>
      <c r="E211" t="s">
        <v>74</v>
      </c>
      <c r="F211" t="s">
        <v>4548</v>
      </c>
      <c r="G211" t="s">
        <v>74</v>
      </c>
      <c r="H211" t="s">
        <v>74</v>
      </c>
      <c r="I211" t="s">
        <v>4549</v>
      </c>
      <c r="J211" t="s">
        <v>2265</v>
      </c>
      <c r="K211" t="s">
        <v>74</v>
      </c>
      <c r="L211" t="s">
        <v>74</v>
      </c>
      <c r="M211" t="s">
        <v>78</v>
      </c>
      <c r="N211" t="s">
        <v>79</v>
      </c>
      <c r="O211" t="s">
        <v>74</v>
      </c>
      <c r="P211" t="s">
        <v>74</v>
      </c>
      <c r="Q211" t="s">
        <v>74</v>
      </c>
      <c r="R211" t="s">
        <v>74</v>
      </c>
      <c r="S211" t="s">
        <v>74</v>
      </c>
      <c r="T211" t="s">
        <v>4550</v>
      </c>
      <c r="U211" t="s">
        <v>4551</v>
      </c>
      <c r="V211" t="s">
        <v>4552</v>
      </c>
      <c r="W211" t="s">
        <v>4553</v>
      </c>
      <c r="X211" t="s">
        <v>4554</v>
      </c>
      <c r="Y211" t="s">
        <v>4555</v>
      </c>
      <c r="Z211" t="s">
        <v>4556</v>
      </c>
      <c r="AA211" t="s">
        <v>4557</v>
      </c>
      <c r="AB211" t="s">
        <v>4558</v>
      </c>
      <c r="AC211" t="s">
        <v>74</v>
      </c>
      <c r="AD211" t="s">
        <v>74</v>
      </c>
      <c r="AE211" t="s">
        <v>74</v>
      </c>
      <c r="AF211" t="s">
        <v>74</v>
      </c>
      <c r="AG211">
        <v>93</v>
      </c>
      <c r="AH211">
        <v>5</v>
      </c>
      <c r="AI211">
        <v>5</v>
      </c>
      <c r="AJ211">
        <v>1</v>
      </c>
      <c r="AK211">
        <v>8</v>
      </c>
      <c r="AL211" t="s">
        <v>2275</v>
      </c>
      <c r="AM211" t="s">
        <v>90</v>
      </c>
      <c r="AN211" t="s">
        <v>2276</v>
      </c>
      <c r="AO211" t="s">
        <v>2277</v>
      </c>
      <c r="AP211" t="s">
        <v>2278</v>
      </c>
      <c r="AQ211" t="s">
        <v>74</v>
      </c>
      <c r="AR211" t="s">
        <v>2279</v>
      </c>
      <c r="AS211" t="s">
        <v>2280</v>
      </c>
      <c r="AT211" t="s">
        <v>2281</v>
      </c>
      <c r="AU211">
        <v>2022</v>
      </c>
      <c r="AV211">
        <v>184</v>
      </c>
      <c r="AW211" t="s">
        <v>74</v>
      </c>
      <c r="AX211" t="s">
        <v>74</v>
      </c>
      <c r="AY211" t="s">
        <v>74</v>
      </c>
      <c r="AZ211" t="s">
        <v>74</v>
      </c>
      <c r="BA211" t="s">
        <v>74</v>
      </c>
      <c r="BB211" t="s">
        <v>74</v>
      </c>
      <c r="BC211" t="s">
        <v>74</v>
      </c>
      <c r="BD211">
        <v>114096</v>
      </c>
      <c r="BE211" t="s">
        <v>4559</v>
      </c>
      <c r="BF211" t="str">
        <f>HYPERLINK("http://dx.doi.org/10.1016/j.marpolbul.2022.114096","http://dx.doi.org/10.1016/j.marpolbul.2022.114096")</f>
        <v>http://dx.doi.org/10.1016/j.marpolbul.2022.114096</v>
      </c>
      <c r="BG211" t="s">
        <v>74</v>
      </c>
      <c r="BH211" t="s">
        <v>2143</v>
      </c>
      <c r="BI211">
        <v>9</v>
      </c>
      <c r="BJ211" t="s">
        <v>263</v>
      </c>
      <c r="BK211" t="s">
        <v>100</v>
      </c>
      <c r="BL211" t="s">
        <v>264</v>
      </c>
      <c r="BM211" t="s">
        <v>4560</v>
      </c>
      <c r="BN211">
        <v>36113176</v>
      </c>
      <c r="BO211" t="s">
        <v>74</v>
      </c>
      <c r="BP211" t="s">
        <v>74</v>
      </c>
      <c r="BQ211" t="s">
        <v>74</v>
      </c>
      <c r="BR211" t="s">
        <v>103</v>
      </c>
      <c r="BS211" t="s">
        <v>4561</v>
      </c>
      <c r="BT211" t="str">
        <f>HYPERLINK("https%3A%2F%2Fwww.webofscience.com%2Fwos%2Fwoscc%2Ffull-record%2FWOS:000860321400003","View Full Record in Web of Science")</f>
        <v>View Full Record in Web of Science</v>
      </c>
    </row>
    <row r="212" spans="1:72" x14ac:dyDescent="0.15">
      <c r="A212" t="s">
        <v>72</v>
      </c>
      <c r="B212" t="s">
        <v>4562</v>
      </c>
      <c r="C212" t="s">
        <v>74</v>
      </c>
      <c r="D212" t="s">
        <v>74</v>
      </c>
      <c r="E212" t="s">
        <v>74</v>
      </c>
      <c r="F212" t="s">
        <v>4563</v>
      </c>
      <c r="G212" t="s">
        <v>74</v>
      </c>
      <c r="H212" t="s">
        <v>74</v>
      </c>
      <c r="I212" t="s">
        <v>4564</v>
      </c>
      <c r="J212" t="s">
        <v>4565</v>
      </c>
      <c r="K212" t="s">
        <v>74</v>
      </c>
      <c r="L212" t="s">
        <v>74</v>
      </c>
      <c r="M212" t="s">
        <v>78</v>
      </c>
      <c r="N212" t="s">
        <v>79</v>
      </c>
      <c r="O212" t="s">
        <v>74</v>
      </c>
      <c r="P212" t="s">
        <v>74</v>
      </c>
      <c r="Q212" t="s">
        <v>74</v>
      </c>
      <c r="R212" t="s">
        <v>74</v>
      </c>
      <c r="S212" t="s">
        <v>74</v>
      </c>
      <c r="T212" t="s">
        <v>4566</v>
      </c>
      <c r="U212" t="s">
        <v>4567</v>
      </c>
      <c r="V212" t="s">
        <v>4568</v>
      </c>
      <c r="W212" t="s">
        <v>4569</v>
      </c>
      <c r="X212" t="s">
        <v>4570</v>
      </c>
      <c r="Y212" t="s">
        <v>4571</v>
      </c>
      <c r="Z212" t="s">
        <v>4572</v>
      </c>
      <c r="AA212" t="s">
        <v>74</v>
      </c>
      <c r="AB212" t="s">
        <v>4573</v>
      </c>
      <c r="AC212" t="s">
        <v>4574</v>
      </c>
      <c r="AD212" t="s">
        <v>4575</v>
      </c>
      <c r="AE212" t="s">
        <v>4576</v>
      </c>
      <c r="AF212" t="s">
        <v>74</v>
      </c>
      <c r="AG212">
        <v>28</v>
      </c>
      <c r="AH212">
        <v>3</v>
      </c>
      <c r="AI212">
        <v>3</v>
      </c>
      <c r="AJ212">
        <v>1</v>
      </c>
      <c r="AK212">
        <v>4</v>
      </c>
      <c r="AL212" t="s">
        <v>501</v>
      </c>
      <c r="AM212" t="s">
        <v>502</v>
      </c>
      <c r="AN212" t="s">
        <v>503</v>
      </c>
      <c r="AO212" t="s">
        <v>4577</v>
      </c>
      <c r="AP212" t="s">
        <v>74</v>
      </c>
      <c r="AQ212" t="s">
        <v>74</v>
      </c>
      <c r="AR212" t="s">
        <v>4578</v>
      </c>
      <c r="AS212" t="s">
        <v>4579</v>
      </c>
      <c r="AT212" t="s">
        <v>2281</v>
      </c>
      <c r="AU212">
        <v>2022</v>
      </c>
      <c r="AV212">
        <v>28</v>
      </c>
      <c r="AW212" t="s">
        <v>74</v>
      </c>
      <c r="AX212" t="s">
        <v>74</v>
      </c>
      <c r="AY212" t="s">
        <v>74</v>
      </c>
      <c r="AZ212" t="s">
        <v>74</v>
      </c>
      <c r="BA212" t="s">
        <v>74</v>
      </c>
      <c r="BB212" t="s">
        <v>74</v>
      </c>
      <c r="BC212" t="s">
        <v>74</v>
      </c>
      <c r="BD212">
        <v>100836</v>
      </c>
      <c r="BE212" t="s">
        <v>4580</v>
      </c>
      <c r="BF212" t="str">
        <f>HYPERLINK("http://dx.doi.org/10.1016/j.rsase.2022.100836","http://dx.doi.org/10.1016/j.rsase.2022.100836")</f>
        <v>http://dx.doi.org/10.1016/j.rsase.2022.100836</v>
      </c>
      <c r="BG212" t="s">
        <v>74</v>
      </c>
      <c r="BH212" t="s">
        <v>2143</v>
      </c>
      <c r="BI212">
        <v>8</v>
      </c>
      <c r="BJ212" t="s">
        <v>4581</v>
      </c>
      <c r="BK212" t="s">
        <v>215</v>
      </c>
      <c r="BL212" t="s">
        <v>4582</v>
      </c>
      <c r="BM212" t="s">
        <v>4583</v>
      </c>
      <c r="BN212" t="s">
        <v>74</v>
      </c>
      <c r="BO212" t="s">
        <v>831</v>
      </c>
      <c r="BP212" t="s">
        <v>74</v>
      </c>
      <c r="BQ212" t="s">
        <v>74</v>
      </c>
      <c r="BR212" t="s">
        <v>103</v>
      </c>
      <c r="BS212" t="s">
        <v>4584</v>
      </c>
      <c r="BT212" t="str">
        <f>HYPERLINK("https%3A%2F%2Fwww.webofscience.com%2Fwos%2Fwoscc%2Ffull-record%2FWOS:000856530500001","View Full Record in Web of Science")</f>
        <v>View Full Record in Web of Science</v>
      </c>
    </row>
    <row r="213" spans="1:72" x14ac:dyDescent="0.15">
      <c r="A213" t="s">
        <v>72</v>
      </c>
      <c r="B213" t="s">
        <v>4585</v>
      </c>
      <c r="C213" t="s">
        <v>74</v>
      </c>
      <c r="D213" t="s">
        <v>74</v>
      </c>
      <c r="E213" t="s">
        <v>74</v>
      </c>
      <c r="F213" t="s">
        <v>4586</v>
      </c>
      <c r="G213" t="s">
        <v>74</v>
      </c>
      <c r="H213" t="s">
        <v>74</v>
      </c>
      <c r="I213" t="s">
        <v>4587</v>
      </c>
      <c r="J213" t="s">
        <v>4588</v>
      </c>
      <c r="K213" t="s">
        <v>74</v>
      </c>
      <c r="L213" t="s">
        <v>74</v>
      </c>
      <c r="M213" t="s">
        <v>78</v>
      </c>
      <c r="N213" t="s">
        <v>2122</v>
      </c>
      <c r="O213" t="s">
        <v>74</v>
      </c>
      <c r="P213" t="s">
        <v>74</v>
      </c>
      <c r="Q213" t="s">
        <v>74</v>
      </c>
      <c r="R213" t="s">
        <v>74</v>
      </c>
      <c r="S213" t="s">
        <v>74</v>
      </c>
      <c r="T213" t="s">
        <v>4589</v>
      </c>
      <c r="U213" t="s">
        <v>4590</v>
      </c>
      <c r="V213" t="s">
        <v>4591</v>
      </c>
      <c r="W213" t="s">
        <v>4592</v>
      </c>
      <c r="X213" t="s">
        <v>4593</v>
      </c>
      <c r="Y213" t="s">
        <v>4594</v>
      </c>
      <c r="Z213" t="s">
        <v>4595</v>
      </c>
      <c r="AA213" t="s">
        <v>4596</v>
      </c>
      <c r="AB213" t="s">
        <v>4597</v>
      </c>
      <c r="AC213" t="s">
        <v>74</v>
      </c>
      <c r="AD213" t="s">
        <v>74</v>
      </c>
      <c r="AE213" t="s">
        <v>74</v>
      </c>
      <c r="AF213" t="s">
        <v>74</v>
      </c>
      <c r="AG213">
        <v>36</v>
      </c>
      <c r="AH213">
        <v>2</v>
      </c>
      <c r="AI213">
        <v>2</v>
      </c>
      <c r="AJ213">
        <v>10</v>
      </c>
      <c r="AK213">
        <v>41</v>
      </c>
      <c r="AL213" t="s">
        <v>2391</v>
      </c>
      <c r="AM213" t="s">
        <v>2392</v>
      </c>
      <c r="AN213" t="s">
        <v>2393</v>
      </c>
      <c r="AO213" t="s">
        <v>4598</v>
      </c>
      <c r="AP213" t="s">
        <v>4599</v>
      </c>
      <c r="AQ213" t="s">
        <v>74</v>
      </c>
      <c r="AR213" t="s">
        <v>4600</v>
      </c>
      <c r="AS213" t="s">
        <v>4601</v>
      </c>
      <c r="AT213" t="s">
        <v>4602</v>
      </c>
      <c r="AU213">
        <v>2022</v>
      </c>
      <c r="AV213" t="s">
        <v>74</v>
      </c>
      <c r="AW213" t="s">
        <v>74</v>
      </c>
      <c r="AX213" t="s">
        <v>74</v>
      </c>
      <c r="AY213" t="s">
        <v>74</v>
      </c>
      <c r="AZ213" t="s">
        <v>74</v>
      </c>
      <c r="BA213" t="s">
        <v>74</v>
      </c>
      <c r="BB213" t="s">
        <v>74</v>
      </c>
      <c r="BC213" t="s">
        <v>74</v>
      </c>
      <c r="BD213" t="s">
        <v>74</v>
      </c>
      <c r="BE213" t="s">
        <v>4603</v>
      </c>
      <c r="BF213" t="str">
        <f>HYPERLINK("http://dx.doi.org/10.1007/s13204-022-02618-z","http://dx.doi.org/10.1007/s13204-022-02618-z")</f>
        <v>http://dx.doi.org/10.1007/s13204-022-02618-z</v>
      </c>
      <c r="BG213" t="s">
        <v>74</v>
      </c>
      <c r="BH213" t="s">
        <v>2143</v>
      </c>
      <c r="BI213">
        <v>8</v>
      </c>
      <c r="BJ213" t="s">
        <v>4604</v>
      </c>
      <c r="BK213" t="s">
        <v>100</v>
      </c>
      <c r="BL213" t="s">
        <v>157</v>
      </c>
      <c r="BM213" t="s">
        <v>4605</v>
      </c>
      <c r="BN213" t="s">
        <v>74</v>
      </c>
      <c r="BO213" t="s">
        <v>74</v>
      </c>
      <c r="BP213" t="s">
        <v>74</v>
      </c>
      <c r="BQ213" t="s">
        <v>74</v>
      </c>
      <c r="BR213" t="s">
        <v>103</v>
      </c>
      <c r="BS213" t="s">
        <v>4606</v>
      </c>
      <c r="BT213" t="str">
        <f>HYPERLINK("https%3A%2F%2Fwww.webofscience.com%2Fwos%2Fwoscc%2Ffull-record%2FWOS:000853514000007","View Full Record in Web of Science")</f>
        <v>View Full Record in Web of Science</v>
      </c>
    </row>
    <row r="214" spans="1:72" x14ac:dyDescent="0.15">
      <c r="A214" t="s">
        <v>72</v>
      </c>
      <c r="B214" t="s">
        <v>4607</v>
      </c>
      <c r="C214" t="s">
        <v>74</v>
      </c>
      <c r="D214" t="s">
        <v>74</v>
      </c>
      <c r="E214" t="s">
        <v>74</v>
      </c>
      <c r="F214" t="s">
        <v>4608</v>
      </c>
      <c r="G214" t="s">
        <v>74</v>
      </c>
      <c r="H214" t="s">
        <v>74</v>
      </c>
      <c r="I214" t="s">
        <v>4609</v>
      </c>
      <c r="J214" t="s">
        <v>2473</v>
      </c>
      <c r="K214" t="s">
        <v>74</v>
      </c>
      <c r="L214" t="s">
        <v>74</v>
      </c>
      <c r="M214" t="s">
        <v>78</v>
      </c>
      <c r="N214" t="s">
        <v>79</v>
      </c>
      <c r="O214" t="s">
        <v>74</v>
      </c>
      <c r="P214" t="s">
        <v>74</v>
      </c>
      <c r="Q214" t="s">
        <v>74</v>
      </c>
      <c r="R214" t="s">
        <v>74</v>
      </c>
      <c r="S214" t="s">
        <v>74</v>
      </c>
      <c r="T214" t="s">
        <v>74</v>
      </c>
      <c r="U214" t="s">
        <v>4610</v>
      </c>
      <c r="V214" t="s">
        <v>4611</v>
      </c>
      <c r="W214" t="s">
        <v>4612</v>
      </c>
      <c r="X214" t="s">
        <v>4613</v>
      </c>
      <c r="Y214" t="s">
        <v>4614</v>
      </c>
      <c r="Z214" t="s">
        <v>4615</v>
      </c>
      <c r="AA214" t="s">
        <v>4616</v>
      </c>
      <c r="AB214" t="s">
        <v>4617</v>
      </c>
      <c r="AC214" t="s">
        <v>4618</v>
      </c>
      <c r="AD214" t="s">
        <v>4619</v>
      </c>
      <c r="AE214" t="s">
        <v>4620</v>
      </c>
      <c r="AF214" t="s">
        <v>74</v>
      </c>
      <c r="AG214">
        <v>75</v>
      </c>
      <c r="AH214">
        <v>2</v>
      </c>
      <c r="AI214">
        <v>2</v>
      </c>
      <c r="AJ214">
        <v>1</v>
      </c>
      <c r="AK214">
        <v>9</v>
      </c>
      <c r="AL214" t="s">
        <v>2460</v>
      </c>
      <c r="AM214" t="s">
        <v>2461</v>
      </c>
      <c r="AN214" t="s">
        <v>2462</v>
      </c>
      <c r="AO214" t="s">
        <v>2485</v>
      </c>
      <c r="AP214" t="s">
        <v>2486</v>
      </c>
      <c r="AQ214" t="s">
        <v>74</v>
      </c>
      <c r="AR214" t="s">
        <v>2473</v>
      </c>
      <c r="AS214" t="s">
        <v>2487</v>
      </c>
      <c r="AT214" t="s">
        <v>4504</v>
      </c>
      <c r="AU214">
        <v>2022</v>
      </c>
      <c r="AV214">
        <v>16</v>
      </c>
      <c r="AW214">
        <v>9</v>
      </c>
      <c r="AX214" t="s">
        <v>74</v>
      </c>
      <c r="AY214" t="s">
        <v>74</v>
      </c>
      <c r="AZ214" t="s">
        <v>74</v>
      </c>
      <c r="BA214" t="s">
        <v>74</v>
      </c>
      <c r="BB214">
        <v>3685</v>
      </c>
      <c r="BC214">
        <v>3701</v>
      </c>
      <c r="BD214" t="s">
        <v>74</v>
      </c>
      <c r="BE214" t="s">
        <v>4621</v>
      </c>
      <c r="BF214" t="str">
        <f>HYPERLINK("http://dx.doi.org/10.5194/tc-16-3685-2022","http://dx.doi.org/10.5194/tc-16-3685-2022")</f>
        <v>http://dx.doi.org/10.5194/tc-16-3685-2022</v>
      </c>
      <c r="BG214" t="s">
        <v>74</v>
      </c>
      <c r="BH214" t="s">
        <v>74</v>
      </c>
      <c r="BI214">
        <v>17</v>
      </c>
      <c r="BJ214" t="s">
        <v>354</v>
      </c>
      <c r="BK214" t="s">
        <v>100</v>
      </c>
      <c r="BL214" t="s">
        <v>241</v>
      </c>
      <c r="BM214" t="s">
        <v>4622</v>
      </c>
      <c r="BN214" t="s">
        <v>74</v>
      </c>
      <c r="BO214" t="s">
        <v>3262</v>
      </c>
      <c r="BP214" t="s">
        <v>74</v>
      </c>
      <c r="BQ214" t="s">
        <v>74</v>
      </c>
      <c r="BR214" t="s">
        <v>103</v>
      </c>
      <c r="BS214" t="s">
        <v>4623</v>
      </c>
      <c r="BT214" t="str">
        <f>HYPERLINK("https%3A%2F%2Fwww.webofscience.com%2Fwos%2Fwoscc%2Ffull-record%2FWOS:000853112600001","View Full Record in Web of Science")</f>
        <v>View Full Record in Web of Science</v>
      </c>
    </row>
    <row r="215" spans="1:72" x14ac:dyDescent="0.15">
      <c r="A215" t="s">
        <v>72</v>
      </c>
      <c r="B215" t="s">
        <v>4624</v>
      </c>
      <c r="C215" t="s">
        <v>74</v>
      </c>
      <c r="D215" t="s">
        <v>74</v>
      </c>
      <c r="E215" t="s">
        <v>74</v>
      </c>
      <c r="F215" t="s">
        <v>4625</v>
      </c>
      <c r="G215" t="s">
        <v>74</v>
      </c>
      <c r="H215" t="s">
        <v>74</v>
      </c>
      <c r="I215" t="s">
        <v>4626</v>
      </c>
      <c r="J215" t="s">
        <v>4627</v>
      </c>
      <c r="K215" t="s">
        <v>74</v>
      </c>
      <c r="L215" t="s">
        <v>74</v>
      </c>
      <c r="M215" t="s">
        <v>78</v>
      </c>
      <c r="N215" t="s">
        <v>79</v>
      </c>
      <c r="O215" t="s">
        <v>74</v>
      </c>
      <c r="P215" t="s">
        <v>74</v>
      </c>
      <c r="Q215" t="s">
        <v>74</v>
      </c>
      <c r="R215" t="s">
        <v>74</v>
      </c>
      <c r="S215" t="s">
        <v>74</v>
      </c>
      <c r="T215" t="s">
        <v>74</v>
      </c>
      <c r="U215" t="s">
        <v>4628</v>
      </c>
      <c r="V215" t="s">
        <v>4629</v>
      </c>
      <c r="W215" t="s">
        <v>4630</v>
      </c>
      <c r="X215" t="s">
        <v>4631</v>
      </c>
      <c r="Y215" t="s">
        <v>4632</v>
      </c>
      <c r="Z215" t="s">
        <v>4633</v>
      </c>
      <c r="AA215" t="s">
        <v>74</v>
      </c>
      <c r="AB215" t="s">
        <v>4634</v>
      </c>
      <c r="AC215" t="s">
        <v>4635</v>
      </c>
      <c r="AD215" t="s">
        <v>4636</v>
      </c>
      <c r="AE215" t="s">
        <v>4637</v>
      </c>
      <c r="AF215" t="s">
        <v>74</v>
      </c>
      <c r="AG215">
        <v>86</v>
      </c>
      <c r="AH215">
        <v>1</v>
      </c>
      <c r="AI215">
        <v>1</v>
      </c>
      <c r="AJ215">
        <v>2</v>
      </c>
      <c r="AK215">
        <v>10</v>
      </c>
      <c r="AL215" t="s">
        <v>2460</v>
      </c>
      <c r="AM215" t="s">
        <v>2461</v>
      </c>
      <c r="AN215" t="s">
        <v>2462</v>
      </c>
      <c r="AO215" t="s">
        <v>4638</v>
      </c>
      <c r="AP215" t="s">
        <v>4639</v>
      </c>
      <c r="AQ215" t="s">
        <v>74</v>
      </c>
      <c r="AR215" t="s">
        <v>4640</v>
      </c>
      <c r="AS215" t="s">
        <v>4641</v>
      </c>
      <c r="AT215" t="s">
        <v>4504</v>
      </c>
      <c r="AU215">
        <v>2022</v>
      </c>
      <c r="AV215">
        <v>18</v>
      </c>
      <c r="AW215">
        <v>9</v>
      </c>
      <c r="AX215" t="s">
        <v>74</v>
      </c>
      <c r="AY215" t="s">
        <v>74</v>
      </c>
      <c r="AZ215" t="s">
        <v>74</v>
      </c>
      <c r="BA215" t="s">
        <v>74</v>
      </c>
      <c r="BB215">
        <v>2093</v>
      </c>
      <c r="BC215">
        <v>2115</v>
      </c>
      <c r="BD215" t="s">
        <v>74</v>
      </c>
      <c r="BE215" t="s">
        <v>4642</v>
      </c>
      <c r="BF215" t="str">
        <f>HYPERLINK("http://dx.doi.org/10.5194/cp-18-2093-2022","http://dx.doi.org/10.5194/cp-18-2093-2022")</f>
        <v>http://dx.doi.org/10.5194/cp-18-2093-2022</v>
      </c>
      <c r="BG215" t="s">
        <v>74</v>
      </c>
      <c r="BH215" t="s">
        <v>74</v>
      </c>
      <c r="BI215">
        <v>23</v>
      </c>
      <c r="BJ215" t="s">
        <v>3373</v>
      </c>
      <c r="BK215" t="s">
        <v>100</v>
      </c>
      <c r="BL215" t="s">
        <v>3374</v>
      </c>
      <c r="BM215" t="s">
        <v>4643</v>
      </c>
      <c r="BN215" t="s">
        <v>74</v>
      </c>
      <c r="BO215" t="s">
        <v>1195</v>
      </c>
      <c r="BP215" t="s">
        <v>74</v>
      </c>
      <c r="BQ215" t="s">
        <v>74</v>
      </c>
      <c r="BR215" t="s">
        <v>103</v>
      </c>
      <c r="BS215" t="s">
        <v>4644</v>
      </c>
      <c r="BT215" t="str">
        <f>HYPERLINK("https%3A%2F%2Fwww.webofscience.com%2Fwos%2Fwoscc%2Ffull-record%2FWOS:000853014500001","View Full Record in Web of Science")</f>
        <v>View Full Record in Web of Science</v>
      </c>
    </row>
    <row r="216" spans="1:72" x14ac:dyDescent="0.15">
      <c r="A216" t="s">
        <v>72</v>
      </c>
      <c r="B216" t="s">
        <v>4645</v>
      </c>
      <c r="C216" t="s">
        <v>74</v>
      </c>
      <c r="D216" t="s">
        <v>74</v>
      </c>
      <c r="E216" t="s">
        <v>74</v>
      </c>
      <c r="F216" t="s">
        <v>4646</v>
      </c>
      <c r="G216" t="s">
        <v>74</v>
      </c>
      <c r="H216" t="s">
        <v>74</v>
      </c>
      <c r="I216" t="s">
        <v>4647</v>
      </c>
      <c r="J216" t="s">
        <v>4327</v>
      </c>
      <c r="K216" t="s">
        <v>74</v>
      </c>
      <c r="L216" t="s">
        <v>74</v>
      </c>
      <c r="M216" t="s">
        <v>78</v>
      </c>
      <c r="N216" t="s">
        <v>79</v>
      </c>
      <c r="O216" t="s">
        <v>74</v>
      </c>
      <c r="P216" t="s">
        <v>74</v>
      </c>
      <c r="Q216" t="s">
        <v>74</v>
      </c>
      <c r="R216" t="s">
        <v>74</v>
      </c>
      <c r="S216" t="s">
        <v>74</v>
      </c>
      <c r="T216" t="s">
        <v>4648</v>
      </c>
      <c r="U216" t="s">
        <v>4649</v>
      </c>
      <c r="V216" t="s">
        <v>4650</v>
      </c>
      <c r="W216" t="s">
        <v>4651</v>
      </c>
      <c r="X216" t="s">
        <v>4652</v>
      </c>
      <c r="Y216" t="s">
        <v>4653</v>
      </c>
      <c r="Z216" t="s">
        <v>4654</v>
      </c>
      <c r="AA216" t="s">
        <v>74</v>
      </c>
      <c r="AB216" t="s">
        <v>74</v>
      </c>
      <c r="AC216" t="s">
        <v>4655</v>
      </c>
      <c r="AD216" t="s">
        <v>4656</v>
      </c>
      <c r="AE216" t="s">
        <v>4657</v>
      </c>
      <c r="AF216" t="s">
        <v>74</v>
      </c>
      <c r="AG216">
        <v>99</v>
      </c>
      <c r="AH216">
        <v>4</v>
      </c>
      <c r="AI216">
        <v>4</v>
      </c>
      <c r="AJ216">
        <v>2</v>
      </c>
      <c r="AK216">
        <v>20</v>
      </c>
      <c r="AL216" t="s">
        <v>178</v>
      </c>
      <c r="AM216" t="s">
        <v>450</v>
      </c>
      <c r="AN216" t="s">
        <v>668</v>
      </c>
      <c r="AO216" t="s">
        <v>4340</v>
      </c>
      <c r="AP216" t="s">
        <v>4341</v>
      </c>
      <c r="AQ216" t="s">
        <v>74</v>
      </c>
      <c r="AR216" t="s">
        <v>4342</v>
      </c>
      <c r="AS216" t="s">
        <v>4343</v>
      </c>
      <c r="AT216" t="s">
        <v>3605</v>
      </c>
      <c r="AU216">
        <v>2022</v>
      </c>
      <c r="AV216">
        <v>45</v>
      </c>
      <c r="AW216">
        <v>9</v>
      </c>
      <c r="AX216" t="s">
        <v>74</v>
      </c>
      <c r="AY216" t="s">
        <v>74</v>
      </c>
      <c r="AZ216" t="s">
        <v>74</v>
      </c>
      <c r="BA216" t="s">
        <v>74</v>
      </c>
      <c r="BB216">
        <v>1495</v>
      </c>
      <c r="BC216">
        <v>1512</v>
      </c>
      <c r="BD216" t="s">
        <v>74</v>
      </c>
      <c r="BE216" t="s">
        <v>4658</v>
      </c>
      <c r="BF216" t="str">
        <f>HYPERLINK("http://dx.doi.org/10.1007/s00300-022-03084-7","http://dx.doi.org/10.1007/s00300-022-03084-7")</f>
        <v>http://dx.doi.org/10.1007/s00300-022-03084-7</v>
      </c>
      <c r="BG216" t="s">
        <v>74</v>
      </c>
      <c r="BH216" t="s">
        <v>2143</v>
      </c>
      <c r="BI216">
        <v>18</v>
      </c>
      <c r="BJ216" t="s">
        <v>1169</v>
      </c>
      <c r="BK216" t="s">
        <v>100</v>
      </c>
      <c r="BL216" t="s">
        <v>1170</v>
      </c>
      <c r="BM216" t="s">
        <v>4345</v>
      </c>
      <c r="BN216" t="s">
        <v>74</v>
      </c>
      <c r="BO216" t="s">
        <v>74</v>
      </c>
      <c r="BP216" t="s">
        <v>74</v>
      </c>
      <c r="BQ216" t="s">
        <v>74</v>
      </c>
      <c r="BR216" t="s">
        <v>103</v>
      </c>
      <c r="BS216" t="s">
        <v>4659</v>
      </c>
      <c r="BT216" t="str">
        <f>HYPERLINK("https%3A%2F%2Fwww.webofscience.com%2Fwos%2Fwoscc%2Ffull-record%2FWOS:000853286700001","View Full Record in Web of Science")</f>
        <v>View Full Record in Web of Science</v>
      </c>
    </row>
    <row r="217" spans="1:72" x14ac:dyDescent="0.15">
      <c r="A217" t="s">
        <v>72</v>
      </c>
      <c r="B217" t="s">
        <v>4660</v>
      </c>
      <c r="C217" t="s">
        <v>74</v>
      </c>
      <c r="D217" t="s">
        <v>74</v>
      </c>
      <c r="E217" t="s">
        <v>74</v>
      </c>
      <c r="F217" t="s">
        <v>4661</v>
      </c>
      <c r="G217" t="s">
        <v>74</v>
      </c>
      <c r="H217" t="s">
        <v>74</v>
      </c>
      <c r="I217" t="s">
        <v>4662</v>
      </c>
      <c r="J217" t="s">
        <v>2872</v>
      </c>
      <c r="K217" t="s">
        <v>74</v>
      </c>
      <c r="L217" t="s">
        <v>74</v>
      </c>
      <c r="M217" t="s">
        <v>78</v>
      </c>
      <c r="N217" t="s">
        <v>79</v>
      </c>
      <c r="O217" t="s">
        <v>74</v>
      </c>
      <c r="P217" t="s">
        <v>74</v>
      </c>
      <c r="Q217" t="s">
        <v>74</v>
      </c>
      <c r="R217" t="s">
        <v>74</v>
      </c>
      <c r="S217" t="s">
        <v>74</v>
      </c>
      <c r="T217" t="s">
        <v>74</v>
      </c>
      <c r="U217" t="s">
        <v>4663</v>
      </c>
      <c r="V217" t="s">
        <v>4664</v>
      </c>
      <c r="W217" t="s">
        <v>4665</v>
      </c>
      <c r="X217" t="s">
        <v>4666</v>
      </c>
      <c r="Y217" t="s">
        <v>4667</v>
      </c>
      <c r="Z217" t="s">
        <v>4668</v>
      </c>
      <c r="AA217" t="s">
        <v>4669</v>
      </c>
      <c r="AB217" t="s">
        <v>4670</v>
      </c>
      <c r="AC217" t="s">
        <v>4671</v>
      </c>
      <c r="AD217" t="s">
        <v>4672</v>
      </c>
      <c r="AE217" t="s">
        <v>4673</v>
      </c>
      <c r="AF217" t="s">
        <v>74</v>
      </c>
      <c r="AG217">
        <v>57</v>
      </c>
      <c r="AH217">
        <v>14</v>
      </c>
      <c r="AI217">
        <v>14</v>
      </c>
      <c r="AJ217">
        <v>3</v>
      </c>
      <c r="AK217">
        <v>23</v>
      </c>
      <c r="AL217" t="s">
        <v>2876</v>
      </c>
      <c r="AM217" t="s">
        <v>346</v>
      </c>
      <c r="AN217" t="s">
        <v>2877</v>
      </c>
      <c r="AO217" t="s">
        <v>2878</v>
      </c>
      <c r="AP217" t="s">
        <v>2879</v>
      </c>
      <c r="AQ217" t="s">
        <v>74</v>
      </c>
      <c r="AR217" t="s">
        <v>2880</v>
      </c>
      <c r="AS217" t="s">
        <v>2881</v>
      </c>
      <c r="AT217" t="s">
        <v>4674</v>
      </c>
      <c r="AU217">
        <v>2022</v>
      </c>
      <c r="AV217">
        <v>32</v>
      </c>
      <c r="AW217">
        <v>17</v>
      </c>
      <c r="AX217" t="s">
        <v>74</v>
      </c>
      <c r="AY217" t="s">
        <v>74</v>
      </c>
      <c r="AZ217" t="s">
        <v>74</v>
      </c>
      <c r="BA217" t="s">
        <v>74</v>
      </c>
      <c r="BB217">
        <v>3800</v>
      </c>
      <c r="BC217" t="s">
        <v>2114</v>
      </c>
      <c r="BD217" t="s">
        <v>74</v>
      </c>
      <c r="BE217" t="s">
        <v>4675</v>
      </c>
      <c r="BF217" t="str">
        <f>HYPERLINK("http://dx.doi.org/10.1016/j.cub.2022.06.084","http://dx.doi.org/10.1016/j.cub.2022.06.084")</f>
        <v>http://dx.doi.org/10.1016/j.cub.2022.06.084</v>
      </c>
      <c r="BG217" t="s">
        <v>74</v>
      </c>
      <c r="BH217" t="s">
        <v>2143</v>
      </c>
      <c r="BI217">
        <v>12</v>
      </c>
      <c r="BJ217" t="s">
        <v>2884</v>
      </c>
      <c r="BK217" t="s">
        <v>100</v>
      </c>
      <c r="BL217" t="s">
        <v>2885</v>
      </c>
      <c r="BM217" t="s">
        <v>4676</v>
      </c>
      <c r="BN217">
        <v>35870447</v>
      </c>
      <c r="BO217" t="s">
        <v>831</v>
      </c>
      <c r="BP217" t="s">
        <v>74</v>
      </c>
      <c r="BQ217" t="s">
        <v>74</v>
      </c>
      <c r="BR217" t="s">
        <v>103</v>
      </c>
      <c r="BS217" t="s">
        <v>4677</v>
      </c>
      <c r="BT217" t="str">
        <f>HYPERLINK("https%3A%2F%2Fwww.webofscience.com%2Fwos%2Fwoscc%2Ffull-record%2FWOS:000863328700005","View Full Record in Web of Science")</f>
        <v>View Full Record in Web of Science</v>
      </c>
    </row>
    <row r="218" spans="1:72" x14ac:dyDescent="0.15">
      <c r="A218" t="s">
        <v>72</v>
      </c>
      <c r="B218" t="s">
        <v>4678</v>
      </c>
      <c r="C218" t="s">
        <v>74</v>
      </c>
      <c r="D218" t="s">
        <v>74</v>
      </c>
      <c r="E218" t="s">
        <v>74</v>
      </c>
      <c r="F218" t="s">
        <v>4679</v>
      </c>
      <c r="G218" t="s">
        <v>74</v>
      </c>
      <c r="H218" t="s">
        <v>74</v>
      </c>
      <c r="I218" t="s">
        <v>4680</v>
      </c>
      <c r="J218" t="s">
        <v>271</v>
      </c>
      <c r="K218" t="s">
        <v>74</v>
      </c>
      <c r="L218" t="s">
        <v>74</v>
      </c>
      <c r="M218" t="s">
        <v>78</v>
      </c>
      <c r="N218" t="s">
        <v>79</v>
      </c>
      <c r="O218" t="s">
        <v>74</v>
      </c>
      <c r="P218" t="s">
        <v>74</v>
      </c>
      <c r="Q218" t="s">
        <v>74</v>
      </c>
      <c r="R218" t="s">
        <v>74</v>
      </c>
      <c r="S218" t="s">
        <v>74</v>
      </c>
      <c r="T218" t="s">
        <v>74</v>
      </c>
      <c r="U218" t="s">
        <v>4681</v>
      </c>
      <c r="V218" t="s">
        <v>4682</v>
      </c>
      <c r="W218" t="s">
        <v>4683</v>
      </c>
      <c r="X218" t="s">
        <v>4684</v>
      </c>
      <c r="Y218" t="s">
        <v>4685</v>
      </c>
      <c r="Z218" t="s">
        <v>4686</v>
      </c>
      <c r="AA218" t="s">
        <v>4687</v>
      </c>
      <c r="AB218" t="s">
        <v>74</v>
      </c>
      <c r="AC218" t="s">
        <v>4688</v>
      </c>
      <c r="AD218" t="s">
        <v>4689</v>
      </c>
      <c r="AE218" t="s">
        <v>4690</v>
      </c>
      <c r="AF218" t="s">
        <v>74</v>
      </c>
      <c r="AG218">
        <v>45</v>
      </c>
      <c r="AH218">
        <v>2</v>
      </c>
      <c r="AI218">
        <v>2</v>
      </c>
      <c r="AJ218">
        <v>2</v>
      </c>
      <c r="AK218">
        <v>12</v>
      </c>
      <c r="AL218" t="s">
        <v>149</v>
      </c>
      <c r="AM218" t="s">
        <v>150</v>
      </c>
      <c r="AN218" t="s">
        <v>151</v>
      </c>
      <c r="AO218" t="s">
        <v>283</v>
      </c>
      <c r="AP218" t="s">
        <v>74</v>
      </c>
      <c r="AQ218" t="s">
        <v>74</v>
      </c>
      <c r="AR218" t="s">
        <v>284</v>
      </c>
      <c r="AS218" t="s">
        <v>285</v>
      </c>
      <c r="AT218" t="s">
        <v>4674</v>
      </c>
      <c r="AU218">
        <v>2022</v>
      </c>
      <c r="AV218">
        <v>12</v>
      </c>
      <c r="AW218">
        <v>1</v>
      </c>
      <c r="AX218" t="s">
        <v>74</v>
      </c>
      <c r="AY218" t="s">
        <v>74</v>
      </c>
      <c r="AZ218" t="s">
        <v>74</v>
      </c>
      <c r="BA218" t="s">
        <v>74</v>
      </c>
      <c r="BB218" t="s">
        <v>74</v>
      </c>
      <c r="BC218" t="s">
        <v>74</v>
      </c>
      <c r="BD218">
        <v>15320</v>
      </c>
      <c r="BE218" t="s">
        <v>4691</v>
      </c>
      <c r="BF218" t="str">
        <f>HYPERLINK("http://dx.doi.org/10.1038/s41598-022-18406-2","http://dx.doi.org/10.1038/s41598-022-18406-2")</f>
        <v>http://dx.doi.org/10.1038/s41598-022-18406-2</v>
      </c>
      <c r="BG218" t="s">
        <v>74</v>
      </c>
      <c r="BH218" t="s">
        <v>74</v>
      </c>
      <c r="BI218">
        <v>12</v>
      </c>
      <c r="BJ218" t="s">
        <v>156</v>
      </c>
      <c r="BK218" t="s">
        <v>100</v>
      </c>
      <c r="BL218" t="s">
        <v>157</v>
      </c>
      <c r="BM218" t="s">
        <v>4692</v>
      </c>
      <c r="BN218">
        <v>36097179</v>
      </c>
      <c r="BO218" t="s">
        <v>884</v>
      </c>
      <c r="BP218" t="s">
        <v>74</v>
      </c>
      <c r="BQ218" t="s">
        <v>74</v>
      </c>
      <c r="BR218" t="s">
        <v>103</v>
      </c>
      <c r="BS218" t="s">
        <v>4693</v>
      </c>
      <c r="BT218" t="str">
        <f>HYPERLINK("https%3A%2F%2Fwww.webofscience.com%2Fwos%2Fwoscc%2Ffull-record%2FWOS:000859184900001","View Full Record in Web of Science")</f>
        <v>View Full Record in Web of Science</v>
      </c>
    </row>
    <row r="219" spans="1:72" x14ac:dyDescent="0.15">
      <c r="A219" t="s">
        <v>72</v>
      </c>
      <c r="B219" t="s">
        <v>4694</v>
      </c>
      <c r="C219" t="s">
        <v>74</v>
      </c>
      <c r="D219" t="s">
        <v>74</v>
      </c>
      <c r="E219" t="s">
        <v>74</v>
      </c>
      <c r="F219" t="s">
        <v>4695</v>
      </c>
      <c r="G219" t="s">
        <v>74</v>
      </c>
      <c r="H219" t="s">
        <v>74</v>
      </c>
      <c r="I219" t="s">
        <v>4696</v>
      </c>
      <c r="J219" t="s">
        <v>4697</v>
      </c>
      <c r="K219" t="s">
        <v>74</v>
      </c>
      <c r="L219" t="s">
        <v>74</v>
      </c>
      <c r="M219" t="s">
        <v>78</v>
      </c>
      <c r="N219" t="s">
        <v>79</v>
      </c>
      <c r="O219" t="s">
        <v>74</v>
      </c>
      <c r="P219" t="s">
        <v>74</v>
      </c>
      <c r="Q219" t="s">
        <v>74</v>
      </c>
      <c r="R219" t="s">
        <v>74</v>
      </c>
      <c r="S219" t="s">
        <v>74</v>
      </c>
      <c r="T219" t="s">
        <v>74</v>
      </c>
      <c r="U219" t="s">
        <v>4698</v>
      </c>
      <c r="V219" t="s">
        <v>4699</v>
      </c>
      <c r="W219" t="s">
        <v>4700</v>
      </c>
      <c r="X219" t="s">
        <v>4701</v>
      </c>
      <c r="Y219" t="s">
        <v>4702</v>
      </c>
      <c r="Z219" t="s">
        <v>4703</v>
      </c>
      <c r="AA219" t="s">
        <v>4704</v>
      </c>
      <c r="AB219" t="s">
        <v>4705</v>
      </c>
      <c r="AC219" t="s">
        <v>4706</v>
      </c>
      <c r="AD219" t="s">
        <v>4707</v>
      </c>
      <c r="AE219" t="s">
        <v>4708</v>
      </c>
      <c r="AF219" t="s">
        <v>74</v>
      </c>
      <c r="AG219">
        <v>93</v>
      </c>
      <c r="AH219">
        <v>2</v>
      </c>
      <c r="AI219">
        <v>2</v>
      </c>
      <c r="AJ219">
        <v>3</v>
      </c>
      <c r="AK219">
        <v>8</v>
      </c>
      <c r="AL219" t="s">
        <v>2773</v>
      </c>
      <c r="AM219" t="s">
        <v>2774</v>
      </c>
      <c r="AN219" t="s">
        <v>2775</v>
      </c>
      <c r="AO219" t="s">
        <v>74</v>
      </c>
      <c r="AP219" t="s">
        <v>4709</v>
      </c>
      <c r="AQ219" t="s">
        <v>74</v>
      </c>
      <c r="AR219" t="s">
        <v>4710</v>
      </c>
      <c r="AS219" t="s">
        <v>4711</v>
      </c>
      <c r="AT219" t="s">
        <v>4674</v>
      </c>
      <c r="AU219">
        <v>2022</v>
      </c>
      <c r="AV219">
        <v>3</v>
      </c>
      <c r="AW219">
        <v>1</v>
      </c>
      <c r="AX219" t="s">
        <v>74</v>
      </c>
      <c r="AY219" t="s">
        <v>74</v>
      </c>
      <c r="AZ219" t="s">
        <v>74</v>
      </c>
      <c r="BA219" t="s">
        <v>74</v>
      </c>
      <c r="BB219" t="s">
        <v>74</v>
      </c>
      <c r="BC219" t="s">
        <v>74</v>
      </c>
      <c r="BD219">
        <v>206</v>
      </c>
      <c r="BE219" t="s">
        <v>4712</v>
      </c>
      <c r="BF219" t="str">
        <f>HYPERLINK("http://dx.doi.org/10.1038/s43247-022-00546-y","http://dx.doi.org/10.1038/s43247-022-00546-y")</f>
        <v>http://dx.doi.org/10.1038/s43247-022-00546-y</v>
      </c>
      <c r="BG219" t="s">
        <v>74</v>
      </c>
      <c r="BH219" t="s">
        <v>74</v>
      </c>
      <c r="BI219">
        <v>10</v>
      </c>
      <c r="BJ219" t="s">
        <v>1010</v>
      </c>
      <c r="BK219" t="s">
        <v>100</v>
      </c>
      <c r="BL219" t="s">
        <v>1011</v>
      </c>
      <c r="BM219" t="s">
        <v>4713</v>
      </c>
      <c r="BN219">
        <v>36118252</v>
      </c>
      <c r="BO219" t="s">
        <v>4714</v>
      </c>
      <c r="BP219" t="s">
        <v>74</v>
      </c>
      <c r="BQ219" t="s">
        <v>74</v>
      </c>
      <c r="BR219" t="s">
        <v>103</v>
      </c>
      <c r="BS219" t="s">
        <v>4715</v>
      </c>
      <c r="BT219" t="str">
        <f>HYPERLINK("https%3A%2F%2Fwww.webofscience.com%2Fwos%2Fwoscc%2Ffull-record%2FWOS:000853048400003","View Full Record in Web of Science")</f>
        <v>View Full Record in Web of Science</v>
      </c>
    </row>
    <row r="220" spans="1:72" x14ac:dyDescent="0.15">
      <c r="A220" t="s">
        <v>72</v>
      </c>
      <c r="B220" t="s">
        <v>4716</v>
      </c>
      <c r="C220" t="s">
        <v>74</v>
      </c>
      <c r="D220" t="s">
        <v>74</v>
      </c>
      <c r="E220" t="s">
        <v>74</v>
      </c>
      <c r="F220" t="s">
        <v>4717</v>
      </c>
      <c r="G220" t="s">
        <v>74</v>
      </c>
      <c r="H220" t="s">
        <v>74</v>
      </c>
      <c r="I220" t="s">
        <v>4718</v>
      </c>
      <c r="J220" t="s">
        <v>4697</v>
      </c>
      <c r="K220" t="s">
        <v>74</v>
      </c>
      <c r="L220" t="s">
        <v>74</v>
      </c>
      <c r="M220" t="s">
        <v>78</v>
      </c>
      <c r="N220" t="s">
        <v>79</v>
      </c>
      <c r="O220" t="s">
        <v>74</v>
      </c>
      <c r="P220" t="s">
        <v>74</v>
      </c>
      <c r="Q220" t="s">
        <v>74</v>
      </c>
      <c r="R220" t="s">
        <v>74</v>
      </c>
      <c r="S220" t="s">
        <v>74</v>
      </c>
      <c r="T220" t="s">
        <v>74</v>
      </c>
      <c r="U220" t="s">
        <v>4719</v>
      </c>
      <c r="V220" t="s">
        <v>4720</v>
      </c>
      <c r="W220" t="s">
        <v>4721</v>
      </c>
      <c r="X220" t="s">
        <v>4722</v>
      </c>
      <c r="Y220" t="s">
        <v>4723</v>
      </c>
      <c r="Z220" t="s">
        <v>4724</v>
      </c>
      <c r="AA220" t="s">
        <v>4725</v>
      </c>
      <c r="AB220" t="s">
        <v>4726</v>
      </c>
      <c r="AC220" t="s">
        <v>4727</v>
      </c>
      <c r="AD220" t="s">
        <v>4728</v>
      </c>
      <c r="AE220" t="s">
        <v>4729</v>
      </c>
      <c r="AF220" t="s">
        <v>74</v>
      </c>
      <c r="AG220">
        <v>55</v>
      </c>
      <c r="AH220">
        <v>4</v>
      </c>
      <c r="AI220">
        <v>4</v>
      </c>
      <c r="AJ220">
        <v>2</v>
      </c>
      <c r="AK220">
        <v>18</v>
      </c>
      <c r="AL220" t="s">
        <v>2773</v>
      </c>
      <c r="AM220" t="s">
        <v>2774</v>
      </c>
      <c r="AN220" t="s">
        <v>2775</v>
      </c>
      <c r="AO220" t="s">
        <v>74</v>
      </c>
      <c r="AP220" t="s">
        <v>4709</v>
      </c>
      <c r="AQ220" t="s">
        <v>74</v>
      </c>
      <c r="AR220" t="s">
        <v>4710</v>
      </c>
      <c r="AS220" t="s">
        <v>4711</v>
      </c>
      <c r="AT220" t="s">
        <v>4674</v>
      </c>
      <c r="AU220">
        <v>2022</v>
      </c>
      <c r="AV220">
        <v>3</v>
      </c>
      <c r="AW220">
        <v>1</v>
      </c>
      <c r="AX220" t="s">
        <v>74</v>
      </c>
      <c r="AY220" t="s">
        <v>74</v>
      </c>
      <c r="AZ220" t="s">
        <v>74</v>
      </c>
      <c r="BA220" t="s">
        <v>74</v>
      </c>
      <c r="BB220" t="s">
        <v>74</v>
      </c>
      <c r="BC220" t="s">
        <v>74</v>
      </c>
      <c r="BD220">
        <v>189</v>
      </c>
      <c r="BE220" t="s">
        <v>4730</v>
      </c>
      <c r="BF220" t="str">
        <f>HYPERLINK("http://dx.doi.org/10.1038/s43247-022-00529-z","http://dx.doi.org/10.1038/s43247-022-00529-z")</f>
        <v>http://dx.doi.org/10.1038/s43247-022-00529-z</v>
      </c>
      <c r="BG220" t="s">
        <v>74</v>
      </c>
      <c r="BH220" t="s">
        <v>74</v>
      </c>
      <c r="BI220">
        <v>10</v>
      </c>
      <c r="BJ220" t="s">
        <v>1010</v>
      </c>
      <c r="BK220" t="s">
        <v>100</v>
      </c>
      <c r="BL220" t="s">
        <v>1011</v>
      </c>
      <c r="BM220" t="s">
        <v>4713</v>
      </c>
      <c r="BN220" t="s">
        <v>74</v>
      </c>
      <c r="BO220" t="s">
        <v>266</v>
      </c>
      <c r="BP220" t="s">
        <v>74</v>
      </c>
      <c r="BQ220" t="s">
        <v>74</v>
      </c>
      <c r="BR220" t="s">
        <v>103</v>
      </c>
      <c r="BS220" t="s">
        <v>4731</v>
      </c>
      <c r="BT220" t="str">
        <f>HYPERLINK("https%3A%2F%2Fwww.webofscience.com%2Fwos%2Fwoscc%2Ffull-record%2FWOS:000853048400002","View Full Record in Web of Science")</f>
        <v>View Full Record in Web of Science</v>
      </c>
    </row>
    <row r="221" spans="1:72" x14ac:dyDescent="0.15">
      <c r="A221" t="s">
        <v>72</v>
      </c>
      <c r="B221" t="s">
        <v>4732</v>
      </c>
      <c r="C221" t="s">
        <v>74</v>
      </c>
      <c r="D221" t="s">
        <v>74</v>
      </c>
      <c r="E221" t="s">
        <v>74</v>
      </c>
      <c r="F221" t="s">
        <v>4733</v>
      </c>
      <c r="G221" t="s">
        <v>74</v>
      </c>
      <c r="H221" t="s">
        <v>74</v>
      </c>
      <c r="I221" t="s">
        <v>4734</v>
      </c>
      <c r="J221" t="s">
        <v>4735</v>
      </c>
      <c r="K221" t="s">
        <v>74</v>
      </c>
      <c r="L221" t="s">
        <v>74</v>
      </c>
      <c r="M221" t="s">
        <v>78</v>
      </c>
      <c r="N221" t="s">
        <v>79</v>
      </c>
      <c r="O221" t="s">
        <v>74</v>
      </c>
      <c r="P221" t="s">
        <v>74</v>
      </c>
      <c r="Q221" t="s">
        <v>74</v>
      </c>
      <c r="R221" t="s">
        <v>74</v>
      </c>
      <c r="S221" t="s">
        <v>74</v>
      </c>
      <c r="T221" t="s">
        <v>4736</v>
      </c>
      <c r="U221" t="s">
        <v>4737</v>
      </c>
      <c r="V221" t="s">
        <v>4738</v>
      </c>
      <c r="W221" t="s">
        <v>4739</v>
      </c>
      <c r="X221" t="s">
        <v>4740</v>
      </c>
      <c r="Y221" t="s">
        <v>4741</v>
      </c>
      <c r="Z221" t="s">
        <v>4742</v>
      </c>
      <c r="AA221" t="s">
        <v>74</v>
      </c>
      <c r="AB221" t="s">
        <v>4743</v>
      </c>
      <c r="AC221" t="s">
        <v>4744</v>
      </c>
      <c r="AD221" t="s">
        <v>4744</v>
      </c>
      <c r="AE221" t="s">
        <v>4745</v>
      </c>
      <c r="AF221" t="s">
        <v>74</v>
      </c>
      <c r="AG221">
        <v>61</v>
      </c>
      <c r="AH221">
        <v>0</v>
      </c>
      <c r="AI221">
        <v>0</v>
      </c>
      <c r="AJ221">
        <v>4</v>
      </c>
      <c r="AK221">
        <v>9</v>
      </c>
      <c r="AL221" t="s">
        <v>89</v>
      </c>
      <c r="AM221" t="s">
        <v>90</v>
      </c>
      <c r="AN221" t="s">
        <v>91</v>
      </c>
      <c r="AO221" t="s">
        <v>4746</v>
      </c>
      <c r="AP221" t="s">
        <v>4747</v>
      </c>
      <c r="AQ221" t="s">
        <v>74</v>
      </c>
      <c r="AR221" t="s">
        <v>4748</v>
      </c>
      <c r="AS221" t="s">
        <v>4749</v>
      </c>
      <c r="AT221" t="s">
        <v>4674</v>
      </c>
      <c r="AU221">
        <v>2022</v>
      </c>
      <c r="AV221">
        <v>231</v>
      </c>
      <c r="AW221">
        <v>3</v>
      </c>
      <c r="AX221" t="s">
        <v>74</v>
      </c>
      <c r="AY221" t="s">
        <v>74</v>
      </c>
      <c r="AZ221" t="s">
        <v>74</v>
      </c>
      <c r="BA221" t="s">
        <v>74</v>
      </c>
      <c r="BB221">
        <v>1959</v>
      </c>
      <c r="BC221">
        <v>1981</v>
      </c>
      <c r="BD221" t="s">
        <v>74</v>
      </c>
      <c r="BE221" t="s">
        <v>4750</v>
      </c>
      <c r="BF221" t="str">
        <f>HYPERLINK("http://dx.doi.org/10.1093/gji/ggac299","http://dx.doi.org/10.1093/gji/ggac299")</f>
        <v>http://dx.doi.org/10.1093/gji/ggac299</v>
      </c>
      <c r="BG221" t="s">
        <v>74</v>
      </c>
      <c r="BH221" t="s">
        <v>74</v>
      </c>
      <c r="BI221">
        <v>23</v>
      </c>
      <c r="BJ221" t="s">
        <v>1379</v>
      </c>
      <c r="BK221" t="s">
        <v>100</v>
      </c>
      <c r="BL221" t="s">
        <v>1379</v>
      </c>
      <c r="BM221" t="s">
        <v>4751</v>
      </c>
      <c r="BN221" t="s">
        <v>74</v>
      </c>
      <c r="BO221" t="s">
        <v>3327</v>
      </c>
      <c r="BP221" t="s">
        <v>74</v>
      </c>
      <c r="BQ221" t="s">
        <v>74</v>
      </c>
      <c r="BR221" t="s">
        <v>103</v>
      </c>
      <c r="BS221" t="s">
        <v>4752</v>
      </c>
      <c r="BT221" t="str">
        <f>HYPERLINK("https%3A%2F%2Fwww.webofscience.com%2Fwos%2Fwoscc%2Ffull-record%2FWOS:000853192400005","View Full Record in Web of Science")</f>
        <v>View Full Record in Web of Science</v>
      </c>
    </row>
    <row r="222" spans="1:72" x14ac:dyDescent="0.15">
      <c r="A222" t="s">
        <v>72</v>
      </c>
      <c r="B222" t="s">
        <v>4753</v>
      </c>
      <c r="C222" t="s">
        <v>74</v>
      </c>
      <c r="D222" t="s">
        <v>74</v>
      </c>
      <c r="E222" t="s">
        <v>74</v>
      </c>
      <c r="F222" t="s">
        <v>4754</v>
      </c>
      <c r="G222" t="s">
        <v>74</v>
      </c>
      <c r="H222" t="s">
        <v>74</v>
      </c>
      <c r="I222" t="s">
        <v>4755</v>
      </c>
      <c r="J222" t="s">
        <v>4756</v>
      </c>
      <c r="K222" t="s">
        <v>74</v>
      </c>
      <c r="L222" t="s">
        <v>74</v>
      </c>
      <c r="M222" t="s">
        <v>78</v>
      </c>
      <c r="N222" t="s">
        <v>79</v>
      </c>
      <c r="O222" t="s">
        <v>74</v>
      </c>
      <c r="P222" t="s">
        <v>74</v>
      </c>
      <c r="Q222" t="s">
        <v>74</v>
      </c>
      <c r="R222" t="s">
        <v>74</v>
      </c>
      <c r="S222" t="s">
        <v>74</v>
      </c>
      <c r="T222" t="s">
        <v>74</v>
      </c>
      <c r="U222" t="s">
        <v>4757</v>
      </c>
      <c r="V222" t="s">
        <v>4758</v>
      </c>
      <c r="W222" t="s">
        <v>4759</v>
      </c>
      <c r="X222" t="s">
        <v>4760</v>
      </c>
      <c r="Y222" t="s">
        <v>4761</v>
      </c>
      <c r="Z222" t="s">
        <v>4762</v>
      </c>
      <c r="AA222" t="s">
        <v>4763</v>
      </c>
      <c r="AB222" t="s">
        <v>4764</v>
      </c>
      <c r="AC222" t="s">
        <v>4765</v>
      </c>
      <c r="AD222" t="s">
        <v>4766</v>
      </c>
      <c r="AE222" t="s">
        <v>4767</v>
      </c>
      <c r="AF222" t="s">
        <v>74</v>
      </c>
      <c r="AG222">
        <v>82</v>
      </c>
      <c r="AH222">
        <v>0</v>
      </c>
      <c r="AI222">
        <v>0</v>
      </c>
      <c r="AJ222">
        <v>2</v>
      </c>
      <c r="AK222">
        <v>13</v>
      </c>
      <c r="AL222" t="s">
        <v>2460</v>
      </c>
      <c r="AM222" t="s">
        <v>2461</v>
      </c>
      <c r="AN222" t="s">
        <v>2462</v>
      </c>
      <c r="AO222" t="s">
        <v>4768</v>
      </c>
      <c r="AP222" t="s">
        <v>4769</v>
      </c>
      <c r="AQ222" t="s">
        <v>74</v>
      </c>
      <c r="AR222" t="s">
        <v>4770</v>
      </c>
      <c r="AS222" t="s">
        <v>4771</v>
      </c>
      <c r="AT222" t="s">
        <v>4674</v>
      </c>
      <c r="AU222">
        <v>2022</v>
      </c>
      <c r="AV222">
        <v>18</v>
      </c>
      <c r="AW222">
        <v>5</v>
      </c>
      <c r="AX222" t="s">
        <v>74</v>
      </c>
      <c r="AY222" t="s">
        <v>74</v>
      </c>
      <c r="AZ222" t="s">
        <v>74</v>
      </c>
      <c r="BA222" t="s">
        <v>74</v>
      </c>
      <c r="BB222">
        <v>1293</v>
      </c>
      <c r="BC222">
        <v>1320</v>
      </c>
      <c r="BD222" t="s">
        <v>74</v>
      </c>
      <c r="BE222" t="s">
        <v>4772</v>
      </c>
      <c r="BF222" t="str">
        <f>HYPERLINK("http://dx.doi.org/10.5194/os-18-1293-2022","http://dx.doi.org/10.5194/os-18-1293-2022")</f>
        <v>http://dx.doi.org/10.5194/os-18-1293-2022</v>
      </c>
      <c r="BG222" t="s">
        <v>74</v>
      </c>
      <c r="BH222" t="s">
        <v>74</v>
      </c>
      <c r="BI222">
        <v>28</v>
      </c>
      <c r="BJ222" t="s">
        <v>1033</v>
      </c>
      <c r="BK222" t="s">
        <v>100</v>
      </c>
      <c r="BL222" t="s">
        <v>1033</v>
      </c>
      <c r="BM222" t="s">
        <v>4773</v>
      </c>
      <c r="BN222" t="s">
        <v>74</v>
      </c>
      <c r="BO222" t="s">
        <v>4774</v>
      </c>
      <c r="BP222" t="s">
        <v>74</v>
      </c>
      <c r="BQ222" t="s">
        <v>74</v>
      </c>
      <c r="BR222" t="s">
        <v>103</v>
      </c>
      <c r="BS222" t="s">
        <v>4775</v>
      </c>
      <c r="BT222" t="str">
        <f>HYPERLINK("https%3A%2F%2Fwww.webofscience.com%2Fwos%2Fwoscc%2Ffull-record%2FWOS:000853130700001","View Full Record in Web of Science")</f>
        <v>View Full Record in Web of Science</v>
      </c>
    </row>
    <row r="223" spans="1:72" x14ac:dyDescent="0.15">
      <c r="A223" t="s">
        <v>72</v>
      </c>
      <c r="B223" t="s">
        <v>4776</v>
      </c>
      <c r="C223" t="s">
        <v>74</v>
      </c>
      <c r="D223" t="s">
        <v>74</v>
      </c>
      <c r="E223" t="s">
        <v>74</v>
      </c>
      <c r="F223" t="s">
        <v>4777</v>
      </c>
      <c r="G223" t="s">
        <v>74</v>
      </c>
      <c r="H223" t="s">
        <v>74</v>
      </c>
      <c r="I223" t="s">
        <v>4778</v>
      </c>
      <c r="J223" t="s">
        <v>3747</v>
      </c>
      <c r="K223" t="s">
        <v>74</v>
      </c>
      <c r="L223" t="s">
        <v>74</v>
      </c>
      <c r="M223" t="s">
        <v>78</v>
      </c>
      <c r="N223" t="s">
        <v>79</v>
      </c>
      <c r="O223" t="s">
        <v>74</v>
      </c>
      <c r="P223" t="s">
        <v>74</v>
      </c>
      <c r="Q223" t="s">
        <v>74</v>
      </c>
      <c r="R223" t="s">
        <v>74</v>
      </c>
      <c r="S223" t="s">
        <v>74</v>
      </c>
      <c r="T223" t="s">
        <v>4779</v>
      </c>
      <c r="U223" t="s">
        <v>4780</v>
      </c>
      <c r="V223" t="s">
        <v>4781</v>
      </c>
      <c r="W223" t="s">
        <v>4782</v>
      </c>
      <c r="X223" t="s">
        <v>3869</v>
      </c>
      <c r="Y223" t="s">
        <v>4783</v>
      </c>
      <c r="Z223" t="s">
        <v>4784</v>
      </c>
      <c r="AA223" t="s">
        <v>4785</v>
      </c>
      <c r="AB223" t="s">
        <v>4786</v>
      </c>
      <c r="AC223" t="s">
        <v>4787</v>
      </c>
      <c r="AD223" t="s">
        <v>4788</v>
      </c>
      <c r="AE223" t="s">
        <v>4789</v>
      </c>
      <c r="AF223" t="s">
        <v>74</v>
      </c>
      <c r="AG223">
        <v>65</v>
      </c>
      <c r="AH223">
        <v>3</v>
      </c>
      <c r="AI223">
        <v>3</v>
      </c>
      <c r="AJ223">
        <v>5</v>
      </c>
      <c r="AK223">
        <v>24</v>
      </c>
      <c r="AL223" t="s">
        <v>501</v>
      </c>
      <c r="AM223" t="s">
        <v>502</v>
      </c>
      <c r="AN223" t="s">
        <v>503</v>
      </c>
      <c r="AO223" t="s">
        <v>3759</v>
      </c>
      <c r="AP223" t="s">
        <v>3760</v>
      </c>
      <c r="AQ223" t="s">
        <v>74</v>
      </c>
      <c r="AR223" t="s">
        <v>3761</v>
      </c>
      <c r="AS223" t="s">
        <v>3762</v>
      </c>
      <c r="AT223" t="s">
        <v>4790</v>
      </c>
      <c r="AU223">
        <v>2022</v>
      </c>
      <c r="AV223">
        <v>852</v>
      </c>
      <c r="AW223" t="s">
        <v>74</v>
      </c>
      <c r="AX223" t="s">
        <v>74</v>
      </c>
      <c r="AY223" t="s">
        <v>74</v>
      </c>
      <c r="AZ223" t="s">
        <v>74</v>
      </c>
      <c r="BA223" t="s">
        <v>74</v>
      </c>
      <c r="BB223" t="s">
        <v>74</v>
      </c>
      <c r="BC223" t="s">
        <v>74</v>
      </c>
      <c r="BD223">
        <v>158537</v>
      </c>
      <c r="BE223" t="s">
        <v>4791</v>
      </c>
      <c r="BF223" t="str">
        <f>HYPERLINK("http://dx.doi.org/10.1016/j.scitotenv.2022.158537","http://dx.doi.org/10.1016/j.scitotenv.2022.158537")</f>
        <v>http://dx.doi.org/10.1016/j.scitotenv.2022.158537</v>
      </c>
      <c r="BG223" t="s">
        <v>74</v>
      </c>
      <c r="BH223" t="s">
        <v>2143</v>
      </c>
      <c r="BI223">
        <v>9</v>
      </c>
      <c r="BJ223" t="s">
        <v>2040</v>
      </c>
      <c r="BK223" t="s">
        <v>100</v>
      </c>
      <c r="BL223" t="s">
        <v>2041</v>
      </c>
      <c r="BM223" t="s">
        <v>4792</v>
      </c>
      <c r="BN223">
        <v>36075413</v>
      </c>
      <c r="BO223" t="s">
        <v>74</v>
      </c>
      <c r="BP223" t="s">
        <v>74</v>
      </c>
      <c r="BQ223" t="s">
        <v>74</v>
      </c>
      <c r="BR223" t="s">
        <v>103</v>
      </c>
      <c r="BS223" t="s">
        <v>4793</v>
      </c>
      <c r="BT223" t="str">
        <f>HYPERLINK("https%3A%2F%2Fwww.webofscience.com%2Fwos%2Fwoscc%2Ffull-record%2FWOS:000875674700004","View Full Record in Web of Science")</f>
        <v>View Full Record in Web of Science</v>
      </c>
    </row>
    <row r="224" spans="1:72" x14ac:dyDescent="0.15">
      <c r="A224" t="s">
        <v>72</v>
      </c>
      <c r="B224" t="s">
        <v>4794</v>
      </c>
      <c r="C224" t="s">
        <v>74</v>
      </c>
      <c r="D224" t="s">
        <v>74</v>
      </c>
      <c r="E224" t="s">
        <v>74</v>
      </c>
      <c r="F224" t="s">
        <v>4795</v>
      </c>
      <c r="G224" t="s">
        <v>74</v>
      </c>
      <c r="H224" t="s">
        <v>74</v>
      </c>
      <c r="I224" t="s">
        <v>4796</v>
      </c>
      <c r="J224" t="s">
        <v>137</v>
      </c>
      <c r="K224" t="s">
        <v>74</v>
      </c>
      <c r="L224" t="s">
        <v>74</v>
      </c>
      <c r="M224" t="s">
        <v>78</v>
      </c>
      <c r="N224" t="s">
        <v>79</v>
      </c>
      <c r="O224" t="s">
        <v>74</v>
      </c>
      <c r="P224" t="s">
        <v>74</v>
      </c>
      <c r="Q224" t="s">
        <v>74</v>
      </c>
      <c r="R224" t="s">
        <v>74</v>
      </c>
      <c r="S224" t="s">
        <v>74</v>
      </c>
      <c r="T224" t="s">
        <v>74</v>
      </c>
      <c r="U224" t="s">
        <v>4797</v>
      </c>
      <c r="V224" t="s">
        <v>4798</v>
      </c>
      <c r="W224" t="s">
        <v>4799</v>
      </c>
      <c r="X224" t="s">
        <v>4800</v>
      </c>
      <c r="Y224" t="s">
        <v>4801</v>
      </c>
      <c r="Z224" t="s">
        <v>4802</v>
      </c>
      <c r="AA224" t="s">
        <v>4803</v>
      </c>
      <c r="AB224" t="s">
        <v>4804</v>
      </c>
      <c r="AC224" t="s">
        <v>4805</v>
      </c>
      <c r="AD224" t="s">
        <v>4806</v>
      </c>
      <c r="AE224" t="s">
        <v>4807</v>
      </c>
      <c r="AF224" t="s">
        <v>74</v>
      </c>
      <c r="AG224">
        <v>70</v>
      </c>
      <c r="AH224">
        <v>6</v>
      </c>
      <c r="AI224">
        <v>6</v>
      </c>
      <c r="AJ224">
        <v>2</v>
      </c>
      <c r="AK224">
        <v>10</v>
      </c>
      <c r="AL224" t="s">
        <v>149</v>
      </c>
      <c r="AM224" t="s">
        <v>150</v>
      </c>
      <c r="AN224" t="s">
        <v>151</v>
      </c>
      <c r="AO224" t="s">
        <v>74</v>
      </c>
      <c r="AP224" t="s">
        <v>152</v>
      </c>
      <c r="AQ224" t="s">
        <v>74</v>
      </c>
      <c r="AR224" t="s">
        <v>153</v>
      </c>
      <c r="AS224" t="s">
        <v>154</v>
      </c>
      <c r="AT224" t="s">
        <v>4808</v>
      </c>
      <c r="AU224">
        <v>2022</v>
      </c>
      <c r="AV224">
        <v>13</v>
      </c>
      <c r="AW224">
        <v>1</v>
      </c>
      <c r="AX224" t="s">
        <v>74</v>
      </c>
      <c r="AY224" t="s">
        <v>74</v>
      </c>
      <c r="AZ224" t="s">
        <v>74</v>
      </c>
      <c r="BA224" t="s">
        <v>74</v>
      </c>
      <c r="BB224" t="s">
        <v>74</v>
      </c>
      <c r="BC224" t="s">
        <v>74</v>
      </c>
      <c r="BD224">
        <v>5328</v>
      </c>
      <c r="BE224" t="s">
        <v>4809</v>
      </c>
      <c r="BF224" t="str">
        <f>HYPERLINK("http://dx.doi.org/10.1038/s41467-022-32847-3","http://dx.doi.org/10.1038/s41467-022-32847-3")</f>
        <v>http://dx.doi.org/10.1038/s41467-022-32847-3</v>
      </c>
      <c r="BG224" t="s">
        <v>74</v>
      </c>
      <c r="BH224" t="s">
        <v>74</v>
      </c>
      <c r="BI224">
        <v>11</v>
      </c>
      <c r="BJ224" t="s">
        <v>156</v>
      </c>
      <c r="BK224" t="s">
        <v>100</v>
      </c>
      <c r="BL224" t="s">
        <v>157</v>
      </c>
      <c r="BM224" t="s">
        <v>4810</v>
      </c>
      <c r="BN224">
        <v>36088458</v>
      </c>
      <c r="BO224" t="s">
        <v>4811</v>
      </c>
      <c r="BP224" t="s">
        <v>74</v>
      </c>
      <c r="BQ224" t="s">
        <v>74</v>
      </c>
      <c r="BR224" t="s">
        <v>103</v>
      </c>
      <c r="BS224" t="s">
        <v>4812</v>
      </c>
      <c r="BT224" t="str">
        <f>HYPERLINK("https%3A%2F%2Fwww.webofscience.com%2Fwos%2Fwoscc%2Ffull-record%2FWOS:000852397300013","View Full Record in Web of Science")</f>
        <v>View Full Record in Web of Science</v>
      </c>
    </row>
    <row r="225" spans="1:72" x14ac:dyDescent="0.15">
      <c r="A225" t="s">
        <v>72</v>
      </c>
      <c r="B225" t="s">
        <v>4813</v>
      </c>
      <c r="C225" t="s">
        <v>74</v>
      </c>
      <c r="D225" t="s">
        <v>74</v>
      </c>
      <c r="E225" t="s">
        <v>74</v>
      </c>
      <c r="F225" t="s">
        <v>4814</v>
      </c>
      <c r="G225" t="s">
        <v>74</v>
      </c>
      <c r="H225" t="s">
        <v>74</v>
      </c>
      <c r="I225" t="s">
        <v>4815</v>
      </c>
      <c r="J225" t="s">
        <v>3124</v>
      </c>
      <c r="K225" t="s">
        <v>74</v>
      </c>
      <c r="L225" t="s">
        <v>74</v>
      </c>
      <c r="M225" t="s">
        <v>78</v>
      </c>
      <c r="N225" t="s">
        <v>79</v>
      </c>
      <c r="O225" t="s">
        <v>74</v>
      </c>
      <c r="P225" t="s">
        <v>74</v>
      </c>
      <c r="Q225" t="s">
        <v>74</v>
      </c>
      <c r="R225" t="s">
        <v>74</v>
      </c>
      <c r="S225" t="s">
        <v>74</v>
      </c>
      <c r="T225" t="s">
        <v>74</v>
      </c>
      <c r="U225" t="s">
        <v>4816</v>
      </c>
      <c r="V225" t="s">
        <v>4817</v>
      </c>
      <c r="W225" t="s">
        <v>4818</v>
      </c>
      <c r="X225" t="s">
        <v>4819</v>
      </c>
      <c r="Y225" t="s">
        <v>4820</v>
      </c>
      <c r="Z225" t="s">
        <v>4821</v>
      </c>
      <c r="AA225" t="s">
        <v>4822</v>
      </c>
      <c r="AB225" t="s">
        <v>4823</v>
      </c>
      <c r="AC225" t="s">
        <v>4824</v>
      </c>
      <c r="AD225" t="s">
        <v>4825</v>
      </c>
      <c r="AE225" t="s">
        <v>4826</v>
      </c>
      <c r="AF225" t="s">
        <v>74</v>
      </c>
      <c r="AG225">
        <v>80</v>
      </c>
      <c r="AH225">
        <v>11</v>
      </c>
      <c r="AI225">
        <v>11</v>
      </c>
      <c r="AJ225">
        <v>5</v>
      </c>
      <c r="AK225">
        <v>15</v>
      </c>
      <c r="AL225" t="s">
        <v>2108</v>
      </c>
      <c r="AM225" t="s">
        <v>207</v>
      </c>
      <c r="AN225" t="s">
        <v>2109</v>
      </c>
      <c r="AO225" t="s">
        <v>3136</v>
      </c>
      <c r="AP225" t="s">
        <v>74</v>
      </c>
      <c r="AQ225" t="s">
        <v>74</v>
      </c>
      <c r="AR225" t="s">
        <v>3137</v>
      </c>
      <c r="AS225" t="s">
        <v>3138</v>
      </c>
      <c r="AT225" t="s">
        <v>4827</v>
      </c>
      <c r="AU225">
        <v>2022</v>
      </c>
      <c r="AV225">
        <v>8</v>
      </c>
      <c r="AW225">
        <v>36</v>
      </c>
      <c r="AX225" t="s">
        <v>74</v>
      </c>
      <c r="AY225" t="s">
        <v>74</v>
      </c>
      <c r="AZ225" t="s">
        <v>74</v>
      </c>
      <c r="BA225" t="s">
        <v>74</v>
      </c>
      <c r="BB225" t="s">
        <v>74</v>
      </c>
      <c r="BC225" t="s">
        <v>74</v>
      </c>
      <c r="BD225" t="s">
        <v>74</v>
      </c>
      <c r="BE225" t="s">
        <v>4828</v>
      </c>
      <c r="BF225" t="str">
        <f>HYPERLINK("http://dx.doi.org/10.1126/sciadv.abn7412","http://dx.doi.org/10.1126/sciadv.abn7412")</f>
        <v>http://dx.doi.org/10.1126/sciadv.abn7412</v>
      </c>
      <c r="BG225" t="s">
        <v>74</v>
      </c>
      <c r="BH225" t="s">
        <v>74</v>
      </c>
      <c r="BI225">
        <v>12</v>
      </c>
      <c r="BJ225" t="s">
        <v>156</v>
      </c>
      <c r="BK225" t="s">
        <v>100</v>
      </c>
      <c r="BL225" t="s">
        <v>157</v>
      </c>
      <c r="BM225" t="s">
        <v>4829</v>
      </c>
      <c r="BN225">
        <v>36070383</v>
      </c>
      <c r="BO225" t="s">
        <v>330</v>
      </c>
      <c r="BP225" t="s">
        <v>74</v>
      </c>
      <c r="BQ225" t="s">
        <v>74</v>
      </c>
      <c r="BR225" t="s">
        <v>103</v>
      </c>
      <c r="BS225" t="s">
        <v>4830</v>
      </c>
      <c r="BT225" t="str">
        <f>HYPERLINK("https%3A%2F%2Fwww.webofscience.com%2Fwos%2Fwoscc%2Ffull-record%2FWOS:000911968500010","View Full Record in Web of Science")</f>
        <v>View Full Record in Web of Science</v>
      </c>
    </row>
    <row r="226" spans="1:72" x14ac:dyDescent="0.15">
      <c r="A226" t="s">
        <v>72</v>
      </c>
      <c r="B226" t="s">
        <v>4831</v>
      </c>
      <c r="C226" t="s">
        <v>74</v>
      </c>
      <c r="D226" t="s">
        <v>74</v>
      </c>
      <c r="E226" t="s">
        <v>74</v>
      </c>
      <c r="F226" t="s">
        <v>4832</v>
      </c>
      <c r="G226" t="s">
        <v>74</v>
      </c>
      <c r="H226" t="s">
        <v>74</v>
      </c>
      <c r="I226" t="s">
        <v>4833</v>
      </c>
      <c r="J226" t="s">
        <v>4834</v>
      </c>
      <c r="K226" t="s">
        <v>74</v>
      </c>
      <c r="L226" t="s">
        <v>74</v>
      </c>
      <c r="M226" t="s">
        <v>78</v>
      </c>
      <c r="N226" t="s">
        <v>79</v>
      </c>
      <c r="O226" t="s">
        <v>74</v>
      </c>
      <c r="P226" t="s">
        <v>74</v>
      </c>
      <c r="Q226" t="s">
        <v>74</v>
      </c>
      <c r="R226" t="s">
        <v>74</v>
      </c>
      <c r="S226" t="s">
        <v>74</v>
      </c>
      <c r="T226" t="s">
        <v>74</v>
      </c>
      <c r="U226" t="s">
        <v>74</v>
      </c>
      <c r="V226" t="s">
        <v>4835</v>
      </c>
      <c r="W226" t="s">
        <v>4836</v>
      </c>
      <c r="X226" t="s">
        <v>3385</v>
      </c>
      <c r="Y226" t="s">
        <v>4837</v>
      </c>
      <c r="Z226" t="s">
        <v>4838</v>
      </c>
      <c r="AA226" t="s">
        <v>4839</v>
      </c>
      <c r="AB226" t="s">
        <v>4840</v>
      </c>
      <c r="AC226" t="s">
        <v>4841</v>
      </c>
      <c r="AD226" t="s">
        <v>4842</v>
      </c>
      <c r="AE226" t="s">
        <v>4843</v>
      </c>
      <c r="AF226" t="s">
        <v>74</v>
      </c>
      <c r="AG226">
        <v>25</v>
      </c>
      <c r="AH226">
        <v>1</v>
      </c>
      <c r="AI226">
        <v>1</v>
      </c>
      <c r="AJ226">
        <v>0</v>
      </c>
      <c r="AK226">
        <v>2</v>
      </c>
      <c r="AL226" t="s">
        <v>2876</v>
      </c>
      <c r="AM226" t="s">
        <v>346</v>
      </c>
      <c r="AN226" t="s">
        <v>2877</v>
      </c>
      <c r="AO226" t="s">
        <v>4844</v>
      </c>
      <c r="AP226" t="s">
        <v>74</v>
      </c>
      <c r="AQ226" t="s">
        <v>74</v>
      </c>
      <c r="AR226" t="s">
        <v>4834</v>
      </c>
      <c r="AS226" t="s">
        <v>4845</v>
      </c>
      <c r="AT226" t="s">
        <v>4827</v>
      </c>
      <c r="AU226">
        <v>2022</v>
      </c>
      <c r="AV226">
        <v>3</v>
      </c>
      <c r="AW226">
        <v>10</v>
      </c>
      <c r="AX226" t="s">
        <v>74</v>
      </c>
      <c r="AY226" t="s">
        <v>74</v>
      </c>
      <c r="AZ226" t="s">
        <v>74</v>
      </c>
      <c r="BA226" t="s">
        <v>74</v>
      </c>
      <c r="BB226" t="s">
        <v>74</v>
      </c>
      <c r="BC226" t="s">
        <v>74</v>
      </c>
      <c r="BD226">
        <v>100566</v>
      </c>
      <c r="BE226" t="s">
        <v>4846</v>
      </c>
      <c r="BF226" t="str">
        <f>HYPERLINK("http://dx.doi.org/10.1016/j.patter.2022.100566","http://dx.doi.org/10.1016/j.patter.2022.100566")</f>
        <v>http://dx.doi.org/10.1016/j.patter.2022.100566</v>
      </c>
      <c r="BG226" t="s">
        <v>74</v>
      </c>
      <c r="BH226" t="s">
        <v>74</v>
      </c>
      <c r="BI226">
        <v>7</v>
      </c>
      <c r="BJ226" t="s">
        <v>4847</v>
      </c>
      <c r="BK226" t="s">
        <v>215</v>
      </c>
      <c r="BL226" t="s">
        <v>4848</v>
      </c>
      <c r="BM226" t="s">
        <v>4849</v>
      </c>
      <c r="BN226">
        <v>36277822</v>
      </c>
      <c r="BO226" t="s">
        <v>1655</v>
      </c>
      <c r="BP226" t="s">
        <v>74</v>
      </c>
      <c r="BQ226" t="s">
        <v>74</v>
      </c>
      <c r="BR226" t="s">
        <v>103</v>
      </c>
      <c r="BS226" t="s">
        <v>4850</v>
      </c>
      <c r="BT226" t="str">
        <f>HYPERLINK("https%3A%2F%2Fwww.webofscience.com%2Fwos%2Fwoscc%2Ffull-record%2FWOS:000898561500006","View Full Record in Web of Science")</f>
        <v>View Full Record in Web of Science</v>
      </c>
    </row>
    <row r="227" spans="1:72" x14ac:dyDescent="0.15">
      <c r="A227" t="s">
        <v>72</v>
      </c>
      <c r="B227" t="s">
        <v>4851</v>
      </c>
      <c r="C227" t="s">
        <v>74</v>
      </c>
      <c r="D227" t="s">
        <v>74</v>
      </c>
      <c r="E227" t="s">
        <v>74</v>
      </c>
      <c r="F227" t="s">
        <v>4852</v>
      </c>
      <c r="G227" t="s">
        <v>74</v>
      </c>
      <c r="H227" t="s">
        <v>74</v>
      </c>
      <c r="I227" t="s">
        <v>4853</v>
      </c>
      <c r="J227" t="s">
        <v>4834</v>
      </c>
      <c r="K227" t="s">
        <v>74</v>
      </c>
      <c r="L227" t="s">
        <v>74</v>
      </c>
      <c r="M227" t="s">
        <v>78</v>
      </c>
      <c r="N227" t="s">
        <v>79</v>
      </c>
      <c r="O227" t="s">
        <v>74</v>
      </c>
      <c r="P227" t="s">
        <v>74</v>
      </c>
      <c r="Q227" t="s">
        <v>74</v>
      </c>
      <c r="R227" t="s">
        <v>74</v>
      </c>
      <c r="S227" t="s">
        <v>74</v>
      </c>
      <c r="T227" t="s">
        <v>74</v>
      </c>
      <c r="U227" t="s">
        <v>4854</v>
      </c>
      <c r="V227" t="s">
        <v>4855</v>
      </c>
      <c r="W227" t="s">
        <v>4856</v>
      </c>
      <c r="X227" t="s">
        <v>3385</v>
      </c>
      <c r="Y227" t="s">
        <v>4857</v>
      </c>
      <c r="Z227" t="s">
        <v>4838</v>
      </c>
      <c r="AA227" t="s">
        <v>74</v>
      </c>
      <c r="AB227" t="s">
        <v>4840</v>
      </c>
      <c r="AC227" t="s">
        <v>4858</v>
      </c>
      <c r="AD227" t="s">
        <v>4858</v>
      </c>
      <c r="AE227" t="s">
        <v>4859</v>
      </c>
      <c r="AF227" t="s">
        <v>74</v>
      </c>
      <c r="AG227">
        <v>31</v>
      </c>
      <c r="AH227">
        <v>1</v>
      </c>
      <c r="AI227">
        <v>1</v>
      </c>
      <c r="AJ227">
        <v>2</v>
      </c>
      <c r="AK227">
        <v>4</v>
      </c>
      <c r="AL227" t="s">
        <v>2876</v>
      </c>
      <c r="AM227" t="s">
        <v>346</v>
      </c>
      <c r="AN227" t="s">
        <v>2877</v>
      </c>
      <c r="AO227" t="s">
        <v>4844</v>
      </c>
      <c r="AP227" t="s">
        <v>74</v>
      </c>
      <c r="AQ227" t="s">
        <v>74</v>
      </c>
      <c r="AR227" t="s">
        <v>4834</v>
      </c>
      <c r="AS227" t="s">
        <v>4845</v>
      </c>
      <c r="AT227" t="s">
        <v>4827</v>
      </c>
      <c r="AU227">
        <v>2022</v>
      </c>
      <c r="AV227">
        <v>3</v>
      </c>
      <c r="AW227">
        <v>10</v>
      </c>
      <c r="AX227" t="s">
        <v>74</v>
      </c>
      <c r="AY227" t="s">
        <v>74</v>
      </c>
      <c r="AZ227" t="s">
        <v>74</v>
      </c>
      <c r="BA227" t="s">
        <v>74</v>
      </c>
      <c r="BB227" t="s">
        <v>74</v>
      </c>
      <c r="BC227" t="s">
        <v>74</v>
      </c>
      <c r="BD227">
        <v>100554</v>
      </c>
      <c r="BE227" t="s">
        <v>4860</v>
      </c>
      <c r="BF227" t="str">
        <f>HYPERLINK("http://dx.doi.org/10.1016/j.patter.2022.100554","http://dx.doi.org/10.1016/j.patter.2022.100554")</f>
        <v>http://dx.doi.org/10.1016/j.patter.2022.100554</v>
      </c>
      <c r="BG227" t="s">
        <v>74</v>
      </c>
      <c r="BH227" t="s">
        <v>74</v>
      </c>
      <c r="BI227">
        <v>9</v>
      </c>
      <c r="BJ227" t="s">
        <v>4847</v>
      </c>
      <c r="BK227" t="s">
        <v>215</v>
      </c>
      <c r="BL227" t="s">
        <v>4848</v>
      </c>
      <c r="BM227" t="s">
        <v>4849</v>
      </c>
      <c r="BN227">
        <v>36277813</v>
      </c>
      <c r="BO227" t="s">
        <v>305</v>
      </c>
      <c r="BP227" t="s">
        <v>74</v>
      </c>
      <c r="BQ227" t="s">
        <v>74</v>
      </c>
      <c r="BR227" t="s">
        <v>103</v>
      </c>
      <c r="BS227" t="s">
        <v>4861</v>
      </c>
      <c r="BT227" t="str">
        <f>HYPERLINK("https%3A%2F%2Fwww.webofscience.com%2Fwos%2Fwoscc%2Ffull-record%2FWOS:000898561500007","View Full Record in Web of Science")</f>
        <v>View Full Record in Web of Science</v>
      </c>
    </row>
    <row r="228" spans="1:72" x14ac:dyDescent="0.15">
      <c r="A228" t="s">
        <v>72</v>
      </c>
      <c r="B228" t="s">
        <v>4862</v>
      </c>
      <c r="C228" t="s">
        <v>74</v>
      </c>
      <c r="D228" t="s">
        <v>74</v>
      </c>
      <c r="E228" t="s">
        <v>74</v>
      </c>
      <c r="F228" t="s">
        <v>4863</v>
      </c>
      <c r="G228" t="s">
        <v>74</v>
      </c>
      <c r="H228" t="s">
        <v>74</v>
      </c>
      <c r="I228" t="s">
        <v>4864</v>
      </c>
      <c r="J228" t="s">
        <v>81</v>
      </c>
      <c r="K228" t="s">
        <v>74</v>
      </c>
      <c r="L228" t="s">
        <v>74</v>
      </c>
      <c r="M228" t="s">
        <v>78</v>
      </c>
      <c r="N228" t="s">
        <v>3381</v>
      </c>
      <c r="O228" t="s">
        <v>74</v>
      </c>
      <c r="P228" t="s">
        <v>74</v>
      </c>
      <c r="Q228" t="s">
        <v>74</v>
      </c>
      <c r="R228" t="s">
        <v>74</v>
      </c>
      <c r="S228" t="s">
        <v>74</v>
      </c>
      <c r="T228" t="s">
        <v>74</v>
      </c>
      <c r="U228" t="s">
        <v>74</v>
      </c>
      <c r="V228" t="s">
        <v>74</v>
      </c>
      <c r="W228" t="s">
        <v>4865</v>
      </c>
      <c r="X228" t="s">
        <v>4866</v>
      </c>
      <c r="Y228" t="s">
        <v>4867</v>
      </c>
      <c r="Z228" t="s">
        <v>4868</v>
      </c>
      <c r="AA228" t="s">
        <v>4869</v>
      </c>
      <c r="AB228" t="s">
        <v>74</v>
      </c>
      <c r="AC228" t="s">
        <v>74</v>
      </c>
      <c r="AD228" t="s">
        <v>74</v>
      </c>
      <c r="AE228" t="s">
        <v>74</v>
      </c>
      <c r="AF228" t="s">
        <v>74</v>
      </c>
      <c r="AG228">
        <v>8</v>
      </c>
      <c r="AH228">
        <v>0</v>
      </c>
      <c r="AI228">
        <v>1</v>
      </c>
      <c r="AJ228">
        <v>14</v>
      </c>
      <c r="AK228">
        <v>57</v>
      </c>
      <c r="AL228" t="s">
        <v>2108</v>
      </c>
      <c r="AM228" t="s">
        <v>207</v>
      </c>
      <c r="AN228" t="s">
        <v>2109</v>
      </c>
      <c r="AO228" t="s">
        <v>2110</v>
      </c>
      <c r="AP228" t="s">
        <v>2111</v>
      </c>
      <c r="AQ228" t="s">
        <v>74</v>
      </c>
      <c r="AR228" t="s">
        <v>81</v>
      </c>
      <c r="AS228" t="s">
        <v>2112</v>
      </c>
      <c r="AT228" t="s">
        <v>4827</v>
      </c>
      <c r="AU228">
        <v>2022</v>
      </c>
      <c r="AV228">
        <v>377</v>
      </c>
      <c r="AW228">
        <v>6611</v>
      </c>
      <c r="AX228" t="s">
        <v>74</v>
      </c>
      <c r="AY228" t="s">
        <v>74</v>
      </c>
      <c r="AZ228" t="s">
        <v>74</v>
      </c>
      <c r="BA228" t="s">
        <v>74</v>
      </c>
      <c r="BB228">
        <v>1164</v>
      </c>
      <c r="BC228">
        <v>1164</v>
      </c>
      <c r="BD228" t="s">
        <v>74</v>
      </c>
      <c r="BE228" t="s">
        <v>4870</v>
      </c>
      <c r="BF228" t="str">
        <f>HYPERLINK("http://dx.doi.org/10.1126/science.ade3911","http://dx.doi.org/10.1126/science.ade3911")</f>
        <v>http://dx.doi.org/10.1126/science.ade3911</v>
      </c>
      <c r="BG228" t="s">
        <v>74</v>
      </c>
      <c r="BH228" t="s">
        <v>74</v>
      </c>
      <c r="BI228">
        <v>1</v>
      </c>
      <c r="BJ228" t="s">
        <v>156</v>
      </c>
      <c r="BK228" t="s">
        <v>100</v>
      </c>
      <c r="BL228" t="s">
        <v>157</v>
      </c>
      <c r="BM228" t="s">
        <v>4871</v>
      </c>
      <c r="BN228">
        <v>36074852</v>
      </c>
      <c r="BO228" t="s">
        <v>74</v>
      </c>
      <c r="BP228" t="s">
        <v>74</v>
      </c>
      <c r="BQ228" t="s">
        <v>74</v>
      </c>
      <c r="BR228" t="s">
        <v>103</v>
      </c>
      <c r="BS228" t="s">
        <v>4872</v>
      </c>
      <c r="BT228" t="str">
        <f>HYPERLINK("https%3A%2F%2Fwww.webofscience.com%2Fwos%2Fwoscc%2Ffull-record%2FWOS:000887933400038","View Full Record in Web of Science")</f>
        <v>View Full Record in Web of Science</v>
      </c>
    </row>
    <row r="229" spans="1:72" x14ac:dyDescent="0.15">
      <c r="A229" t="s">
        <v>72</v>
      </c>
      <c r="B229" t="s">
        <v>4873</v>
      </c>
      <c r="C229" t="s">
        <v>74</v>
      </c>
      <c r="D229" t="s">
        <v>74</v>
      </c>
      <c r="E229" t="s">
        <v>74</v>
      </c>
      <c r="F229" t="s">
        <v>4874</v>
      </c>
      <c r="G229" t="s">
        <v>74</v>
      </c>
      <c r="H229" t="s">
        <v>74</v>
      </c>
      <c r="I229" t="s">
        <v>4875</v>
      </c>
      <c r="J229" t="s">
        <v>81</v>
      </c>
      <c r="K229" t="s">
        <v>74</v>
      </c>
      <c r="L229" t="s">
        <v>74</v>
      </c>
      <c r="M229" t="s">
        <v>78</v>
      </c>
      <c r="N229" t="s">
        <v>79</v>
      </c>
      <c r="O229" t="s">
        <v>74</v>
      </c>
      <c r="P229" t="s">
        <v>74</v>
      </c>
      <c r="Q229" t="s">
        <v>74</v>
      </c>
      <c r="R229" t="s">
        <v>74</v>
      </c>
      <c r="S229" t="s">
        <v>74</v>
      </c>
      <c r="T229" t="s">
        <v>74</v>
      </c>
      <c r="U229" t="s">
        <v>4876</v>
      </c>
      <c r="V229" t="s">
        <v>4877</v>
      </c>
      <c r="W229" t="s">
        <v>4878</v>
      </c>
      <c r="X229" t="s">
        <v>4879</v>
      </c>
      <c r="Y229" t="s">
        <v>4880</v>
      </c>
      <c r="Z229" t="s">
        <v>4881</v>
      </c>
      <c r="AA229" t="s">
        <v>74</v>
      </c>
      <c r="AB229" t="s">
        <v>74</v>
      </c>
      <c r="AC229" t="s">
        <v>4882</v>
      </c>
      <c r="AD229" t="s">
        <v>4883</v>
      </c>
      <c r="AE229" t="s">
        <v>4884</v>
      </c>
      <c r="AF229" t="s">
        <v>74</v>
      </c>
      <c r="AG229">
        <v>100</v>
      </c>
      <c r="AH229">
        <v>339</v>
      </c>
      <c r="AI229">
        <v>341</v>
      </c>
      <c r="AJ229">
        <v>223</v>
      </c>
      <c r="AK229">
        <v>557</v>
      </c>
      <c r="AL229" t="s">
        <v>2108</v>
      </c>
      <c r="AM229" t="s">
        <v>207</v>
      </c>
      <c r="AN229" t="s">
        <v>2109</v>
      </c>
      <c r="AO229" t="s">
        <v>2110</v>
      </c>
      <c r="AP229" t="s">
        <v>2111</v>
      </c>
      <c r="AQ229" t="s">
        <v>74</v>
      </c>
      <c r="AR229" t="s">
        <v>81</v>
      </c>
      <c r="AS229" t="s">
        <v>2112</v>
      </c>
      <c r="AT229" t="s">
        <v>4827</v>
      </c>
      <c r="AU229">
        <v>2022</v>
      </c>
      <c r="AV229">
        <v>377</v>
      </c>
      <c r="AW229">
        <v>6611</v>
      </c>
      <c r="AX229" t="s">
        <v>74</v>
      </c>
      <c r="AY229" t="s">
        <v>74</v>
      </c>
      <c r="AZ229" t="s">
        <v>74</v>
      </c>
      <c r="BA229" t="s">
        <v>74</v>
      </c>
      <c r="BB229">
        <v>1171</v>
      </c>
      <c r="BC229" t="s">
        <v>2114</v>
      </c>
      <c r="BD229" t="s">
        <v>4885</v>
      </c>
      <c r="BE229" t="s">
        <v>4886</v>
      </c>
      <c r="BF229" t="str">
        <f>HYPERLINK("http://dx.doi.org/10.1126/science.abn7950","http://dx.doi.org/10.1126/science.abn7950")</f>
        <v>http://dx.doi.org/10.1126/science.abn7950</v>
      </c>
      <c r="BG229" t="s">
        <v>74</v>
      </c>
      <c r="BH229" t="s">
        <v>74</v>
      </c>
      <c r="BI229">
        <v>11</v>
      </c>
      <c r="BJ229" t="s">
        <v>156</v>
      </c>
      <c r="BK229" t="s">
        <v>100</v>
      </c>
      <c r="BL229" t="s">
        <v>157</v>
      </c>
      <c r="BM229" t="s">
        <v>4871</v>
      </c>
      <c r="BN229">
        <v>36074831</v>
      </c>
      <c r="BO229" t="s">
        <v>2260</v>
      </c>
      <c r="BP229" t="s">
        <v>4887</v>
      </c>
      <c r="BQ229" t="s">
        <v>4887</v>
      </c>
      <c r="BR229" t="s">
        <v>103</v>
      </c>
      <c r="BS229" t="s">
        <v>4888</v>
      </c>
      <c r="BT229" t="str">
        <f>HYPERLINK("https%3A%2F%2Fwww.webofscience.com%2Fwos%2Fwoscc%2Ffull-record%2FWOS:000887933400003","View Full Record in Web of Science")</f>
        <v>View Full Record in Web of Science</v>
      </c>
    </row>
    <row r="230" spans="1:72" x14ac:dyDescent="0.15">
      <c r="A230" t="s">
        <v>72</v>
      </c>
      <c r="B230" t="s">
        <v>4889</v>
      </c>
      <c r="C230" t="s">
        <v>74</v>
      </c>
      <c r="D230" t="s">
        <v>74</v>
      </c>
      <c r="E230" t="s">
        <v>74</v>
      </c>
      <c r="F230" t="s">
        <v>4890</v>
      </c>
      <c r="G230" t="s">
        <v>74</v>
      </c>
      <c r="H230" t="s">
        <v>74</v>
      </c>
      <c r="I230" t="s">
        <v>4891</v>
      </c>
      <c r="J230" t="s">
        <v>3147</v>
      </c>
      <c r="K230" t="s">
        <v>74</v>
      </c>
      <c r="L230" t="s">
        <v>74</v>
      </c>
      <c r="M230" t="s">
        <v>78</v>
      </c>
      <c r="N230" t="s">
        <v>79</v>
      </c>
      <c r="O230" t="s">
        <v>74</v>
      </c>
      <c r="P230" t="s">
        <v>74</v>
      </c>
      <c r="Q230" t="s">
        <v>74</v>
      </c>
      <c r="R230" t="s">
        <v>74</v>
      </c>
      <c r="S230" t="s">
        <v>74</v>
      </c>
      <c r="T230" t="s">
        <v>4892</v>
      </c>
      <c r="U230" t="s">
        <v>4893</v>
      </c>
      <c r="V230" t="s">
        <v>4894</v>
      </c>
      <c r="W230" t="s">
        <v>4895</v>
      </c>
      <c r="X230" t="s">
        <v>4896</v>
      </c>
      <c r="Y230" t="s">
        <v>4897</v>
      </c>
      <c r="Z230" t="s">
        <v>4898</v>
      </c>
      <c r="AA230" t="s">
        <v>4899</v>
      </c>
      <c r="AB230" t="s">
        <v>4900</v>
      </c>
      <c r="AC230" t="s">
        <v>4901</v>
      </c>
      <c r="AD230" t="s">
        <v>4902</v>
      </c>
      <c r="AE230" t="s">
        <v>4903</v>
      </c>
      <c r="AF230" t="s">
        <v>74</v>
      </c>
      <c r="AG230">
        <v>34</v>
      </c>
      <c r="AH230">
        <v>4</v>
      </c>
      <c r="AI230">
        <v>4</v>
      </c>
      <c r="AJ230">
        <v>7</v>
      </c>
      <c r="AK230">
        <v>29</v>
      </c>
      <c r="AL230" t="s">
        <v>2249</v>
      </c>
      <c r="AM230" t="s">
        <v>90</v>
      </c>
      <c r="AN230" t="s">
        <v>2250</v>
      </c>
      <c r="AO230" t="s">
        <v>3159</v>
      </c>
      <c r="AP230" t="s">
        <v>3160</v>
      </c>
      <c r="AQ230" t="s">
        <v>74</v>
      </c>
      <c r="AR230" t="s">
        <v>3161</v>
      </c>
      <c r="AS230" t="s">
        <v>3162</v>
      </c>
      <c r="AT230" t="s">
        <v>2670</v>
      </c>
      <c r="AU230">
        <v>2022</v>
      </c>
      <c r="AV230">
        <v>70</v>
      </c>
      <c r="AW230">
        <v>8</v>
      </c>
      <c r="AX230" t="s">
        <v>74</v>
      </c>
      <c r="AY230" t="s">
        <v>74</v>
      </c>
      <c r="AZ230" t="s">
        <v>74</v>
      </c>
      <c r="BA230" t="s">
        <v>74</v>
      </c>
      <c r="BB230">
        <v>2494</v>
      </c>
      <c r="BC230">
        <v>2505</v>
      </c>
      <c r="BD230" t="s">
        <v>74</v>
      </c>
      <c r="BE230" t="s">
        <v>4904</v>
      </c>
      <c r="BF230" t="str">
        <f>HYPERLINK("http://dx.doi.org/10.1016/j.asr.2022.07.008","http://dx.doi.org/10.1016/j.asr.2022.07.008")</f>
        <v>http://dx.doi.org/10.1016/j.asr.2022.07.008</v>
      </c>
      <c r="BG230" t="s">
        <v>74</v>
      </c>
      <c r="BH230" t="s">
        <v>2143</v>
      </c>
      <c r="BI230">
        <v>12</v>
      </c>
      <c r="BJ230" t="s">
        <v>3164</v>
      </c>
      <c r="BK230" t="s">
        <v>100</v>
      </c>
      <c r="BL230" t="s">
        <v>3165</v>
      </c>
      <c r="BM230" t="s">
        <v>4905</v>
      </c>
      <c r="BN230" t="s">
        <v>74</v>
      </c>
      <c r="BO230" t="s">
        <v>74</v>
      </c>
      <c r="BP230" t="s">
        <v>74</v>
      </c>
      <c r="BQ230" t="s">
        <v>74</v>
      </c>
      <c r="BR230" t="s">
        <v>103</v>
      </c>
      <c r="BS230" t="s">
        <v>4906</v>
      </c>
      <c r="BT230" t="str">
        <f>HYPERLINK("https%3A%2F%2Fwww.webofscience.com%2Fwos%2Fwoscc%2Ffull-record%2FWOS:000866534100008","View Full Record in Web of Science")</f>
        <v>View Full Record in Web of Science</v>
      </c>
    </row>
    <row r="231" spans="1:72" x14ac:dyDescent="0.15">
      <c r="A231" t="s">
        <v>72</v>
      </c>
      <c r="B231" t="s">
        <v>4907</v>
      </c>
      <c r="C231" t="s">
        <v>74</v>
      </c>
      <c r="D231" t="s">
        <v>74</v>
      </c>
      <c r="E231" t="s">
        <v>74</v>
      </c>
      <c r="F231" t="s">
        <v>4908</v>
      </c>
      <c r="G231" t="s">
        <v>74</v>
      </c>
      <c r="H231" t="s">
        <v>74</v>
      </c>
      <c r="I231" t="s">
        <v>4909</v>
      </c>
      <c r="J231" t="s">
        <v>4910</v>
      </c>
      <c r="K231" t="s">
        <v>74</v>
      </c>
      <c r="L231" t="s">
        <v>74</v>
      </c>
      <c r="M231" t="s">
        <v>78</v>
      </c>
      <c r="N231" t="s">
        <v>79</v>
      </c>
      <c r="O231" t="s">
        <v>74</v>
      </c>
      <c r="P231" t="s">
        <v>74</v>
      </c>
      <c r="Q231" t="s">
        <v>74</v>
      </c>
      <c r="R231" t="s">
        <v>74</v>
      </c>
      <c r="S231" t="s">
        <v>74</v>
      </c>
      <c r="T231" t="s">
        <v>4911</v>
      </c>
      <c r="U231" t="s">
        <v>4912</v>
      </c>
      <c r="V231" t="s">
        <v>4913</v>
      </c>
      <c r="W231" t="s">
        <v>4914</v>
      </c>
      <c r="X231" t="s">
        <v>4915</v>
      </c>
      <c r="Y231" t="s">
        <v>4916</v>
      </c>
      <c r="Z231" t="s">
        <v>4917</v>
      </c>
      <c r="AA231" t="s">
        <v>74</v>
      </c>
      <c r="AB231" t="s">
        <v>4918</v>
      </c>
      <c r="AC231" t="s">
        <v>4919</v>
      </c>
      <c r="AD231" t="s">
        <v>4920</v>
      </c>
      <c r="AE231" t="s">
        <v>4921</v>
      </c>
      <c r="AF231" t="s">
        <v>74</v>
      </c>
      <c r="AG231">
        <v>48</v>
      </c>
      <c r="AH231">
        <v>0</v>
      </c>
      <c r="AI231">
        <v>0</v>
      </c>
      <c r="AJ231">
        <v>3</v>
      </c>
      <c r="AK231">
        <v>9</v>
      </c>
      <c r="AL231" t="s">
        <v>2275</v>
      </c>
      <c r="AM231" t="s">
        <v>90</v>
      </c>
      <c r="AN231" t="s">
        <v>2276</v>
      </c>
      <c r="AO231" t="s">
        <v>4922</v>
      </c>
      <c r="AP231" t="s">
        <v>4923</v>
      </c>
      <c r="AQ231" t="s">
        <v>74</v>
      </c>
      <c r="AR231" t="s">
        <v>4924</v>
      </c>
      <c r="AS231" t="s">
        <v>4925</v>
      </c>
      <c r="AT231" t="s">
        <v>1633</v>
      </c>
      <c r="AU231">
        <v>2022</v>
      </c>
      <c r="AV231">
        <v>334</v>
      </c>
      <c r="AW231" t="s">
        <v>74</v>
      </c>
      <c r="AX231" t="s">
        <v>74</v>
      </c>
      <c r="AY231" t="s">
        <v>74</v>
      </c>
      <c r="AZ231" t="s">
        <v>74</v>
      </c>
      <c r="BA231" t="s">
        <v>74</v>
      </c>
      <c r="BB231">
        <v>383</v>
      </c>
      <c r="BC231">
        <v>405</v>
      </c>
      <c r="BD231" t="s">
        <v>74</v>
      </c>
      <c r="BE231" t="s">
        <v>4926</v>
      </c>
      <c r="BF231" t="str">
        <f>HYPERLINK("http://dx.doi.org/10.1016/j.gca.2022.06.024","http://dx.doi.org/10.1016/j.gca.2022.06.024")</f>
        <v>http://dx.doi.org/10.1016/j.gca.2022.06.024</v>
      </c>
      <c r="BG231" t="s">
        <v>74</v>
      </c>
      <c r="BH231" t="s">
        <v>2143</v>
      </c>
      <c r="BI231">
        <v>23</v>
      </c>
      <c r="BJ231" t="s">
        <v>1379</v>
      </c>
      <c r="BK231" t="s">
        <v>100</v>
      </c>
      <c r="BL231" t="s">
        <v>1379</v>
      </c>
      <c r="BM231" t="s">
        <v>4927</v>
      </c>
      <c r="BN231" t="s">
        <v>74</v>
      </c>
      <c r="BO231" t="s">
        <v>2260</v>
      </c>
      <c r="BP231" t="s">
        <v>74</v>
      </c>
      <c r="BQ231" t="s">
        <v>74</v>
      </c>
      <c r="BR231" t="s">
        <v>103</v>
      </c>
      <c r="BS231" t="s">
        <v>4928</v>
      </c>
      <c r="BT231" t="str">
        <f>HYPERLINK("https%3A%2F%2Fwww.webofscience.com%2Fwos%2Fwoscc%2Ffull-record%2FWOS:000874911700004","View Full Record in Web of Science")</f>
        <v>View Full Record in Web of Science</v>
      </c>
    </row>
    <row r="232" spans="1:72" x14ac:dyDescent="0.15">
      <c r="A232" t="s">
        <v>72</v>
      </c>
      <c r="B232" t="s">
        <v>4929</v>
      </c>
      <c r="C232" t="s">
        <v>74</v>
      </c>
      <c r="D232" t="s">
        <v>74</v>
      </c>
      <c r="E232" t="s">
        <v>74</v>
      </c>
      <c r="F232" t="s">
        <v>4930</v>
      </c>
      <c r="G232" t="s">
        <v>74</v>
      </c>
      <c r="H232" t="s">
        <v>74</v>
      </c>
      <c r="I232" t="s">
        <v>4931</v>
      </c>
      <c r="J232" t="s">
        <v>108</v>
      </c>
      <c r="K232" t="s">
        <v>74</v>
      </c>
      <c r="L232" t="s">
        <v>74</v>
      </c>
      <c r="M232" t="s">
        <v>78</v>
      </c>
      <c r="N232" t="s">
        <v>79</v>
      </c>
      <c r="O232" t="s">
        <v>74</v>
      </c>
      <c r="P232" t="s">
        <v>74</v>
      </c>
      <c r="Q232" t="s">
        <v>74</v>
      </c>
      <c r="R232" t="s">
        <v>74</v>
      </c>
      <c r="S232" t="s">
        <v>74</v>
      </c>
      <c r="T232" t="s">
        <v>4932</v>
      </c>
      <c r="U232" t="s">
        <v>4933</v>
      </c>
      <c r="V232" t="s">
        <v>4934</v>
      </c>
      <c r="W232" t="s">
        <v>4935</v>
      </c>
      <c r="X232" t="s">
        <v>4936</v>
      </c>
      <c r="Y232" t="s">
        <v>4937</v>
      </c>
      <c r="Z232" t="s">
        <v>4938</v>
      </c>
      <c r="AA232" t="s">
        <v>4939</v>
      </c>
      <c r="AB232" t="s">
        <v>74</v>
      </c>
      <c r="AC232" t="s">
        <v>4940</v>
      </c>
      <c r="AD232" t="s">
        <v>4941</v>
      </c>
      <c r="AE232" t="s">
        <v>4942</v>
      </c>
      <c r="AF232" t="s">
        <v>74</v>
      </c>
      <c r="AG232">
        <v>50</v>
      </c>
      <c r="AH232">
        <v>0</v>
      </c>
      <c r="AI232">
        <v>0</v>
      </c>
      <c r="AJ232">
        <v>3</v>
      </c>
      <c r="AK232">
        <v>18</v>
      </c>
      <c r="AL232" t="s">
        <v>121</v>
      </c>
      <c r="AM232" t="s">
        <v>122</v>
      </c>
      <c r="AN232" t="s">
        <v>123</v>
      </c>
      <c r="AO232" t="s">
        <v>74</v>
      </c>
      <c r="AP232" t="s">
        <v>124</v>
      </c>
      <c r="AQ232" t="s">
        <v>74</v>
      </c>
      <c r="AR232" t="s">
        <v>125</v>
      </c>
      <c r="AS232" t="s">
        <v>126</v>
      </c>
      <c r="AT232" t="s">
        <v>4827</v>
      </c>
      <c r="AU232">
        <v>2022</v>
      </c>
      <c r="AV232">
        <v>10</v>
      </c>
      <c r="AW232" t="s">
        <v>74</v>
      </c>
      <c r="AX232" t="s">
        <v>74</v>
      </c>
      <c r="AY232" t="s">
        <v>74</v>
      </c>
      <c r="AZ232" t="s">
        <v>74</v>
      </c>
      <c r="BA232" t="s">
        <v>74</v>
      </c>
      <c r="BB232" t="s">
        <v>74</v>
      </c>
      <c r="BC232" t="s">
        <v>74</v>
      </c>
      <c r="BD232">
        <v>920245</v>
      </c>
      <c r="BE232" t="s">
        <v>4943</v>
      </c>
      <c r="BF232" t="str">
        <f>HYPERLINK("http://dx.doi.org/10.3389/feart.2022.920245","http://dx.doi.org/10.3389/feart.2022.920245")</f>
        <v>http://dx.doi.org/10.3389/feart.2022.920245</v>
      </c>
      <c r="BG232" t="s">
        <v>74</v>
      </c>
      <c r="BH232" t="s">
        <v>74</v>
      </c>
      <c r="BI232">
        <v>10</v>
      </c>
      <c r="BJ232" t="s">
        <v>129</v>
      </c>
      <c r="BK232" t="s">
        <v>100</v>
      </c>
      <c r="BL232" t="s">
        <v>130</v>
      </c>
      <c r="BM232" t="s">
        <v>4944</v>
      </c>
      <c r="BN232" t="s">
        <v>74</v>
      </c>
      <c r="BO232" t="s">
        <v>266</v>
      </c>
      <c r="BP232" t="s">
        <v>74</v>
      </c>
      <c r="BQ232" t="s">
        <v>74</v>
      </c>
      <c r="BR232" t="s">
        <v>103</v>
      </c>
      <c r="BS232" t="s">
        <v>4945</v>
      </c>
      <c r="BT232" t="str">
        <f>HYPERLINK("https%3A%2F%2Fwww.webofscience.com%2Fwos%2Fwoscc%2Ffull-record%2FWOS:000875305200001","View Full Record in Web of Science")</f>
        <v>View Full Record in Web of Science</v>
      </c>
    </row>
    <row r="233" spans="1:72" x14ac:dyDescent="0.15">
      <c r="A233" t="s">
        <v>72</v>
      </c>
      <c r="B233" t="s">
        <v>4946</v>
      </c>
      <c r="C233" t="s">
        <v>74</v>
      </c>
      <c r="D233" t="s">
        <v>74</v>
      </c>
      <c r="E233" t="s">
        <v>74</v>
      </c>
      <c r="F233" t="s">
        <v>4947</v>
      </c>
      <c r="G233" t="s">
        <v>74</v>
      </c>
      <c r="H233" t="s">
        <v>74</v>
      </c>
      <c r="I233" t="s">
        <v>4948</v>
      </c>
      <c r="J233" t="s">
        <v>4949</v>
      </c>
      <c r="K233" t="s">
        <v>74</v>
      </c>
      <c r="L233" t="s">
        <v>74</v>
      </c>
      <c r="M233" t="s">
        <v>78</v>
      </c>
      <c r="N233" t="s">
        <v>79</v>
      </c>
      <c r="O233" t="s">
        <v>74</v>
      </c>
      <c r="P233" t="s">
        <v>74</v>
      </c>
      <c r="Q233" t="s">
        <v>74</v>
      </c>
      <c r="R233" t="s">
        <v>74</v>
      </c>
      <c r="S233" t="s">
        <v>74</v>
      </c>
      <c r="T233" t="s">
        <v>4950</v>
      </c>
      <c r="U233" t="s">
        <v>4951</v>
      </c>
      <c r="V233" t="s">
        <v>4952</v>
      </c>
      <c r="W233" t="s">
        <v>4953</v>
      </c>
      <c r="X233" t="s">
        <v>4954</v>
      </c>
      <c r="Y233" t="s">
        <v>4955</v>
      </c>
      <c r="Z233" t="s">
        <v>4956</v>
      </c>
      <c r="AA233" t="s">
        <v>4957</v>
      </c>
      <c r="AB233" t="s">
        <v>4958</v>
      </c>
      <c r="AC233" t="s">
        <v>4959</v>
      </c>
      <c r="AD233" t="s">
        <v>4960</v>
      </c>
      <c r="AE233" t="s">
        <v>4961</v>
      </c>
      <c r="AF233" t="s">
        <v>74</v>
      </c>
      <c r="AG233">
        <v>81</v>
      </c>
      <c r="AH233">
        <v>1</v>
      </c>
      <c r="AI233">
        <v>1</v>
      </c>
      <c r="AJ233">
        <v>0</v>
      </c>
      <c r="AK233">
        <v>4</v>
      </c>
      <c r="AL233" t="s">
        <v>501</v>
      </c>
      <c r="AM233" t="s">
        <v>502</v>
      </c>
      <c r="AN233" t="s">
        <v>503</v>
      </c>
      <c r="AO233" t="s">
        <v>4962</v>
      </c>
      <c r="AP233" t="s">
        <v>4963</v>
      </c>
      <c r="AQ233" t="s">
        <v>74</v>
      </c>
      <c r="AR233" t="s">
        <v>4964</v>
      </c>
      <c r="AS233" t="s">
        <v>4965</v>
      </c>
      <c r="AT233" t="s">
        <v>3605</v>
      </c>
      <c r="AU233">
        <v>2022</v>
      </c>
      <c r="AV233">
        <v>33</v>
      </c>
      <c r="AW233" t="s">
        <v>74</v>
      </c>
      <c r="AX233" t="s">
        <v>74</v>
      </c>
      <c r="AY233" t="s">
        <v>74</v>
      </c>
      <c r="AZ233" t="s">
        <v>74</v>
      </c>
      <c r="BA233" t="s">
        <v>74</v>
      </c>
      <c r="BB233" t="s">
        <v>74</v>
      </c>
      <c r="BC233" t="s">
        <v>74</v>
      </c>
      <c r="BD233">
        <v>100849</v>
      </c>
      <c r="BE233" t="s">
        <v>4966</v>
      </c>
      <c r="BF233" t="str">
        <f>HYPERLINK("http://dx.doi.org/10.1016/j.polar.2022.100849","http://dx.doi.org/10.1016/j.polar.2022.100849")</f>
        <v>http://dx.doi.org/10.1016/j.polar.2022.100849</v>
      </c>
      <c r="BG233" t="s">
        <v>74</v>
      </c>
      <c r="BH233" t="s">
        <v>2143</v>
      </c>
      <c r="BI233">
        <v>17</v>
      </c>
      <c r="BJ233" t="s">
        <v>2467</v>
      </c>
      <c r="BK233" t="s">
        <v>100</v>
      </c>
      <c r="BL233" t="s">
        <v>1219</v>
      </c>
      <c r="BM233" t="s">
        <v>4967</v>
      </c>
      <c r="BN233" t="s">
        <v>74</v>
      </c>
      <c r="BO233" t="s">
        <v>74</v>
      </c>
      <c r="BP233" t="s">
        <v>74</v>
      </c>
      <c r="BQ233" t="s">
        <v>74</v>
      </c>
      <c r="BR233" t="s">
        <v>103</v>
      </c>
      <c r="BS233" t="s">
        <v>4968</v>
      </c>
      <c r="BT233" t="str">
        <f>HYPERLINK("https%3A%2F%2Fwww.webofscience.com%2Fwos%2Fwoscc%2Ffull-record%2FWOS:000861020800004","View Full Record in Web of Science")</f>
        <v>View Full Record in Web of Science</v>
      </c>
    </row>
    <row r="234" spans="1:72" x14ac:dyDescent="0.15">
      <c r="A234" t="s">
        <v>72</v>
      </c>
      <c r="B234" t="s">
        <v>4969</v>
      </c>
      <c r="C234" t="s">
        <v>74</v>
      </c>
      <c r="D234" t="s">
        <v>74</v>
      </c>
      <c r="E234" t="s">
        <v>74</v>
      </c>
      <c r="F234" t="s">
        <v>4970</v>
      </c>
      <c r="G234" t="s">
        <v>74</v>
      </c>
      <c r="H234" t="s">
        <v>74</v>
      </c>
      <c r="I234" t="s">
        <v>4971</v>
      </c>
      <c r="J234" t="s">
        <v>4949</v>
      </c>
      <c r="K234" t="s">
        <v>74</v>
      </c>
      <c r="L234" t="s">
        <v>74</v>
      </c>
      <c r="M234" t="s">
        <v>78</v>
      </c>
      <c r="N234" t="s">
        <v>79</v>
      </c>
      <c r="O234" t="s">
        <v>74</v>
      </c>
      <c r="P234" t="s">
        <v>74</v>
      </c>
      <c r="Q234" t="s">
        <v>74</v>
      </c>
      <c r="R234" t="s">
        <v>74</v>
      </c>
      <c r="S234" t="s">
        <v>74</v>
      </c>
      <c r="T234" t="s">
        <v>4972</v>
      </c>
      <c r="U234" t="s">
        <v>4973</v>
      </c>
      <c r="V234" t="s">
        <v>4974</v>
      </c>
      <c r="W234" t="s">
        <v>4975</v>
      </c>
      <c r="X234" t="s">
        <v>4976</v>
      </c>
      <c r="Y234" t="s">
        <v>4977</v>
      </c>
      <c r="Z234" t="s">
        <v>4978</v>
      </c>
      <c r="AA234" t="s">
        <v>4979</v>
      </c>
      <c r="AB234" t="s">
        <v>4980</v>
      </c>
      <c r="AC234" t="s">
        <v>4981</v>
      </c>
      <c r="AD234" t="s">
        <v>4982</v>
      </c>
      <c r="AE234" t="s">
        <v>4983</v>
      </c>
      <c r="AF234" t="s">
        <v>74</v>
      </c>
      <c r="AG234">
        <v>43</v>
      </c>
      <c r="AH234">
        <v>0</v>
      </c>
      <c r="AI234">
        <v>0</v>
      </c>
      <c r="AJ234">
        <v>0</v>
      </c>
      <c r="AK234">
        <v>3</v>
      </c>
      <c r="AL234" t="s">
        <v>501</v>
      </c>
      <c r="AM234" t="s">
        <v>502</v>
      </c>
      <c r="AN234" t="s">
        <v>503</v>
      </c>
      <c r="AO234" t="s">
        <v>4962</v>
      </c>
      <c r="AP234" t="s">
        <v>4963</v>
      </c>
      <c r="AQ234" t="s">
        <v>74</v>
      </c>
      <c r="AR234" t="s">
        <v>4964</v>
      </c>
      <c r="AS234" t="s">
        <v>4965</v>
      </c>
      <c r="AT234" t="s">
        <v>3605</v>
      </c>
      <c r="AU234">
        <v>2022</v>
      </c>
      <c r="AV234">
        <v>33</v>
      </c>
      <c r="AW234" t="s">
        <v>74</v>
      </c>
      <c r="AX234" t="s">
        <v>74</v>
      </c>
      <c r="AY234" t="s">
        <v>74</v>
      </c>
      <c r="AZ234" t="s">
        <v>74</v>
      </c>
      <c r="BA234" t="s">
        <v>74</v>
      </c>
      <c r="BB234" t="s">
        <v>74</v>
      </c>
      <c r="BC234" t="s">
        <v>74</v>
      </c>
      <c r="BD234">
        <v>100860</v>
      </c>
      <c r="BE234" t="s">
        <v>4984</v>
      </c>
      <c r="BF234" t="str">
        <f>HYPERLINK("http://dx.doi.org/10.1016/j.polar.2022.100860","http://dx.doi.org/10.1016/j.polar.2022.100860")</f>
        <v>http://dx.doi.org/10.1016/j.polar.2022.100860</v>
      </c>
      <c r="BG234" t="s">
        <v>74</v>
      </c>
      <c r="BH234" t="s">
        <v>2143</v>
      </c>
      <c r="BI234">
        <v>7</v>
      </c>
      <c r="BJ234" t="s">
        <v>2467</v>
      </c>
      <c r="BK234" t="s">
        <v>100</v>
      </c>
      <c r="BL234" t="s">
        <v>1219</v>
      </c>
      <c r="BM234" t="s">
        <v>4985</v>
      </c>
      <c r="BN234" t="s">
        <v>74</v>
      </c>
      <c r="BO234" t="s">
        <v>74</v>
      </c>
      <c r="BP234" t="s">
        <v>74</v>
      </c>
      <c r="BQ234" t="s">
        <v>74</v>
      </c>
      <c r="BR234" t="s">
        <v>103</v>
      </c>
      <c r="BS234" t="s">
        <v>4986</v>
      </c>
      <c r="BT234" t="str">
        <f>HYPERLINK("https%3A%2F%2Fwww.webofscience.com%2Fwos%2Fwoscc%2Ffull-record%2FWOS:000860965700003","View Full Record in Web of Science")</f>
        <v>View Full Record in Web of Science</v>
      </c>
    </row>
    <row r="235" spans="1:72" x14ac:dyDescent="0.15">
      <c r="A235" t="s">
        <v>72</v>
      </c>
      <c r="B235" t="s">
        <v>4987</v>
      </c>
      <c r="C235" t="s">
        <v>74</v>
      </c>
      <c r="D235" t="s">
        <v>74</v>
      </c>
      <c r="E235" t="s">
        <v>74</v>
      </c>
      <c r="F235" t="s">
        <v>4988</v>
      </c>
      <c r="G235" t="s">
        <v>74</v>
      </c>
      <c r="H235" t="s">
        <v>74</v>
      </c>
      <c r="I235" t="s">
        <v>4989</v>
      </c>
      <c r="J235" t="s">
        <v>4990</v>
      </c>
      <c r="K235" t="s">
        <v>74</v>
      </c>
      <c r="L235" t="s">
        <v>74</v>
      </c>
      <c r="M235" t="s">
        <v>78</v>
      </c>
      <c r="N235" t="s">
        <v>79</v>
      </c>
      <c r="O235" t="s">
        <v>74</v>
      </c>
      <c r="P235" t="s">
        <v>74</v>
      </c>
      <c r="Q235" t="s">
        <v>74</v>
      </c>
      <c r="R235" t="s">
        <v>74</v>
      </c>
      <c r="S235" t="s">
        <v>74</v>
      </c>
      <c r="T235" t="s">
        <v>4991</v>
      </c>
      <c r="U235" t="s">
        <v>4992</v>
      </c>
      <c r="V235" t="s">
        <v>4993</v>
      </c>
      <c r="W235" t="s">
        <v>4994</v>
      </c>
      <c r="X235" t="s">
        <v>4995</v>
      </c>
      <c r="Y235" t="s">
        <v>4996</v>
      </c>
      <c r="Z235" t="s">
        <v>4997</v>
      </c>
      <c r="AA235" t="s">
        <v>4998</v>
      </c>
      <c r="AB235" t="s">
        <v>4999</v>
      </c>
      <c r="AC235" t="s">
        <v>74</v>
      </c>
      <c r="AD235" t="s">
        <v>74</v>
      </c>
      <c r="AE235" t="s">
        <v>74</v>
      </c>
      <c r="AF235" t="s">
        <v>74</v>
      </c>
      <c r="AG235">
        <v>186</v>
      </c>
      <c r="AH235">
        <v>2</v>
      </c>
      <c r="AI235">
        <v>2</v>
      </c>
      <c r="AJ235">
        <v>1</v>
      </c>
      <c r="AK235">
        <v>2</v>
      </c>
      <c r="AL235" t="s">
        <v>2275</v>
      </c>
      <c r="AM235" t="s">
        <v>90</v>
      </c>
      <c r="AN235" t="s">
        <v>2276</v>
      </c>
      <c r="AO235" t="s">
        <v>5000</v>
      </c>
      <c r="AP235" t="s">
        <v>5001</v>
      </c>
      <c r="AQ235" t="s">
        <v>74</v>
      </c>
      <c r="AR235" t="s">
        <v>5002</v>
      </c>
      <c r="AS235" t="s">
        <v>5003</v>
      </c>
      <c r="AT235" t="s">
        <v>2281</v>
      </c>
      <c r="AU235">
        <v>2022</v>
      </c>
      <c r="AV235">
        <v>119</v>
      </c>
      <c r="AW235" t="s">
        <v>74</v>
      </c>
      <c r="AX235" t="s">
        <v>74</v>
      </c>
      <c r="AY235" t="s">
        <v>74</v>
      </c>
      <c r="AZ235" t="s">
        <v>74</v>
      </c>
      <c r="BA235" t="s">
        <v>74</v>
      </c>
      <c r="BB235" t="s">
        <v>74</v>
      </c>
      <c r="BC235" t="s">
        <v>74</v>
      </c>
      <c r="BD235">
        <v>103952</v>
      </c>
      <c r="BE235" t="s">
        <v>5004</v>
      </c>
      <c r="BF235" t="str">
        <f>HYPERLINK("http://dx.doi.org/10.1016/j.jsames.2022.103952","http://dx.doi.org/10.1016/j.jsames.2022.103952")</f>
        <v>http://dx.doi.org/10.1016/j.jsames.2022.103952</v>
      </c>
      <c r="BG235" t="s">
        <v>74</v>
      </c>
      <c r="BH235" t="s">
        <v>2143</v>
      </c>
      <c r="BI235">
        <v>25</v>
      </c>
      <c r="BJ235" t="s">
        <v>129</v>
      </c>
      <c r="BK235" t="s">
        <v>100</v>
      </c>
      <c r="BL235" t="s">
        <v>130</v>
      </c>
      <c r="BM235" t="s">
        <v>5005</v>
      </c>
      <c r="BN235" t="s">
        <v>74</v>
      </c>
      <c r="BO235" t="s">
        <v>2512</v>
      </c>
      <c r="BP235" t="s">
        <v>74</v>
      </c>
      <c r="BQ235" t="s">
        <v>74</v>
      </c>
      <c r="BR235" t="s">
        <v>103</v>
      </c>
      <c r="BS235" t="s">
        <v>5006</v>
      </c>
      <c r="BT235" t="str">
        <f>HYPERLINK("https%3A%2F%2Fwww.webofscience.com%2Fwos%2Fwoscc%2Ffull-record%2FWOS:000859980200001","View Full Record in Web of Science")</f>
        <v>View Full Record in Web of Science</v>
      </c>
    </row>
    <row r="236" spans="1:72" x14ac:dyDescent="0.15">
      <c r="A236" t="s">
        <v>72</v>
      </c>
      <c r="B236" t="s">
        <v>5007</v>
      </c>
      <c r="C236" t="s">
        <v>74</v>
      </c>
      <c r="D236" t="s">
        <v>74</v>
      </c>
      <c r="E236" t="s">
        <v>74</v>
      </c>
      <c r="F236" t="s">
        <v>5008</v>
      </c>
      <c r="G236" t="s">
        <v>74</v>
      </c>
      <c r="H236" t="s">
        <v>74</v>
      </c>
      <c r="I236" t="s">
        <v>5009</v>
      </c>
      <c r="J236" t="s">
        <v>137</v>
      </c>
      <c r="K236" t="s">
        <v>74</v>
      </c>
      <c r="L236" t="s">
        <v>74</v>
      </c>
      <c r="M236" t="s">
        <v>78</v>
      </c>
      <c r="N236" t="s">
        <v>79</v>
      </c>
      <c r="O236" t="s">
        <v>74</v>
      </c>
      <c r="P236" t="s">
        <v>74</v>
      </c>
      <c r="Q236" t="s">
        <v>74</v>
      </c>
      <c r="R236" t="s">
        <v>74</v>
      </c>
      <c r="S236" t="s">
        <v>74</v>
      </c>
      <c r="T236" t="s">
        <v>74</v>
      </c>
      <c r="U236" t="s">
        <v>5010</v>
      </c>
      <c r="V236" t="s">
        <v>5011</v>
      </c>
      <c r="W236" t="s">
        <v>5012</v>
      </c>
      <c r="X236" t="s">
        <v>5013</v>
      </c>
      <c r="Y236" t="s">
        <v>5014</v>
      </c>
      <c r="Z236" t="s">
        <v>5015</v>
      </c>
      <c r="AA236" t="s">
        <v>5016</v>
      </c>
      <c r="AB236" t="s">
        <v>5017</v>
      </c>
      <c r="AC236" t="s">
        <v>5018</v>
      </c>
      <c r="AD236" t="s">
        <v>5019</v>
      </c>
      <c r="AE236" t="s">
        <v>5020</v>
      </c>
      <c r="AF236" t="s">
        <v>74</v>
      </c>
      <c r="AG236">
        <v>46</v>
      </c>
      <c r="AH236">
        <v>27</v>
      </c>
      <c r="AI236">
        <v>28</v>
      </c>
      <c r="AJ236">
        <v>5</v>
      </c>
      <c r="AK236">
        <v>18</v>
      </c>
      <c r="AL236" t="s">
        <v>149</v>
      </c>
      <c r="AM236" t="s">
        <v>150</v>
      </c>
      <c r="AN236" t="s">
        <v>151</v>
      </c>
      <c r="AO236" t="s">
        <v>74</v>
      </c>
      <c r="AP236" t="s">
        <v>152</v>
      </c>
      <c r="AQ236" t="s">
        <v>74</v>
      </c>
      <c r="AR236" t="s">
        <v>153</v>
      </c>
      <c r="AS236" t="s">
        <v>154</v>
      </c>
      <c r="AT236" t="s">
        <v>4827</v>
      </c>
      <c r="AU236">
        <v>2022</v>
      </c>
      <c r="AV236">
        <v>13</v>
      </c>
      <c r="AW236">
        <v>1</v>
      </c>
      <c r="AX236" t="s">
        <v>74</v>
      </c>
      <c r="AY236" t="s">
        <v>74</v>
      </c>
      <c r="AZ236" t="s">
        <v>74</v>
      </c>
      <c r="BA236" t="s">
        <v>74</v>
      </c>
      <c r="BB236" t="s">
        <v>74</v>
      </c>
      <c r="BC236" t="s">
        <v>74</v>
      </c>
      <c r="BD236">
        <v>5314</v>
      </c>
      <c r="BE236" t="s">
        <v>5021</v>
      </c>
      <c r="BF236" t="str">
        <f>HYPERLINK("http://dx.doi.org/10.1038/s41467-022-33031-3","http://dx.doi.org/10.1038/s41467-022-33031-3")</f>
        <v>http://dx.doi.org/10.1038/s41467-022-33031-3</v>
      </c>
      <c r="BG236" t="s">
        <v>74</v>
      </c>
      <c r="BH236" t="s">
        <v>74</v>
      </c>
      <c r="BI236">
        <v>9</v>
      </c>
      <c r="BJ236" t="s">
        <v>156</v>
      </c>
      <c r="BK236" t="s">
        <v>100</v>
      </c>
      <c r="BL236" t="s">
        <v>157</v>
      </c>
      <c r="BM236" t="s">
        <v>5022</v>
      </c>
      <c r="BN236">
        <v>36085140</v>
      </c>
      <c r="BO236" t="s">
        <v>763</v>
      </c>
      <c r="BP236" t="s">
        <v>74</v>
      </c>
      <c r="BQ236" t="s">
        <v>74</v>
      </c>
      <c r="BR236" t="s">
        <v>103</v>
      </c>
      <c r="BS236" t="s">
        <v>5023</v>
      </c>
      <c r="BT236" t="str">
        <f>HYPERLINK("https%3A%2F%2Fwww.webofscience.com%2Fwos%2Fwoscc%2Ffull-record%2FWOS:000853200800007","View Full Record in Web of Science")</f>
        <v>View Full Record in Web of Science</v>
      </c>
    </row>
    <row r="237" spans="1:72" x14ac:dyDescent="0.15">
      <c r="A237" t="s">
        <v>72</v>
      </c>
      <c r="B237" t="s">
        <v>5024</v>
      </c>
      <c r="C237" t="s">
        <v>74</v>
      </c>
      <c r="D237" t="s">
        <v>74</v>
      </c>
      <c r="E237" t="s">
        <v>74</v>
      </c>
      <c r="F237" t="s">
        <v>5025</v>
      </c>
      <c r="G237" t="s">
        <v>74</v>
      </c>
      <c r="H237" t="s">
        <v>74</v>
      </c>
      <c r="I237" t="s">
        <v>5026</v>
      </c>
      <c r="J237" t="s">
        <v>5027</v>
      </c>
      <c r="K237" t="s">
        <v>74</v>
      </c>
      <c r="L237" t="s">
        <v>74</v>
      </c>
      <c r="M237" t="s">
        <v>78</v>
      </c>
      <c r="N237" t="s">
        <v>79</v>
      </c>
      <c r="O237" t="s">
        <v>74</v>
      </c>
      <c r="P237" t="s">
        <v>74</v>
      </c>
      <c r="Q237" t="s">
        <v>74</v>
      </c>
      <c r="R237" t="s">
        <v>74</v>
      </c>
      <c r="S237" t="s">
        <v>74</v>
      </c>
      <c r="T237" t="s">
        <v>5028</v>
      </c>
      <c r="U237" t="s">
        <v>5029</v>
      </c>
      <c r="V237" t="s">
        <v>5030</v>
      </c>
      <c r="W237" t="s">
        <v>5031</v>
      </c>
      <c r="X237" t="s">
        <v>5032</v>
      </c>
      <c r="Y237" t="s">
        <v>5033</v>
      </c>
      <c r="Z237" t="s">
        <v>5034</v>
      </c>
      <c r="AA237" t="s">
        <v>74</v>
      </c>
      <c r="AB237" t="s">
        <v>74</v>
      </c>
      <c r="AC237" t="s">
        <v>5035</v>
      </c>
      <c r="AD237" t="s">
        <v>1259</v>
      </c>
      <c r="AE237" t="s">
        <v>5036</v>
      </c>
      <c r="AF237" t="s">
        <v>74</v>
      </c>
      <c r="AG237">
        <v>29</v>
      </c>
      <c r="AH237">
        <v>0</v>
      </c>
      <c r="AI237">
        <v>0</v>
      </c>
      <c r="AJ237">
        <v>1</v>
      </c>
      <c r="AK237">
        <v>5</v>
      </c>
      <c r="AL237" t="s">
        <v>3827</v>
      </c>
      <c r="AM237" t="s">
        <v>3828</v>
      </c>
      <c r="AN237" t="s">
        <v>3829</v>
      </c>
      <c r="AO237" t="s">
        <v>5037</v>
      </c>
      <c r="AP237" t="s">
        <v>5038</v>
      </c>
      <c r="AQ237" t="s">
        <v>74</v>
      </c>
      <c r="AR237" t="s">
        <v>5039</v>
      </c>
      <c r="AS237" t="s">
        <v>5040</v>
      </c>
      <c r="AT237" t="s">
        <v>5041</v>
      </c>
      <c r="AU237">
        <v>2023</v>
      </c>
      <c r="AV237">
        <v>61</v>
      </c>
      <c r="AW237">
        <v>2</v>
      </c>
      <c r="AX237" t="s">
        <v>74</v>
      </c>
      <c r="AY237" t="s">
        <v>74</v>
      </c>
      <c r="AZ237" t="s">
        <v>74</v>
      </c>
      <c r="BA237" t="s">
        <v>74</v>
      </c>
      <c r="BB237">
        <v>94</v>
      </c>
      <c r="BC237">
        <v>104</v>
      </c>
      <c r="BD237" t="s">
        <v>74</v>
      </c>
      <c r="BE237" t="s">
        <v>5042</v>
      </c>
      <c r="BF237" t="str">
        <f>HYPERLINK("http://dx.doi.org/10.1080/07055900.2022.2118568","http://dx.doi.org/10.1080/07055900.2022.2118568")</f>
        <v>http://dx.doi.org/10.1080/07055900.2022.2118568</v>
      </c>
      <c r="BG237" t="s">
        <v>74</v>
      </c>
      <c r="BH237" t="s">
        <v>2143</v>
      </c>
      <c r="BI237">
        <v>11</v>
      </c>
      <c r="BJ237" t="s">
        <v>1033</v>
      </c>
      <c r="BK237" t="s">
        <v>100</v>
      </c>
      <c r="BL237" t="s">
        <v>1033</v>
      </c>
      <c r="BM237" t="s">
        <v>5043</v>
      </c>
      <c r="BN237" t="s">
        <v>74</v>
      </c>
      <c r="BO237" t="s">
        <v>74</v>
      </c>
      <c r="BP237" t="s">
        <v>74</v>
      </c>
      <c r="BQ237" t="s">
        <v>74</v>
      </c>
      <c r="BR237" t="s">
        <v>103</v>
      </c>
      <c r="BS237" t="s">
        <v>5044</v>
      </c>
      <c r="BT237" t="str">
        <f>HYPERLINK("https%3A%2F%2Fwww.webofscience.com%2Fwos%2Fwoscc%2Ffull-record%2FWOS:000851620900001","View Full Record in Web of Science")</f>
        <v>View Full Record in Web of Science</v>
      </c>
    </row>
    <row r="238" spans="1:72" x14ac:dyDescent="0.15">
      <c r="A238" t="s">
        <v>72</v>
      </c>
      <c r="B238" t="s">
        <v>5045</v>
      </c>
      <c r="C238" t="s">
        <v>74</v>
      </c>
      <c r="D238" t="s">
        <v>74</v>
      </c>
      <c r="E238" t="s">
        <v>74</v>
      </c>
      <c r="F238" t="s">
        <v>5046</v>
      </c>
      <c r="G238" t="s">
        <v>74</v>
      </c>
      <c r="H238" t="s">
        <v>74</v>
      </c>
      <c r="I238" t="s">
        <v>5047</v>
      </c>
      <c r="J238" t="s">
        <v>3244</v>
      </c>
      <c r="K238" t="s">
        <v>74</v>
      </c>
      <c r="L238" t="s">
        <v>74</v>
      </c>
      <c r="M238" t="s">
        <v>78</v>
      </c>
      <c r="N238" t="s">
        <v>79</v>
      </c>
      <c r="O238" t="s">
        <v>74</v>
      </c>
      <c r="P238" t="s">
        <v>74</v>
      </c>
      <c r="Q238" t="s">
        <v>74</v>
      </c>
      <c r="R238" t="s">
        <v>74</v>
      </c>
      <c r="S238" t="s">
        <v>74</v>
      </c>
      <c r="T238" t="s">
        <v>74</v>
      </c>
      <c r="U238" t="s">
        <v>5048</v>
      </c>
      <c r="V238" t="s">
        <v>5049</v>
      </c>
      <c r="W238" t="s">
        <v>5050</v>
      </c>
      <c r="X238" t="s">
        <v>5051</v>
      </c>
      <c r="Y238" t="s">
        <v>5052</v>
      </c>
      <c r="Z238" t="s">
        <v>5053</v>
      </c>
      <c r="AA238" t="s">
        <v>5054</v>
      </c>
      <c r="AB238" t="s">
        <v>5055</v>
      </c>
      <c r="AC238" t="s">
        <v>5056</v>
      </c>
      <c r="AD238" t="s">
        <v>5057</v>
      </c>
      <c r="AE238" t="s">
        <v>5058</v>
      </c>
      <c r="AF238" t="s">
        <v>74</v>
      </c>
      <c r="AG238">
        <v>130</v>
      </c>
      <c r="AH238">
        <v>11</v>
      </c>
      <c r="AI238">
        <v>11</v>
      </c>
      <c r="AJ238">
        <v>10</v>
      </c>
      <c r="AK238">
        <v>47</v>
      </c>
      <c r="AL238" t="s">
        <v>2460</v>
      </c>
      <c r="AM238" t="s">
        <v>2461</v>
      </c>
      <c r="AN238" t="s">
        <v>2462</v>
      </c>
      <c r="AO238" t="s">
        <v>3256</v>
      </c>
      <c r="AP238" t="s">
        <v>3257</v>
      </c>
      <c r="AQ238" t="s">
        <v>74</v>
      </c>
      <c r="AR238" t="s">
        <v>3258</v>
      </c>
      <c r="AS238" t="s">
        <v>3259</v>
      </c>
      <c r="AT238" t="s">
        <v>4827</v>
      </c>
      <c r="AU238">
        <v>2022</v>
      </c>
      <c r="AV238">
        <v>22</v>
      </c>
      <c r="AW238">
        <v>17</v>
      </c>
      <c r="AX238" t="s">
        <v>74</v>
      </c>
      <c r="AY238" t="s">
        <v>74</v>
      </c>
      <c r="AZ238" t="s">
        <v>74</v>
      </c>
      <c r="BA238" t="s">
        <v>74</v>
      </c>
      <c r="BB238">
        <v>11701</v>
      </c>
      <c r="BC238">
        <v>11726</v>
      </c>
      <c r="BD238" t="s">
        <v>74</v>
      </c>
      <c r="BE238" t="s">
        <v>5059</v>
      </c>
      <c r="BF238" t="str">
        <f>HYPERLINK("http://dx.doi.org/10.5194/acp-22-11701-2022","http://dx.doi.org/10.5194/acp-22-11701-2022")</f>
        <v>http://dx.doi.org/10.5194/acp-22-11701-2022</v>
      </c>
      <c r="BG238" t="s">
        <v>74</v>
      </c>
      <c r="BH238" t="s">
        <v>74</v>
      </c>
      <c r="BI238">
        <v>26</v>
      </c>
      <c r="BJ238" t="s">
        <v>1129</v>
      </c>
      <c r="BK238" t="s">
        <v>100</v>
      </c>
      <c r="BL238" t="s">
        <v>1130</v>
      </c>
      <c r="BM238" t="s">
        <v>5060</v>
      </c>
      <c r="BN238" t="s">
        <v>74</v>
      </c>
      <c r="BO238" t="s">
        <v>159</v>
      </c>
      <c r="BP238" t="s">
        <v>74</v>
      </c>
      <c r="BQ238" t="s">
        <v>74</v>
      </c>
      <c r="BR238" t="s">
        <v>103</v>
      </c>
      <c r="BS238" t="s">
        <v>5061</v>
      </c>
      <c r="BT238" t="str">
        <f>HYPERLINK("https%3A%2F%2Fwww.webofscience.com%2Fwos%2Fwoscc%2Ffull-record%2FWOS:000851385800001","View Full Record in Web of Science")</f>
        <v>View Full Record in Web of Science</v>
      </c>
    </row>
    <row r="239" spans="1:72" x14ac:dyDescent="0.15">
      <c r="A239" t="s">
        <v>72</v>
      </c>
      <c r="B239" t="s">
        <v>5062</v>
      </c>
      <c r="C239" t="s">
        <v>74</v>
      </c>
      <c r="D239" t="s">
        <v>74</v>
      </c>
      <c r="E239" t="s">
        <v>74</v>
      </c>
      <c r="F239" t="s">
        <v>5063</v>
      </c>
      <c r="G239" t="s">
        <v>74</v>
      </c>
      <c r="H239" t="s">
        <v>74</v>
      </c>
      <c r="I239" t="s">
        <v>5064</v>
      </c>
      <c r="J239" t="s">
        <v>5065</v>
      </c>
      <c r="K239" t="s">
        <v>74</v>
      </c>
      <c r="L239" t="s">
        <v>74</v>
      </c>
      <c r="M239" t="s">
        <v>78</v>
      </c>
      <c r="N239" t="s">
        <v>79</v>
      </c>
      <c r="O239" t="s">
        <v>74</v>
      </c>
      <c r="P239" t="s">
        <v>74</v>
      </c>
      <c r="Q239" t="s">
        <v>74</v>
      </c>
      <c r="R239" t="s">
        <v>74</v>
      </c>
      <c r="S239" t="s">
        <v>74</v>
      </c>
      <c r="T239" t="s">
        <v>74</v>
      </c>
      <c r="U239" t="s">
        <v>5066</v>
      </c>
      <c r="V239" t="s">
        <v>5067</v>
      </c>
      <c r="W239" t="s">
        <v>5068</v>
      </c>
      <c r="X239" t="s">
        <v>5069</v>
      </c>
      <c r="Y239" t="s">
        <v>5070</v>
      </c>
      <c r="Z239" t="s">
        <v>5071</v>
      </c>
      <c r="AA239" t="s">
        <v>5072</v>
      </c>
      <c r="AB239" t="s">
        <v>5073</v>
      </c>
      <c r="AC239" t="s">
        <v>5074</v>
      </c>
      <c r="AD239" t="s">
        <v>5075</v>
      </c>
      <c r="AE239" t="s">
        <v>5076</v>
      </c>
      <c r="AF239" t="s">
        <v>74</v>
      </c>
      <c r="AG239">
        <v>75</v>
      </c>
      <c r="AH239">
        <v>7</v>
      </c>
      <c r="AI239">
        <v>9</v>
      </c>
      <c r="AJ239">
        <v>10</v>
      </c>
      <c r="AK239">
        <v>31</v>
      </c>
      <c r="AL239" t="s">
        <v>231</v>
      </c>
      <c r="AM239" t="s">
        <v>232</v>
      </c>
      <c r="AN239" t="s">
        <v>233</v>
      </c>
      <c r="AO239" t="s">
        <v>5077</v>
      </c>
      <c r="AP239" t="s">
        <v>5078</v>
      </c>
      <c r="AQ239" t="s">
        <v>74</v>
      </c>
      <c r="AR239" t="s">
        <v>5079</v>
      </c>
      <c r="AS239" t="s">
        <v>5080</v>
      </c>
      <c r="AT239" t="s">
        <v>2281</v>
      </c>
      <c r="AU239">
        <v>2022</v>
      </c>
      <c r="AV239">
        <v>67</v>
      </c>
      <c r="AW239">
        <v>11</v>
      </c>
      <c r="AX239" t="s">
        <v>74</v>
      </c>
      <c r="AY239" t="s">
        <v>74</v>
      </c>
      <c r="AZ239" t="s">
        <v>74</v>
      </c>
      <c r="BA239" t="s">
        <v>74</v>
      </c>
      <c r="BB239">
        <v>2516</v>
      </c>
      <c r="BC239">
        <v>2530</v>
      </c>
      <c r="BD239" t="s">
        <v>74</v>
      </c>
      <c r="BE239" t="s">
        <v>5081</v>
      </c>
      <c r="BF239" t="str">
        <f>HYPERLINK("http://dx.doi.org/10.1002/lno.12219","http://dx.doi.org/10.1002/lno.12219")</f>
        <v>http://dx.doi.org/10.1002/lno.12219</v>
      </c>
      <c r="BG239" t="s">
        <v>74</v>
      </c>
      <c r="BH239" t="s">
        <v>2143</v>
      </c>
      <c r="BI239">
        <v>15</v>
      </c>
      <c r="BJ239" t="s">
        <v>5082</v>
      </c>
      <c r="BK239" t="s">
        <v>100</v>
      </c>
      <c r="BL239" t="s">
        <v>5083</v>
      </c>
      <c r="BM239" t="s">
        <v>5084</v>
      </c>
      <c r="BN239" t="s">
        <v>74</v>
      </c>
      <c r="BO239" t="s">
        <v>2260</v>
      </c>
      <c r="BP239" t="s">
        <v>74</v>
      </c>
      <c r="BQ239" t="s">
        <v>74</v>
      </c>
      <c r="BR239" t="s">
        <v>103</v>
      </c>
      <c r="BS239" t="s">
        <v>5085</v>
      </c>
      <c r="BT239" t="str">
        <f>HYPERLINK("https%3A%2F%2Fwww.webofscience.com%2Fwos%2Fwoscc%2Ffull-record%2FWOS:000851616900001","View Full Record in Web of Science")</f>
        <v>View Full Record in Web of Science</v>
      </c>
    </row>
    <row r="240" spans="1:72" x14ac:dyDescent="0.15">
      <c r="A240" t="s">
        <v>72</v>
      </c>
      <c r="B240" t="s">
        <v>5086</v>
      </c>
      <c r="C240" t="s">
        <v>74</v>
      </c>
      <c r="D240" t="s">
        <v>74</v>
      </c>
      <c r="E240" t="s">
        <v>74</v>
      </c>
      <c r="F240" t="s">
        <v>5087</v>
      </c>
      <c r="G240" t="s">
        <v>74</v>
      </c>
      <c r="H240" t="s">
        <v>74</v>
      </c>
      <c r="I240" t="s">
        <v>5088</v>
      </c>
      <c r="J240" t="s">
        <v>3646</v>
      </c>
      <c r="K240" t="s">
        <v>74</v>
      </c>
      <c r="L240" t="s">
        <v>74</v>
      </c>
      <c r="M240" t="s">
        <v>78</v>
      </c>
      <c r="N240" t="s">
        <v>79</v>
      </c>
      <c r="O240" t="s">
        <v>74</v>
      </c>
      <c r="P240" t="s">
        <v>74</v>
      </c>
      <c r="Q240" t="s">
        <v>74</v>
      </c>
      <c r="R240" t="s">
        <v>74</v>
      </c>
      <c r="S240" t="s">
        <v>74</v>
      </c>
      <c r="T240" t="s">
        <v>5089</v>
      </c>
      <c r="U240" t="s">
        <v>5090</v>
      </c>
      <c r="V240" t="s">
        <v>5091</v>
      </c>
      <c r="W240" t="s">
        <v>5092</v>
      </c>
      <c r="X240" t="s">
        <v>5093</v>
      </c>
      <c r="Y240" t="s">
        <v>5094</v>
      </c>
      <c r="Z240" t="s">
        <v>5095</v>
      </c>
      <c r="AA240" t="s">
        <v>5096</v>
      </c>
      <c r="AB240" t="s">
        <v>5097</v>
      </c>
      <c r="AC240" t="s">
        <v>5098</v>
      </c>
      <c r="AD240" t="s">
        <v>5099</v>
      </c>
      <c r="AE240" t="s">
        <v>5100</v>
      </c>
      <c r="AF240" t="s">
        <v>74</v>
      </c>
      <c r="AG240">
        <v>81</v>
      </c>
      <c r="AH240">
        <v>2</v>
      </c>
      <c r="AI240">
        <v>2</v>
      </c>
      <c r="AJ240">
        <v>0</v>
      </c>
      <c r="AK240">
        <v>19</v>
      </c>
      <c r="AL240" t="s">
        <v>231</v>
      </c>
      <c r="AM240" t="s">
        <v>232</v>
      </c>
      <c r="AN240" t="s">
        <v>233</v>
      </c>
      <c r="AO240" t="s">
        <v>3659</v>
      </c>
      <c r="AP240" t="s">
        <v>3660</v>
      </c>
      <c r="AQ240" t="s">
        <v>74</v>
      </c>
      <c r="AR240" t="s">
        <v>3661</v>
      </c>
      <c r="AS240" t="s">
        <v>3662</v>
      </c>
      <c r="AT240" t="s">
        <v>3663</v>
      </c>
      <c r="AU240">
        <v>2023</v>
      </c>
      <c r="AV240">
        <v>43</v>
      </c>
      <c r="AW240">
        <v>2</v>
      </c>
      <c r="AX240" t="s">
        <v>74</v>
      </c>
      <c r="AY240" t="s">
        <v>74</v>
      </c>
      <c r="AZ240" t="s">
        <v>74</v>
      </c>
      <c r="BA240" t="s">
        <v>74</v>
      </c>
      <c r="BB240">
        <v>932</v>
      </c>
      <c r="BC240">
        <v>949</v>
      </c>
      <c r="BD240" t="s">
        <v>74</v>
      </c>
      <c r="BE240" t="s">
        <v>5101</v>
      </c>
      <c r="BF240" t="str">
        <f>HYPERLINK("http://dx.doi.org/10.1002/joc.7843","http://dx.doi.org/10.1002/joc.7843")</f>
        <v>http://dx.doi.org/10.1002/joc.7843</v>
      </c>
      <c r="BG240" t="s">
        <v>74</v>
      </c>
      <c r="BH240" t="s">
        <v>2143</v>
      </c>
      <c r="BI240">
        <v>18</v>
      </c>
      <c r="BJ240" t="s">
        <v>457</v>
      </c>
      <c r="BK240" t="s">
        <v>100</v>
      </c>
      <c r="BL240" t="s">
        <v>457</v>
      </c>
      <c r="BM240" t="s">
        <v>3665</v>
      </c>
      <c r="BN240" t="s">
        <v>74</v>
      </c>
      <c r="BO240" t="s">
        <v>1341</v>
      </c>
      <c r="BP240" t="s">
        <v>74</v>
      </c>
      <c r="BQ240" t="s">
        <v>74</v>
      </c>
      <c r="BR240" t="s">
        <v>103</v>
      </c>
      <c r="BS240" t="s">
        <v>5102</v>
      </c>
      <c r="BT240" t="str">
        <f>HYPERLINK("https%3A%2F%2Fwww.webofscience.com%2Fwos%2Fwoscc%2Ffull-record%2FWOS:000852079100001","View Full Record in Web of Science")</f>
        <v>View Full Record in Web of Science</v>
      </c>
    </row>
    <row r="241" spans="1:72" x14ac:dyDescent="0.15">
      <c r="A241" t="s">
        <v>72</v>
      </c>
      <c r="B241" t="s">
        <v>5103</v>
      </c>
      <c r="C241" t="s">
        <v>74</v>
      </c>
      <c r="D241" t="s">
        <v>74</v>
      </c>
      <c r="E241" t="s">
        <v>74</v>
      </c>
      <c r="F241" t="s">
        <v>5104</v>
      </c>
      <c r="G241" t="s">
        <v>74</v>
      </c>
      <c r="H241" t="s">
        <v>74</v>
      </c>
      <c r="I241" t="s">
        <v>5105</v>
      </c>
      <c r="J241" t="s">
        <v>5106</v>
      </c>
      <c r="K241" t="s">
        <v>74</v>
      </c>
      <c r="L241" t="s">
        <v>74</v>
      </c>
      <c r="M241" t="s">
        <v>78</v>
      </c>
      <c r="N241" t="s">
        <v>79</v>
      </c>
      <c r="O241" t="s">
        <v>74</v>
      </c>
      <c r="P241" t="s">
        <v>74</v>
      </c>
      <c r="Q241" t="s">
        <v>74</v>
      </c>
      <c r="R241" t="s">
        <v>74</v>
      </c>
      <c r="S241" t="s">
        <v>74</v>
      </c>
      <c r="T241" t="s">
        <v>5107</v>
      </c>
      <c r="U241" t="s">
        <v>5108</v>
      </c>
      <c r="V241" t="s">
        <v>5109</v>
      </c>
      <c r="W241" t="s">
        <v>5110</v>
      </c>
      <c r="X241" t="s">
        <v>5111</v>
      </c>
      <c r="Y241" t="s">
        <v>5112</v>
      </c>
      <c r="Z241" t="s">
        <v>5113</v>
      </c>
      <c r="AA241" t="s">
        <v>5114</v>
      </c>
      <c r="AB241" t="s">
        <v>5115</v>
      </c>
      <c r="AC241" t="s">
        <v>5116</v>
      </c>
      <c r="AD241" t="s">
        <v>5117</v>
      </c>
      <c r="AE241" t="s">
        <v>5118</v>
      </c>
      <c r="AF241" t="s">
        <v>74</v>
      </c>
      <c r="AG241">
        <v>137</v>
      </c>
      <c r="AH241">
        <v>7</v>
      </c>
      <c r="AI241">
        <v>7</v>
      </c>
      <c r="AJ241">
        <v>2</v>
      </c>
      <c r="AK241">
        <v>12</v>
      </c>
      <c r="AL241" t="s">
        <v>2275</v>
      </c>
      <c r="AM241" t="s">
        <v>90</v>
      </c>
      <c r="AN241" t="s">
        <v>2276</v>
      </c>
      <c r="AO241" t="s">
        <v>5119</v>
      </c>
      <c r="AP241" t="s">
        <v>5120</v>
      </c>
      <c r="AQ241" t="s">
        <v>74</v>
      </c>
      <c r="AR241" t="s">
        <v>5121</v>
      </c>
      <c r="AS241" t="s">
        <v>5122</v>
      </c>
      <c r="AT241" t="s">
        <v>2281</v>
      </c>
      <c r="AU241">
        <v>2022</v>
      </c>
      <c r="AV241">
        <v>189</v>
      </c>
      <c r="AW241" t="s">
        <v>74</v>
      </c>
      <c r="AX241" t="s">
        <v>74</v>
      </c>
      <c r="AY241" t="s">
        <v>74</v>
      </c>
      <c r="AZ241" t="s">
        <v>74</v>
      </c>
      <c r="BA241" t="s">
        <v>74</v>
      </c>
      <c r="BB241" t="s">
        <v>74</v>
      </c>
      <c r="BC241" t="s">
        <v>74</v>
      </c>
      <c r="BD241">
        <v>103867</v>
      </c>
      <c r="BE241" t="s">
        <v>5123</v>
      </c>
      <c r="BF241" t="str">
        <f>HYPERLINK("http://dx.doi.org/10.1016/j.dsr.2022.103867","http://dx.doi.org/10.1016/j.dsr.2022.103867")</f>
        <v>http://dx.doi.org/10.1016/j.dsr.2022.103867</v>
      </c>
      <c r="BG241" t="s">
        <v>74</v>
      </c>
      <c r="BH241" t="s">
        <v>2143</v>
      </c>
      <c r="BI241">
        <v>15</v>
      </c>
      <c r="BJ241" t="s">
        <v>674</v>
      </c>
      <c r="BK241" t="s">
        <v>100</v>
      </c>
      <c r="BL241" t="s">
        <v>674</v>
      </c>
      <c r="BM241" t="s">
        <v>5124</v>
      </c>
      <c r="BN241" t="s">
        <v>74</v>
      </c>
      <c r="BO241" t="s">
        <v>3859</v>
      </c>
      <c r="BP241" t="s">
        <v>74</v>
      </c>
      <c r="BQ241" t="s">
        <v>74</v>
      </c>
      <c r="BR241" t="s">
        <v>103</v>
      </c>
      <c r="BS241" t="s">
        <v>5125</v>
      </c>
      <c r="BT241" t="str">
        <f>HYPERLINK("https%3A%2F%2Fwww.webofscience.com%2Fwos%2Fwoscc%2Ffull-record%2FWOS:000869462700002","View Full Record in Web of Science")</f>
        <v>View Full Record in Web of Science</v>
      </c>
    </row>
    <row r="242" spans="1:72" x14ac:dyDescent="0.15">
      <c r="A242" t="s">
        <v>72</v>
      </c>
      <c r="B242" t="s">
        <v>5126</v>
      </c>
      <c r="C242" t="s">
        <v>74</v>
      </c>
      <c r="D242" t="s">
        <v>74</v>
      </c>
      <c r="E242" t="s">
        <v>74</v>
      </c>
      <c r="F242" t="s">
        <v>5127</v>
      </c>
      <c r="G242" t="s">
        <v>74</v>
      </c>
      <c r="H242" t="s">
        <v>74</v>
      </c>
      <c r="I242" t="s">
        <v>5128</v>
      </c>
      <c r="J242" t="s">
        <v>5129</v>
      </c>
      <c r="K242" t="s">
        <v>74</v>
      </c>
      <c r="L242" t="s">
        <v>74</v>
      </c>
      <c r="M242" t="s">
        <v>78</v>
      </c>
      <c r="N242" t="s">
        <v>79</v>
      </c>
      <c r="O242" t="s">
        <v>74</v>
      </c>
      <c r="P242" t="s">
        <v>74</v>
      </c>
      <c r="Q242" t="s">
        <v>74</v>
      </c>
      <c r="R242" t="s">
        <v>74</v>
      </c>
      <c r="S242" t="s">
        <v>74</v>
      </c>
      <c r="T242" t="s">
        <v>5130</v>
      </c>
      <c r="U242" t="s">
        <v>5131</v>
      </c>
      <c r="V242" t="s">
        <v>5132</v>
      </c>
      <c r="W242" t="s">
        <v>5133</v>
      </c>
      <c r="X242" t="s">
        <v>5134</v>
      </c>
      <c r="Y242" t="s">
        <v>5135</v>
      </c>
      <c r="Z242" t="s">
        <v>5136</v>
      </c>
      <c r="AA242" t="s">
        <v>74</v>
      </c>
      <c r="AB242" t="s">
        <v>74</v>
      </c>
      <c r="AC242" t="s">
        <v>5137</v>
      </c>
      <c r="AD242" t="s">
        <v>5138</v>
      </c>
      <c r="AE242" t="s">
        <v>5139</v>
      </c>
      <c r="AF242" t="s">
        <v>74</v>
      </c>
      <c r="AG242">
        <v>112</v>
      </c>
      <c r="AH242">
        <v>1</v>
      </c>
      <c r="AI242">
        <v>1</v>
      </c>
      <c r="AJ242">
        <v>1</v>
      </c>
      <c r="AK242">
        <v>5</v>
      </c>
      <c r="AL242" t="s">
        <v>5140</v>
      </c>
      <c r="AM242" t="s">
        <v>5141</v>
      </c>
      <c r="AN242" t="s">
        <v>5142</v>
      </c>
      <c r="AO242" t="s">
        <v>5143</v>
      </c>
      <c r="AP242" t="s">
        <v>5144</v>
      </c>
      <c r="AQ242" t="s">
        <v>74</v>
      </c>
      <c r="AR242" t="s">
        <v>5145</v>
      </c>
      <c r="AS242" t="s">
        <v>5146</v>
      </c>
      <c r="AT242" t="s">
        <v>74</v>
      </c>
      <c r="AU242">
        <v>2023</v>
      </c>
      <c r="AV242">
        <v>174</v>
      </c>
      <c r="AW242">
        <v>3</v>
      </c>
      <c r="AX242" t="s">
        <v>74</v>
      </c>
      <c r="AY242" t="s">
        <v>74</v>
      </c>
      <c r="AZ242" t="s">
        <v>74</v>
      </c>
      <c r="BA242" t="s">
        <v>74</v>
      </c>
      <c r="BB242">
        <v>651</v>
      </c>
      <c r="BC242">
        <v>673</v>
      </c>
      <c r="BD242" t="s">
        <v>74</v>
      </c>
      <c r="BE242" t="s">
        <v>5147</v>
      </c>
      <c r="BF242" t="str">
        <f>HYPERLINK("http://dx.doi.org/10.1127/zdgg/2022/0318","http://dx.doi.org/10.1127/zdgg/2022/0318")</f>
        <v>http://dx.doi.org/10.1127/zdgg/2022/0318</v>
      </c>
      <c r="BG242" t="s">
        <v>74</v>
      </c>
      <c r="BH242" t="s">
        <v>2143</v>
      </c>
      <c r="BI242">
        <v>23</v>
      </c>
      <c r="BJ242" t="s">
        <v>129</v>
      </c>
      <c r="BK242" t="s">
        <v>100</v>
      </c>
      <c r="BL242" t="s">
        <v>130</v>
      </c>
      <c r="BM242" t="s">
        <v>5148</v>
      </c>
      <c r="BN242" t="s">
        <v>74</v>
      </c>
      <c r="BO242" t="s">
        <v>74</v>
      </c>
      <c r="BP242" t="s">
        <v>74</v>
      </c>
      <c r="BQ242" t="s">
        <v>74</v>
      </c>
      <c r="BR242" t="s">
        <v>103</v>
      </c>
      <c r="BS242" t="s">
        <v>5149</v>
      </c>
      <c r="BT242" t="str">
        <f>HYPERLINK("https%3A%2F%2Fwww.webofscience.com%2Fwos%2Fwoscc%2Ffull-record%2FWOS:000864075700001","View Full Record in Web of Science")</f>
        <v>View Full Record in Web of Science</v>
      </c>
    </row>
    <row r="243" spans="1:72" x14ac:dyDescent="0.15">
      <c r="A243" t="s">
        <v>72</v>
      </c>
      <c r="B243" t="s">
        <v>5150</v>
      </c>
      <c r="C243" t="s">
        <v>74</v>
      </c>
      <c r="D243" t="s">
        <v>74</v>
      </c>
      <c r="E243" t="s">
        <v>74</v>
      </c>
      <c r="F243" t="s">
        <v>5151</v>
      </c>
      <c r="G243" t="s">
        <v>74</v>
      </c>
      <c r="H243" t="s">
        <v>74</v>
      </c>
      <c r="I243" t="s">
        <v>5152</v>
      </c>
      <c r="J243" t="s">
        <v>5153</v>
      </c>
      <c r="K243" t="s">
        <v>74</v>
      </c>
      <c r="L243" t="s">
        <v>74</v>
      </c>
      <c r="M243" t="s">
        <v>78</v>
      </c>
      <c r="N243" t="s">
        <v>79</v>
      </c>
      <c r="O243" t="s">
        <v>74</v>
      </c>
      <c r="P243" t="s">
        <v>74</v>
      </c>
      <c r="Q243" t="s">
        <v>74</v>
      </c>
      <c r="R243" t="s">
        <v>74</v>
      </c>
      <c r="S243" t="s">
        <v>74</v>
      </c>
      <c r="T243" t="s">
        <v>5154</v>
      </c>
      <c r="U243" t="s">
        <v>5155</v>
      </c>
      <c r="V243" t="s">
        <v>5156</v>
      </c>
      <c r="W243" t="s">
        <v>5157</v>
      </c>
      <c r="X243" t="s">
        <v>5158</v>
      </c>
      <c r="Y243" t="s">
        <v>5159</v>
      </c>
      <c r="Z243" t="s">
        <v>5160</v>
      </c>
      <c r="AA243" t="s">
        <v>5161</v>
      </c>
      <c r="AB243" t="s">
        <v>5162</v>
      </c>
      <c r="AC243" t="s">
        <v>5163</v>
      </c>
      <c r="AD243" t="s">
        <v>5164</v>
      </c>
      <c r="AE243" t="s">
        <v>5165</v>
      </c>
      <c r="AF243" t="s">
        <v>74</v>
      </c>
      <c r="AG243">
        <v>60</v>
      </c>
      <c r="AH243">
        <v>3</v>
      </c>
      <c r="AI243">
        <v>3</v>
      </c>
      <c r="AJ243">
        <v>3</v>
      </c>
      <c r="AK243">
        <v>16</v>
      </c>
      <c r="AL243" t="s">
        <v>121</v>
      </c>
      <c r="AM243" t="s">
        <v>122</v>
      </c>
      <c r="AN243" t="s">
        <v>123</v>
      </c>
      <c r="AO243" t="s">
        <v>74</v>
      </c>
      <c r="AP243" t="s">
        <v>5166</v>
      </c>
      <c r="AQ243" t="s">
        <v>74</v>
      </c>
      <c r="AR243" t="s">
        <v>5167</v>
      </c>
      <c r="AS243" t="s">
        <v>5168</v>
      </c>
      <c r="AT243" t="s">
        <v>5169</v>
      </c>
      <c r="AU243">
        <v>2022</v>
      </c>
      <c r="AV243">
        <v>10</v>
      </c>
      <c r="AW243" t="s">
        <v>74</v>
      </c>
      <c r="AX243" t="s">
        <v>74</v>
      </c>
      <c r="AY243" t="s">
        <v>74</v>
      </c>
      <c r="AZ243" t="s">
        <v>74</v>
      </c>
      <c r="BA243" t="s">
        <v>74</v>
      </c>
      <c r="BB243" t="s">
        <v>74</v>
      </c>
      <c r="BC243" t="s">
        <v>74</v>
      </c>
      <c r="BD243">
        <v>948367</v>
      </c>
      <c r="BE243" t="s">
        <v>5170</v>
      </c>
      <c r="BF243" t="str">
        <f>HYPERLINK("http://dx.doi.org/10.3389/fenvs.2022.948367","http://dx.doi.org/10.3389/fenvs.2022.948367")</f>
        <v>http://dx.doi.org/10.3389/fenvs.2022.948367</v>
      </c>
      <c r="BG243" t="s">
        <v>74</v>
      </c>
      <c r="BH243" t="s">
        <v>74</v>
      </c>
      <c r="BI243">
        <v>15</v>
      </c>
      <c r="BJ243" t="s">
        <v>2040</v>
      </c>
      <c r="BK243" t="s">
        <v>100</v>
      </c>
      <c r="BL243" t="s">
        <v>2041</v>
      </c>
      <c r="BM243" t="s">
        <v>5171</v>
      </c>
      <c r="BN243" t="s">
        <v>74</v>
      </c>
      <c r="BO243" t="s">
        <v>266</v>
      </c>
      <c r="BP243" t="s">
        <v>74</v>
      </c>
      <c r="BQ243" t="s">
        <v>74</v>
      </c>
      <c r="BR243" t="s">
        <v>103</v>
      </c>
      <c r="BS243" t="s">
        <v>5172</v>
      </c>
      <c r="BT243" t="str">
        <f>HYPERLINK("https%3A%2F%2Fwww.webofscience.com%2Fwos%2Fwoscc%2Ffull-record%2FWOS:000860205000001","View Full Record in Web of Science")</f>
        <v>View Full Record in Web of Science</v>
      </c>
    </row>
    <row r="244" spans="1:72" x14ac:dyDescent="0.15">
      <c r="A244" t="s">
        <v>72</v>
      </c>
      <c r="B244" t="s">
        <v>5173</v>
      </c>
      <c r="C244" t="s">
        <v>74</v>
      </c>
      <c r="D244" t="s">
        <v>74</v>
      </c>
      <c r="E244" t="s">
        <v>74</v>
      </c>
      <c r="F244" t="s">
        <v>5174</v>
      </c>
      <c r="G244" t="s">
        <v>74</v>
      </c>
      <c r="H244" t="s">
        <v>74</v>
      </c>
      <c r="I244" t="s">
        <v>5175</v>
      </c>
      <c r="J244" t="s">
        <v>3171</v>
      </c>
      <c r="K244" t="s">
        <v>74</v>
      </c>
      <c r="L244" t="s">
        <v>74</v>
      </c>
      <c r="M244" t="s">
        <v>78</v>
      </c>
      <c r="N244" t="s">
        <v>79</v>
      </c>
      <c r="O244" t="s">
        <v>74</v>
      </c>
      <c r="P244" t="s">
        <v>74</v>
      </c>
      <c r="Q244" t="s">
        <v>74</v>
      </c>
      <c r="R244" t="s">
        <v>74</v>
      </c>
      <c r="S244" t="s">
        <v>74</v>
      </c>
      <c r="T244" t="s">
        <v>5176</v>
      </c>
      <c r="U244" t="s">
        <v>5177</v>
      </c>
      <c r="V244" t="s">
        <v>5178</v>
      </c>
      <c r="W244" t="s">
        <v>5179</v>
      </c>
      <c r="X244" t="s">
        <v>5180</v>
      </c>
      <c r="Y244" t="s">
        <v>5181</v>
      </c>
      <c r="Z244" t="s">
        <v>5182</v>
      </c>
      <c r="AA244" t="s">
        <v>5183</v>
      </c>
      <c r="AB244" t="s">
        <v>5184</v>
      </c>
      <c r="AC244" t="s">
        <v>5185</v>
      </c>
      <c r="AD244" t="s">
        <v>5186</v>
      </c>
      <c r="AE244" t="s">
        <v>5187</v>
      </c>
      <c r="AF244" t="s">
        <v>74</v>
      </c>
      <c r="AG244">
        <v>106</v>
      </c>
      <c r="AH244">
        <v>4</v>
      </c>
      <c r="AI244">
        <v>4</v>
      </c>
      <c r="AJ244">
        <v>4</v>
      </c>
      <c r="AK244">
        <v>26</v>
      </c>
      <c r="AL244" t="s">
        <v>121</v>
      </c>
      <c r="AM244" t="s">
        <v>122</v>
      </c>
      <c r="AN244" t="s">
        <v>123</v>
      </c>
      <c r="AO244" t="s">
        <v>74</v>
      </c>
      <c r="AP244" t="s">
        <v>3183</v>
      </c>
      <c r="AQ244" t="s">
        <v>74</v>
      </c>
      <c r="AR244" t="s">
        <v>3184</v>
      </c>
      <c r="AS244" t="s">
        <v>3185</v>
      </c>
      <c r="AT244" t="s">
        <v>5169</v>
      </c>
      <c r="AU244">
        <v>2022</v>
      </c>
      <c r="AV244">
        <v>13</v>
      </c>
      <c r="AW244" t="s">
        <v>74</v>
      </c>
      <c r="AX244" t="s">
        <v>74</v>
      </c>
      <c r="AY244" t="s">
        <v>74</v>
      </c>
      <c r="AZ244" t="s">
        <v>74</v>
      </c>
      <c r="BA244" t="s">
        <v>74</v>
      </c>
      <c r="BB244" t="s">
        <v>74</v>
      </c>
      <c r="BC244" t="s">
        <v>74</v>
      </c>
      <c r="BD244">
        <v>916210</v>
      </c>
      <c r="BE244" t="s">
        <v>5188</v>
      </c>
      <c r="BF244" t="str">
        <f>HYPERLINK("http://dx.doi.org/10.3389/fmicb.2022.916210","http://dx.doi.org/10.3389/fmicb.2022.916210")</f>
        <v>http://dx.doi.org/10.3389/fmicb.2022.916210</v>
      </c>
      <c r="BG244" t="s">
        <v>74</v>
      </c>
      <c r="BH244" t="s">
        <v>74</v>
      </c>
      <c r="BI244">
        <v>18</v>
      </c>
      <c r="BJ244" t="s">
        <v>214</v>
      </c>
      <c r="BK244" t="s">
        <v>100</v>
      </c>
      <c r="BL244" t="s">
        <v>214</v>
      </c>
      <c r="BM244" t="s">
        <v>5189</v>
      </c>
      <c r="BN244">
        <v>36160194</v>
      </c>
      <c r="BO244" t="s">
        <v>132</v>
      </c>
      <c r="BP244" t="s">
        <v>74</v>
      </c>
      <c r="BQ244" t="s">
        <v>74</v>
      </c>
      <c r="BR244" t="s">
        <v>103</v>
      </c>
      <c r="BS244" t="s">
        <v>5190</v>
      </c>
      <c r="BT244" t="str">
        <f>HYPERLINK("https%3A%2F%2Fwww.webofscience.com%2Fwos%2Fwoscc%2Ffull-record%2FWOS:000857209000001","View Full Record in Web of Science")</f>
        <v>View Full Record in Web of Science</v>
      </c>
    </row>
    <row r="245" spans="1:72" x14ac:dyDescent="0.15">
      <c r="A245" t="s">
        <v>72</v>
      </c>
      <c r="B245" t="s">
        <v>5191</v>
      </c>
      <c r="C245" t="s">
        <v>74</v>
      </c>
      <c r="D245" t="s">
        <v>74</v>
      </c>
      <c r="E245" t="s">
        <v>74</v>
      </c>
      <c r="F245" t="s">
        <v>5192</v>
      </c>
      <c r="G245" t="s">
        <v>74</v>
      </c>
      <c r="H245" t="s">
        <v>74</v>
      </c>
      <c r="I245" t="s">
        <v>5193</v>
      </c>
      <c r="J245" t="s">
        <v>5194</v>
      </c>
      <c r="K245" t="s">
        <v>74</v>
      </c>
      <c r="L245" t="s">
        <v>74</v>
      </c>
      <c r="M245" t="s">
        <v>78</v>
      </c>
      <c r="N245" t="s">
        <v>165</v>
      </c>
      <c r="O245" t="s">
        <v>74</v>
      </c>
      <c r="P245" t="s">
        <v>74</v>
      </c>
      <c r="Q245" t="s">
        <v>74</v>
      </c>
      <c r="R245" t="s">
        <v>74</v>
      </c>
      <c r="S245" t="s">
        <v>74</v>
      </c>
      <c r="T245" t="s">
        <v>5195</v>
      </c>
      <c r="U245" t="s">
        <v>5196</v>
      </c>
      <c r="V245" t="s">
        <v>5197</v>
      </c>
      <c r="W245" t="s">
        <v>5198</v>
      </c>
      <c r="X245" t="s">
        <v>5199</v>
      </c>
      <c r="Y245" t="s">
        <v>5200</v>
      </c>
      <c r="Z245" t="s">
        <v>5201</v>
      </c>
      <c r="AA245" t="s">
        <v>5202</v>
      </c>
      <c r="AB245" t="s">
        <v>5203</v>
      </c>
      <c r="AC245" t="s">
        <v>5204</v>
      </c>
      <c r="AD245" t="s">
        <v>5205</v>
      </c>
      <c r="AE245" t="s">
        <v>5206</v>
      </c>
      <c r="AF245" t="s">
        <v>74</v>
      </c>
      <c r="AG245">
        <v>240</v>
      </c>
      <c r="AH245">
        <v>5</v>
      </c>
      <c r="AI245">
        <v>6</v>
      </c>
      <c r="AJ245">
        <v>8</v>
      </c>
      <c r="AK245">
        <v>44</v>
      </c>
      <c r="AL245" t="s">
        <v>231</v>
      </c>
      <c r="AM245" t="s">
        <v>232</v>
      </c>
      <c r="AN245" t="s">
        <v>233</v>
      </c>
      <c r="AO245" t="s">
        <v>5207</v>
      </c>
      <c r="AP245" t="s">
        <v>5208</v>
      </c>
      <c r="AQ245" t="s">
        <v>74</v>
      </c>
      <c r="AR245" t="s">
        <v>5209</v>
      </c>
      <c r="AS245" t="s">
        <v>5210</v>
      </c>
      <c r="AT245" t="s">
        <v>2281</v>
      </c>
      <c r="AU245">
        <v>2022</v>
      </c>
      <c r="AV245">
        <v>28</v>
      </c>
      <c r="AW245">
        <v>22</v>
      </c>
      <c r="AX245" t="s">
        <v>74</v>
      </c>
      <c r="AY245" t="s">
        <v>74</v>
      </c>
      <c r="AZ245" t="s">
        <v>74</v>
      </c>
      <c r="BA245" t="s">
        <v>74</v>
      </c>
      <c r="BB245">
        <v>6483</v>
      </c>
      <c r="BC245">
        <v>6508</v>
      </c>
      <c r="BD245" t="s">
        <v>74</v>
      </c>
      <c r="BE245" t="s">
        <v>5211</v>
      </c>
      <c r="BF245" t="str">
        <f>HYPERLINK("http://dx.doi.org/10.1111/gcb.16356","http://dx.doi.org/10.1111/gcb.16356")</f>
        <v>http://dx.doi.org/10.1111/gcb.16356</v>
      </c>
      <c r="BG245" t="s">
        <v>74</v>
      </c>
      <c r="BH245" t="s">
        <v>2143</v>
      </c>
      <c r="BI245">
        <v>26</v>
      </c>
      <c r="BJ245" t="s">
        <v>3785</v>
      </c>
      <c r="BK245" t="s">
        <v>100</v>
      </c>
      <c r="BL245" t="s">
        <v>1170</v>
      </c>
      <c r="BM245" t="s">
        <v>5212</v>
      </c>
      <c r="BN245">
        <v>35900301</v>
      </c>
      <c r="BO245" t="s">
        <v>3053</v>
      </c>
      <c r="BP245" t="s">
        <v>74</v>
      </c>
      <c r="BQ245" t="s">
        <v>74</v>
      </c>
      <c r="BR245" t="s">
        <v>103</v>
      </c>
      <c r="BS245" t="s">
        <v>5213</v>
      </c>
      <c r="BT245" t="str">
        <f>HYPERLINK("https%3A%2F%2Fwww.webofscience.com%2Fwos%2Fwoscc%2Ffull-record%2FWOS:000851524800001","View Full Record in Web of Science")</f>
        <v>View Full Record in Web of Science</v>
      </c>
    </row>
    <row r="246" spans="1:72" x14ac:dyDescent="0.15">
      <c r="A246" t="s">
        <v>72</v>
      </c>
      <c r="B246" t="s">
        <v>5214</v>
      </c>
      <c r="C246" t="s">
        <v>74</v>
      </c>
      <c r="D246" t="s">
        <v>74</v>
      </c>
      <c r="E246" t="s">
        <v>74</v>
      </c>
      <c r="F246" t="s">
        <v>5215</v>
      </c>
      <c r="G246" t="s">
        <v>74</v>
      </c>
      <c r="H246" t="s">
        <v>74</v>
      </c>
      <c r="I246" t="s">
        <v>5216</v>
      </c>
      <c r="J246" t="s">
        <v>2473</v>
      </c>
      <c r="K246" t="s">
        <v>74</v>
      </c>
      <c r="L246" t="s">
        <v>74</v>
      </c>
      <c r="M246" t="s">
        <v>78</v>
      </c>
      <c r="N246" t="s">
        <v>79</v>
      </c>
      <c r="O246" t="s">
        <v>74</v>
      </c>
      <c r="P246" t="s">
        <v>74</v>
      </c>
      <c r="Q246" t="s">
        <v>74</v>
      </c>
      <c r="R246" t="s">
        <v>74</v>
      </c>
      <c r="S246" t="s">
        <v>74</v>
      </c>
      <c r="T246" t="s">
        <v>74</v>
      </c>
      <c r="U246" t="s">
        <v>5217</v>
      </c>
      <c r="V246" t="s">
        <v>5218</v>
      </c>
      <c r="W246" t="s">
        <v>5219</v>
      </c>
      <c r="X246" t="s">
        <v>5220</v>
      </c>
      <c r="Y246" t="s">
        <v>5221</v>
      </c>
      <c r="Z246" t="s">
        <v>5222</v>
      </c>
      <c r="AA246" t="s">
        <v>5223</v>
      </c>
      <c r="AB246" t="s">
        <v>5224</v>
      </c>
      <c r="AC246" t="s">
        <v>5225</v>
      </c>
      <c r="AD246" t="s">
        <v>5226</v>
      </c>
      <c r="AE246" t="s">
        <v>5227</v>
      </c>
      <c r="AF246" t="s">
        <v>74</v>
      </c>
      <c r="AG246">
        <v>55</v>
      </c>
      <c r="AH246">
        <v>2</v>
      </c>
      <c r="AI246">
        <v>2</v>
      </c>
      <c r="AJ246">
        <v>6</v>
      </c>
      <c r="AK246">
        <v>15</v>
      </c>
      <c r="AL246" t="s">
        <v>2460</v>
      </c>
      <c r="AM246" t="s">
        <v>2461</v>
      </c>
      <c r="AN246" t="s">
        <v>2462</v>
      </c>
      <c r="AO246" t="s">
        <v>2485</v>
      </c>
      <c r="AP246" t="s">
        <v>2486</v>
      </c>
      <c r="AQ246" t="s">
        <v>74</v>
      </c>
      <c r="AR246" t="s">
        <v>2473</v>
      </c>
      <c r="AS246" t="s">
        <v>2487</v>
      </c>
      <c r="AT246" t="s">
        <v>5169</v>
      </c>
      <c r="AU246">
        <v>2022</v>
      </c>
      <c r="AV246">
        <v>16</v>
      </c>
      <c r="AW246">
        <v>9</v>
      </c>
      <c r="AX246" t="s">
        <v>74</v>
      </c>
      <c r="AY246" t="s">
        <v>74</v>
      </c>
      <c r="AZ246" t="s">
        <v>74</v>
      </c>
      <c r="BA246" t="s">
        <v>74</v>
      </c>
      <c r="BB246">
        <v>3619</v>
      </c>
      <c r="BC246">
        <v>3633</v>
      </c>
      <c r="BD246" t="s">
        <v>74</v>
      </c>
      <c r="BE246" t="s">
        <v>5228</v>
      </c>
      <c r="BF246" t="str">
        <f>HYPERLINK("http://dx.doi.org/10.5194/tc-16-3619-2022","http://dx.doi.org/10.5194/tc-16-3619-2022")</f>
        <v>http://dx.doi.org/10.5194/tc-16-3619-2022</v>
      </c>
      <c r="BG246" t="s">
        <v>74</v>
      </c>
      <c r="BH246" t="s">
        <v>74</v>
      </c>
      <c r="BI246">
        <v>15</v>
      </c>
      <c r="BJ246" t="s">
        <v>354</v>
      </c>
      <c r="BK246" t="s">
        <v>100</v>
      </c>
      <c r="BL246" t="s">
        <v>241</v>
      </c>
      <c r="BM246" t="s">
        <v>5229</v>
      </c>
      <c r="BN246" t="s">
        <v>74</v>
      </c>
      <c r="BO246" t="s">
        <v>3262</v>
      </c>
      <c r="BP246" t="s">
        <v>74</v>
      </c>
      <c r="BQ246" t="s">
        <v>74</v>
      </c>
      <c r="BR246" t="s">
        <v>103</v>
      </c>
      <c r="BS246" t="s">
        <v>5230</v>
      </c>
      <c r="BT246" t="str">
        <f>HYPERLINK("https%3A%2F%2Fwww.webofscience.com%2Fwos%2Fwoscc%2Ffull-record%2FWOS:000850932900001","View Full Record in Web of Science")</f>
        <v>View Full Record in Web of Science</v>
      </c>
    </row>
    <row r="247" spans="1:72" x14ac:dyDescent="0.15">
      <c r="A247" t="s">
        <v>72</v>
      </c>
      <c r="B247" t="s">
        <v>5231</v>
      </c>
      <c r="C247" t="s">
        <v>74</v>
      </c>
      <c r="D247" t="s">
        <v>74</v>
      </c>
      <c r="E247" t="s">
        <v>74</v>
      </c>
      <c r="F247" t="s">
        <v>5232</v>
      </c>
      <c r="G247" t="s">
        <v>74</v>
      </c>
      <c r="H247" t="s">
        <v>74</v>
      </c>
      <c r="I247" t="s">
        <v>5233</v>
      </c>
      <c r="J247" t="s">
        <v>5234</v>
      </c>
      <c r="K247" t="s">
        <v>74</v>
      </c>
      <c r="L247" t="s">
        <v>74</v>
      </c>
      <c r="M247" t="s">
        <v>78</v>
      </c>
      <c r="N247" t="s">
        <v>79</v>
      </c>
      <c r="O247" t="s">
        <v>74</v>
      </c>
      <c r="P247" t="s">
        <v>74</v>
      </c>
      <c r="Q247" t="s">
        <v>74</v>
      </c>
      <c r="R247" t="s">
        <v>74</v>
      </c>
      <c r="S247" t="s">
        <v>74</v>
      </c>
      <c r="T247" t="s">
        <v>5235</v>
      </c>
      <c r="U247" t="s">
        <v>5236</v>
      </c>
      <c r="V247" t="s">
        <v>5237</v>
      </c>
      <c r="W247" t="s">
        <v>5238</v>
      </c>
      <c r="X247" t="s">
        <v>5239</v>
      </c>
      <c r="Y247" t="s">
        <v>5240</v>
      </c>
      <c r="Z247" t="s">
        <v>5241</v>
      </c>
      <c r="AA247" t="s">
        <v>5242</v>
      </c>
      <c r="AB247" t="s">
        <v>5243</v>
      </c>
      <c r="AC247" t="s">
        <v>5244</v>
      </c>
      <c r="AD247" t="s">
        <v>5245</v>
      </c>
      <c r="AE247" t="s">
        <v>5246</v>
      </c>
      <c r="AF247" t="s">
        <v>74</v>
      </c>
      <c r="AG247">
        <v>56</v>
      </c>
      <c r="AH247">
        <v>30</v>
      </c>
      <c r="AI247">
        <v>30</v>
      </c>
      <c r="AJ247">
        <v>4</v>
      </c>
      <c r="AK247">
        <v>9</v>
      </c>
      <c r="AL247" t="s">
        <v>231</v>
      </c>
      <c r="AM247" t="s">
        <v>232</v>
      </c>
      <c r="AN247" t="s">
        <v>233</v>
      </c>
      <c r="AO247" t="s">
        <v>5247</v>
      </c>
      <c r="AP247" t="s">
        <v>74</v>
      </c>
      <c r="AQ247" t="s">
        <v>74</v>
      </c>
      <c r="AR247" t="s">
        <v>5248</v>
      </c>
      <c r="AS247" t="s">
        <v>5249</v>
      </c>
      <c r="AT247" t="s">
        <v>184</v>
      </c>
      <c r="AU247">
        <v>2023</v>
      </c>
      <c r="AV247">
        <v>10</v>
      </c>
      <c r="AW247">
        <v>3</v>
      </c>
      <c r="AX247" t="s">
        <v>74</v>
      </c>
      <c r="AY247" t="s">
        <v>74</v>
      </c>
      <c r="AZ247" t="s">
        <v>74</v>
      </c>
      <c r="BA247" t="s">
        <v>74</v>
      </c>
      <c r="BB247">
        <v>293</v>
      </c>
      <c r="BC247">
        <v>314</v>
      </c>
      <c r="BD247" t="s">
        <v>74</v>
      </c>
      <c r="BE247" t="s">
        <v>5250</v>
      </c>
      <c r="BF247" t="str">
        <f>HYPERLINK("http://dx.doi.org/10.1002/gdj3.174","http://dx.doi.org/10.1002/gdj3.174")</f>
        <v>http://dx.doi.org/10.1002/gdj3.174</v>
      </c>
      <c r="BG247" t="s">
        <v>74</v>
      </c>
      <c r="BH247" t="s">
        <v>2143</v>
      </c>
      <c r="BI247">
        <v>22</v>
      </c>
      <c r="BJ247" t="s">
        <v>3373</v>
      </c>
      <c r="BK247" t="s">
        <v>100</v>
      </c>
      <c r="BL247" t="s">
        <v>3374</v>
      </c>
      <c r="BM247" t="s">
        <v>5251</v>
      </c>
      <c r="BN247" t="s">
        <v>74</v>
      </c>
      <c r="BO247" t="s">
        <v>1655</v>
      </c>
      <c r="BP247" t="s">
        <v>74</v>
      </c>
      <c r="BQ247" t="s">
        <v>74</v>
      </c>
      <c r="BR247" t="s">
        <v>103</v>
      </c>
      <c r="BS247" t="s">
        <v>5252</v>
      </c>
      <c r="BT247" t="str">
        <f>HYPERLINK("https%3A%2F%2Fwww.webofscience.com%2Fwos%2Fwoscc%2Ffull-record%2FWOS:000850891700001","View Full Record in Web of Science")</f>
        <v>View Full Record in Web of Science</v>
      </c>
    </row>
    <row r="248" spans="1:72" x14ac:dyDescent="0.15">
      <c r="A248" t="s">
        <v>72</v>
      </c>
      <c r="B248" t="s">
        <v>5253</v>
      </c>
      <c r="C248" t="s">
        <v>74</v>
      </c>
      <c r="D248" t="s">
        <v>74</v>
      </c>
      <c r="E248" t="s">
        <v>74</v>
      </c>
      <c r="F248" t="s">
        <v>5254</v>
      </c>
      <c r="G248" t="s">
        <v>74</v>
      </c>
      <c r="H248" t="s">
        <v>74</v>
      </c>
      <c r="I248" t="s">
        <v>5255</v>
      </c>
      <c r="J248" t="s">
        <v>5256</v>
      </c>
      <c r="K248" t="s">
        <v>74</v>
      </c>
      <c r="L248" t="s">
        <v>74</v>
      </c>
      <c r="M248" t="s">
        <v>78</v>
      </c>
      <c r="N248" t="s">
        <v>79</v>
      </c>
      <c r="O248" t="s">
        <v>74</v>
      </c>
      <c r="P248" t="s">
        <v>74</v>
      </c>
      <c r="Q248" t="s">
        <v>74</v>
      </c>
      <c r="R248" t="s">
        <v>74</v>
      </c>
      <c r="S248" t="s">
        <v>74</v>
      </c>
      <c r="T248" t="s">
        <v>5257</v>
      </c>
      <c r="U248" t="s">
        <v>5258</v>
      </c>
      <c r="V248" t="s">
        <v>5259</v>
      </c>
      <c r="W248" t="s">
        <v>5260</v>
      </c>
      <c r="X248" t="s">
        <v>5261</v>
      </c>
      <c r="Y248" t="s">
        <v>5262</v>
      </c>
      <c r="Z248" t="s">
        <v>5263</v>
      </c>
      <c r="AA248" t="s">
        <v>74</v>
      </c>
      <c r="AB248" t="s">
        <v>5264</v>
      </c>
      <c r="AC248" t="s">
        <v>5265</v>
      </c>
      <c r="AD248" t="s">
        <v>5266</v>
      </c>
      <c r="AE248" t="s">
        <v>5267</v>
      </c>
      <c r="AF248" t="s">
        <v>74</v>
      </c>
      <c r="AG248">
        <v>68</v>
      </c>
      <c r="AH248">
        <v>2</v>
      </c>
      <c r="AI248">
        <v>3</v>
      </c>
      <c r="AJ248">
        <v>1</v>
      </c>
      <c r="AK248">
        <v>10</v>
      </c>
      <c r="AL248" t="s">
        <v>231</v>
      </c>
      <c r="AM248" t="s">
        <v>232</v>
      </c>
      <c r="AN248" t="s">
        <v>233</v>
      </c>
      <c r="AO248" t="s">
        <v>5268</v>
      </c>
      <c r="AP248" t="s">
        <v>5269</v>
      </c>
      <c r="AQ248" t="s">
        <v>74</v>
      </c>
      <c r="AR248" t="s">
        <v>5270</v>
      </c>
      <c r="AS248" t="s">
        <v>5271</v>
      </c>
      <c r="AT248" t="s">
        <v>2281</v>
      </c>
      <c r="AU248">
        <v>2022</v>
      </c>
      <c r="AV248">
        <v>49</v>
      </c>
      <c r="AW248">
        <v>11</v>
      </c>
      <c r="AX248" t="s">
        <v>74</v>
      </c>
      <c r="AY248" t="s">
        <v>74</v>
      </c>
      <c r="AZ248" t="s">
        <v>74</v>
      </c>
      <c r="BA248" t="s">
        <v>74</v>
      </c>
      <c r="BB248">
        <v>1991</v>
      </c>
      <c r="BC248">
        <v>2004</v>
      </c>
      <c r="BD248" t="s">
        <v>74</v>
      </c>
      <c r="BE248" t="s">
        <v>5272</v>
      </c>
      <c r="BF248" t="str">
        <f>HYPERLINK("http://dx.doi.org/10.1111/jbi.14476","http://dx.doi.org/10.1111/jbi.14476")</f>
        <v>http://dx.doi.org/10.1111/jbi.14476</v>
      </c>
      <c r="BG248" t="s">
        <v>74</v>
      </c>
      <c r="BH248" t="s">
        <v>2143</v>
      </c>
      <c r="BI248">
        <v>14</v>
      </c>
      <c r="BJ248" t="s">
        <v>3949</v>
      </c>
      <c r="BK248" t="s">
        <v>100</v>
      </c>
      <c r="BL248" t="s">
        <v>3950</v>
      </c>
      <c r="BM248" t="s">
        <v>5273</v>
      </c>
      <c r="BN248" t="s">
        <v>74</v>
      </c>
      <c r="BO248" t="s">
        <v>74</v>
      </c>
      <c r="BP248" t="s">
        <v>74</v>
      </c>
      <c r="BQ248" t="s">
        <v>74</v>
      </c>
      <c r="BR248" t="s">
        <v>103</v>
      </c>
      <c r="BS248" t="s">
        <v>5274</v>
      </c>
      <c r="BT248" t="str">
        <f>HYPERLINK("https%3A%2F%2Fwww.webofscience.com%2Fwos%2Fwoscc%2Ffull-record%2FWOS:000850757300001","View Full Record in Web of Science")</f>
        <v>View Full Record in Web of Science</v>
      </c>
    </row>
    <row r="249" spans="1:72" x14ac:dyDescent="0.15">
      <c r="A249" t="s">
        <v>72</v>
      </c>
      <c r="B249" t="s">
        <v>5275</v>
      </c>
      <c r="C249" t="s">
        <v>74</v>
      </c>
      <c r="D249" t="s">
        <v>74</v>
      </c>
      <c r="E249" t="s">
        <v>74</v>
      </c>
      <c r="F249" t="s">
        <v>5276</v>
      </c>
      <c r="G249" t="s">
        <v>74</v>
      </c>
      <c r="H249" t="s">
        <v>74</v>
      </c>
      <c r="I249" t="s">
        <v>5277</v>
      </c>
      <c r="J249" t="s">
        <v>5278</v>
      </c>
      <c r="K249" t="s">
        <v>74</v>
      </c>
      <c r="L249" t="s">
        <v>74</v>
      </c>
      <c r="M249" t="s">
        <v>78</v>
      </c>
      <c r="N249" t="s">
        <v>79</v>
      </c>
      <c r="O249" t="s">
        <v>74</v>
      </c>
      <c r="P249" t="s">
        <v>74</v>
      </c>
      <c r="Q249" t="s">
        <v>74</v>
      </c>
      <c r="R249" t="s">
        <v>74</v>
      </c>
      <c r="S249" t="s">
        <v>74</v>
      </c>
      <c r="T249" t="s">
        <v>5279</v>
      </c>
      <c r="U249" t="s">
        <v>5280</v>
      </c>
      <c r="V249" t="s">
        <v>5281</v>
      </c>
      <c r="W249" t="s">
        <v>5282</v>
      </c>
      <c r="X249" t="s">
        <v>5283</v>
      </c>
      <c r="Y249" t="s">
        <v>5284</v>
      </c>
      <c r="Z249" t="s">
        <v>5285</v>
      </c>
      <c r="AA249" t="s">
        <v>74</v>
      </c>
      <c r="AB249" t="s">
        <v>5286</v>
      </c>
      <c r="AC249" t="s">
        <v>5287</v>
      </c>
      <c r="AD249" t="s">
        <v>5288</v>
      </c>
      <c r="AE249" t="s">
        <v>5289</v>
      </c>
      <c r="AF249" t="s">
        <v>74</v>
      </c>
      <c r="AG249">
        <v>80</v>
      </c>
      <c r="AH249">
        <v>0</v>
      </c>
      <c r="AI249">
        <v>0</v>
      </c>
      <c r="AJ249">
        <v>0</v>
      </c>
      <c r="AK249">
        <v>6</v>
      </c>
      <c r="AL249" t="s">
        <v>3089</v>
      </c>
      <c r="AM249" t="s">
        <v>2774</v>
      </c>
      <c r="AN249" t="s">
        <v>3090</v>
      </c>
      <c r="AO249" t="s">
        <v>5290</v>
      </c>
      <c r="AP249" t="s">
        <v>5291</v>
      </c>
      <c r="AQ249" t="s">
        <v>74</v>
      </c>
      <c r="AR249" t="s">
        <v>5292</v>
      </c>
      <c r="AS249" t="s">
        <v>5293</v>
      </c>
      <c r="AT249" t="s">
        <v>325</v>
      </c>
      <c r="AU249">
        <v>2022</v>
      </c>
      <c r="AV249">
        <v>140</v>
      </c>
      <c r="AW249" t="s">
        <v>74</v>
      </c>
      <c r="AX249" t="s">
        <v>74</v>
      </c>
      <c r="AY249" t="s">
        <v>74</v>
      </c>
      <c r="AZ249" t="s">
        <v>74</v>
      </c>
      <c r="BA249" t="s">
        <v>74</v>
      </c>
      <c r="BB249" t="s">
        <v>74</v>
      </c>
      <c r="BC249" t="s">
        <v>74</v>
      </c>
      <c r="BD249">
        <v>105338</v>
      </c>
      <c r="BE249" t="s">
        <v>5294</v>
      </c>
      <c r="BF249" t="str">
        <f>HYPERLINK("http://dx.doi.org/10.1016/j.cretres.2022.105338","http://dx.doi.org/10.1016/j.cretres.2022.105338")</f>
        <v>http://dx.doi.org/10.1016/j.cretres.2022.105338</v>
      </c>
      <c r="BG249" t="s">
        <v>74</v>
      </c>
      <c r="BH249" t="s">
        <v>2143</v>
      </c>
      <c r="BI249">
        <v>12</v>
      </c>
      <c r="BJ249" t="s">
        <v>5295</v>
      </c>
      <c r="BK249" t="s">
        <v>100</v>
      </c>
      <c r="BL249" t="s">
        <v>5295</v>
      </c>
      <c r="BM249" t="s">
        <v>5296</v>
      </c>
      <c r="BN249" t="s">
        <v>74</v>
      </c>
      <c r="BO249" t="s">
        <v>74</v>
      </c>
      <c r="BP249" t="s">
        <v>74</v>
      </c>
      <c r="BQ249" t="s">
        <v>74</v>
      </c>
      <c r="BR249" t="s">
        <v>103</v>
      </c>
      <c r="BS249" t="s">
        <v>5297</v>
      </c>
      <c r="BT249" t="str">
        <f>HYPERLINK("https%3A%2F%2Fwww.webofscience.com%2Fwos%2Fwoscc%2Ffull-record%2FWOS:000870470300003","View Full Record in Web of Science")</f>
        <v>View Full Record in Web of Science</v>
      </c>
    </row>
    <row r="250" spans="1:72" x14ac:dyDescent="0.15">
      <c r="A250" t="s">
        <v>72</v>
      </c>
      <c r="B250" t="s">
        <v>5298</v>
      </c>
      <c r="C250" t="s">
        <v>74</v>
      </c>
      <c r="D250" t="s">
        <v>74</v>
      </c>
      <c r="E250" t="s">
        <v>74</v>
      </c>
      <c r="F250" t="s">
        <v>5299</v>
      </c>
      <c r="G250" t="s">
        <v>74</v>
      </c>
      <c r="H250" t="s">
        <v>74</v>
      </c>
      <c r="I250" t="s">
        <v>5300</v>
      </c>
      <c r="J250" t="s">
        <v>137</v>
      </c>
      <c r="K250" t="s">
        <v>74</v>
      </c>
      <c r="L250" t="s">
        <v>74</v>
      </c>
      <c r="M250" t="s">
        <v>78</v>
      </c>
      <c r="N250" t="s">
        <v>79</v>
      </c>
      <c r="O250" t="s">
        <v>74</v>
      </c>
      <c r="P250" t="s">
        <v>74</v>
      </c>
      <c r="Q250" t="s">
        <v>74</v>
      </c>
      <c r="R250" t="s">
        <v>74</v>
      </c>
      <c r="S250" t="s">
        <v>74</v>
      </c>
      <c r="T250" t="s">
        <v>74</v>
      </c>
      <c r="U250" t="s">
        <v>5301</v>
      </c>
      <c r="V250" t="s">
        <v>5302</v>
      </c>
      <c r="W250" t="s">
        <v>5303</v>
      </c>
      <c r="X250" t="s">
        <v>5304</v>
      </c>
      <c r="Y250" t="s">
        <v>5305</v>
      </c>
      <c r="Z250" t="s">
        <v>5306</v>
      </c>
      <c r="AA250" t="s">
        <v>5307</v>
      </c>
      <c r="AB250" t="s">
        <v>5308</v>
      </c>
      <c r="AC250" t="s">
        <v>5309</v>
      </c>
      <c r="AD250" t="s">
        <v>5310</v>
      </c>
      <c r="AE250" t="s">
        <v>5311</v>
      </c>
      <c r="AF250" t="s">
        <v>74</v>
      </c>
      <c r="AG250">
        <v>60</v>
      </c>
      <c r="AH250">
        <v>19</v>
      </c>
      <c r="AI250">
        <v>19</v>
      </c>
      <c r="AJ250">
        <v>7</v>
      </c>
      <c r="AK250">
        <v>25</v>
      </c>
      <c r="AL250" t="s">
        <v>149</v>
      </c>
      <c r="AM250" t="s">
        <v>150</v>
      </c>
      <c r="AN250" t="s">
        <v>151</v>
      </c>
      <c r="AO250" t="s">
        <v>74</v>
      </c>
      <c r="AP250" t="s">
        <v>152</v>
      </c>
      <c r="AQ250" t="s">
        <v>74</v>
      </c>
      <c r="AR250" t="s">
        <v>153</v>
      </c>
      <c r="AS250" t="s">
        <v>154</v>
      </c>
      <c r="AT250" t="s">
        <v>5312</v>
      </c>
      <c r="AU250">
        <v>2022</v>
      </c>
      <c r="AV250">
        <v>13</v>
      </c>
      <c r="AW250">
        <v>1</v>
      </c>
      <c r="AX250" t="s">
        <v>74</v>
      </c>
      <c r="AY250" t="s">
        <v>74</v>
      </c>
      <c r="AZ250" t="s">
        <v>74</v>
      </c>
      <c r="BA250" t="s">
        <v>74</v>
      </c>
      <c r="BB250" t="s">
        <v>74</v>
      </c>
      <c r="BC250" t="s">
        <v>74</v>
      </c>
      <c r="BD250">
        <v>4921</v>
      </c>
      <c r="BE250" t="s">
        <v>5313</v>
      </c>
      <c r="BF250" t="str">
        <f>HYPERLINK("http://dx.doi.org/10.1038/s41467-022-32540-5","http://dx.doi.org/10.1038/s41467-022-32540-5")</f>
        <v>http://dx.doi.org/10.1038/s41467-022-32540-5</v>
      </c>
      <c r="BG250" t="s">
        <v>74</v>
      </c>
      <c r="BH250" t="s">
        <v>74</v>
      </c>
      <c r="BI250">
        <v>11</v>
      </c>
      <c r="BJ250" t="s">
        <v>156</v>
      </c>
      <c r="BK250" t="s">
        <v>100</v>
      </c>
      <c r="BL250" t="s">
        <v>157</v>
      </c>
      <c r="BM250" t="s">
        <v>5314</v>
      </c>
      <c r="BN250">
        <v>36071053</v>
      </c>
      <c r="BO250" t="s">
        <v>132</v>
      </c>
      <c r="BP250" t="s">
        <v>74</v>
      </c>
      <c r="BQ250" t="s">
        <v>74</v>
      </c>
      <c r="BR250" t="s">
        <v>103</v>
      </c>
      <c r="BS250" t="s">
        <v>5315</v>
      </c>
      <c r="BT250" t="str">
        <f>HYPERLINK("https%3A%2F%2Fwww.webofscience.com%2Fwos%2Fwoscc%2Ffull-record%2FWOS:000852985800004","View Full Record in Web of Science")</f>
        <v>View Full Record in Web of Science</v>
      </c>
    </row>
    <row r="251" spans="1:72" x14ac:dyDescent="0.15">
      <c r="A251" t="s">
        <v>72</v>
      </c>
      <c r="B251" t="s">
        <v>5316</v>
      </c>
      <c r="C251" t="s">
        <v>74</v>
      </c>
      <c r="D251" t="s">
        <v>74</v>
      </c>
      <c r="E251" t="s">
        <v>74</v>
      </c>
      <c r="F251" t="s">
        <v>5317</v>
      </c>
      <c r="G251" t="s">
        <v>74</v>
      </c>
      <c r="H251" t="s">
        <v>74</v>
      </c>
      <c r="I251" t="s">
        <v>5318</v>
      </c>
      <c r="J251" t="s">
        <v>811</v>
      </c>
      <c r="K251" t="s">
        <v>74</v>
      </c>
      <c r="L251" t="s">
        <v>74</v>
      </c>
      <c r="M251" t="s">
        <v>78</v>
      </c>
      <c r="N251" t="s">
        <v>79</v>
      </c>
      <c r="O251" t="s">
        <v>74</v>
      </c>
      <c r="P251" t="s">
        <v>74</v>
      </c>
      <c r="Q251" t="s">
        <v>74</v>
      </c>
      <c r="R251" t="s">
        <v>74</v>
      </c>
      <c r="S251" t="s">
        <v>74</v>
      </c>
      <c r="T251" t="s">
        <v>5319</v>
      </c>
      <c r="U251" t="s">
        <v>5320</v>
      </c>
      <c r="V251" t="s">
        <v>5321</v>
      </c>
      <c r="W251" t="s">
        <v>5322</v>
      </c>
      <c r="X251" t="s">
        <v>5323</v>
      </c>
      <c r="Y251" t="s">
        <v>2167</v>
      </c>
      <c r="Z251" t="s">
        <v>2168</v>
      </c>
      <c r="AA251" t="s">
        <v>5324</v>
      </c>
      <c r="AB251" t="s">
        <v>5325</v>
      </c>
      <c r="AC251" t="s">
        <v>5326</v>
      </c>
      <c r="AD251" t="s">
        <v>5327</v>
      </c>
      <c r="AE251" t="s">
        <v>5328</v>
      </c>
      <c r="AF251" t="s">
        <v>74</v>
      </c>
      <c r="AG251">
        <v>80</v>
      </c>
      <c r="AH251">
        <v>2</v>
      </c>
      <c r="AI251">
        <v>2</v>
      </c>
      <c r="AJ251">
        <v>3</v>
      </c>
      <c r="AK251">
        <v>9</v>
      </c>
      <c r="AL251" t="s">
        <v>345</v>
      </c>
      <c r="AM251" t="s">
        <v>450</v>
      </c>
      <c r="AN251" t="s">
        <v>821</v>
      </c>
      <c r="AO251" t="s">
        <v>822</v>
      </c>
      <c r="AP251" t="s">
        <v>823</v>
      </c>
      <c r="AQ251" t="s">
        <v>74</v>
      </c>
      <c r="AR251" t="s">
        <v>824</v>
      </c>
      <c r="AS251" t="s">
        <v>825</v>
      </c>
      <c r="AT251" t="s">
        <v>428</v>
      </c>
      <c r="AU251">
        <v>2022</v>
      </c>
      <c r="AV251">
        <v>34</v>
      </c>
      <c r="AW251">
        <v>5</v>
      </c>
      <c r="AX251" t="s">
        <v>74</v>
      </c>
      <c r="AY251" t="s">
        <v>74</v>
      </c>
      <c r="AZ251" t="s">
        <v>74</v>
      </c>
      <c r="BA251" t="s">
        <v>74</v>
      </c>
      <c r="BB251">
        <v>349</v>
      </c>
      <c r="BC251">
        <v>360</v>
      </c>
      <c r="BD251" t="s">
        <v>5329</v>
      </c>
      <c r="BE251" t="s">
        <v>5330</v>
      </c>
      <c r="BF251" t="str">
        <f>HYPERLINK("http://dx.doi.org/10.1017/S0954102022000268","http://dx.doi.org/10.1017/S0954102022000268")</f>
        <v>http://dx.doi.org/10.1017/S0954102022000268</v>
      </c>
      <c r="BG251" t="s">
        <v>74</v>
      </c>
      <c r="BH251" t="s">
        <v>2143</v>
      </c>
      <c r="BI251">
        <v>12</v>
      </c>
      <c r="BJ251" t="s">
        <v>828</v>
      </c>
      <c r="BK251" t="s">
        <v>100</v>
      </c>
      <c r="BL251" t="s">
        <v>829</v>
      </c>
      <c r="BM251" t="s">
        <v>830</v>
      </c>
      <c r="BN251" t="s">
        <v>74</v>
      </c>
      <c r="BO251" t="s">
        <v>831</v>
      </c>
      <c r="BP251" t="s">
        <v>74</v>
      </c>
      <c r="BQ251" t="s">
        <v>74</v>
      </c>
      <c r="BR251" t="s">
        <v>103</v>
      </c>
      <c r="BS251" t="s">
        <v>5331</v>
      </c>
      <c r="BT251" t="str">
        <f>HYPERLINK("https%3A%2F%2Fwww.webofscience.com%2Fwos%2Fwoscc%2Ffull-record%2FWOS:000851061700001","View Full Record in Web of Science")</f>
        <v>View Full Record in Web of Science</v>
      </c>
    </row>
    <row r="252" spans="1:72" x14ac:dyDescent="0.15">
      <c r="A252" t="s">
        <v>72</v>
      </c>
      <c r="B252" t="s">
        <v>5332</v>
      </c>
      <c r="C252" t="s">
        <v>74</v>
      </c>
      <c r="D252" t="s">
        <v>74</v>
      </c>
      <c r="E252" t="s">
        <v>74</v>
      </c>
      <c r="F252" t="s">
        <v>5333</v>
      </c>
      <c r="G252" t="s">
        <v>74</v>
      </c>
      <c r="H252" t="s">
        <v>74</v>
      </c>
      <c r="I252" t="s">
        <v>5334</v>
      </c>
      <c r="J252" t="s">
        <v>2448</v>
      </c>
      <c r="K252" t="s">
        <v>74</v>
      </c>
      <c r="L252" t="s">
        <v>74</v>
      </c>
      <c r="M252" t="s">
        <v>78</v>
      </c>
      <c r="N252" t="s">
        <v>79</v>
      </c>
      <c r="O252" t="s">
        <v>74</v>
      </c>
      <c r="P252" t="s">
        <v>74</v>
      </c>
      <c r="Q252" t="s">
        <v>74</v>
      </c>
      <c r="R252" t="s">
        <v>74</v>
      </c>
      <c r="S252" t="s">
        <v>74</v>
      </c>
      <c r="T252" t="s">
        <v>74</v>
      </c>
      <c r="U252" t="s">
        <v>5335</v>
      </c>
      <c r="V252" t="s">
        <v>5336</v>
      </c>
      <c r="W252" t="s">
        <v>5337</v>
      </c>
      <c r="X252" t="s">
        <v>5338</v>
      </c>
      <c r="Y252" t="s">
        <v>5339</v>
      </c>
      <c r="Z252" t="s">
        <v>5340</v>
      </c>
      <c r="AA252" t="s">
        <v>5341</v>
      </c>
      <c r="AB252" t="s">
        <v>5342</v>
      </c>
      <c r="AC252" t="s">
        <v>5343</v>
      </c>
      <c r="AD252" t="s">
        <v>5344</v>
      </c>
      <c r="AE252" t="s">
        <v>5345</v>
      </c>
      <c r="AF252" t="s">
        <v>74</v>
      </c>
      <c r="AG252">
        <v>70</v>
      </c>
      <c r="AH252">
        <v>11</v>
      </c>
      <c r="AI252">
        <v>11</v>
      </c>
      <c r="AJ252">
        <v>1</v>
      </c>
      <c r="AK252">
        <v>9</v>
      </c>
      <c r="AL252" t="s">
        <v>2460</v>
      </c>
      <c r="AM252" t="s">
        <v>2461</v>
      </c>
      <c r="AN252" t="s">
        <v>2462</v>
      </c>
      <c r="AO252" t="s">
        <v>2463</v>
      </c>
      <c r="AP252" t="s">
        <v>2464</v>
      </c>
      <c r="AQ252" t="s">
        <v>74</v>
      </c>
      <c r="AR252" t="s">
        <v>2448</v>
      </c>
      <c r="AS252" t="s">
        <v>2465</v>
      </c>
      <c r="AT252" t="s">
        <v>5312</v>
      </c>
      <c r="AU252">
        <v>2022</v>
      </c>
      <c r="AV252">
        <v>19</v>
      </c>
      <c r="AW252">
        <v>17</v>
      </c>
      <c r="AX252" t="s">
        <v>74</v>
      </c>
      <c r="AY252" t="s">
        <v>74</v>
      </c>
      <c r="AZ252" t="s">
        <v>74</v>
      </c>
      <c r="BA252" t="s">
        <v>74</v>
      </c>
      <c r="BB252">
        <v>4171</v>
      </c>
      <c r="BC252">
        <v>4195</v>
      </c>
      <c r="BD252" t="s">
        <v>74</v>
      </c>
      <c r="BE252" t="s">
        <v>5346</v>
      </c>
      <c r="BF252" t="str">
        <f>HYPERLINK("http://dx.doi.org/10.5194/bg-19-4171-2022","http://dx.doi.org/10.5194/bg-19-4171-2022")</f>
        <v>http://dx.doi.org/10.5194/bg-19-4171-2022</v>
      </c>
      <c r="BG252" t="s">
        <v>74</v>
      </c>
      <c r="BH252" t="s">
        <v>74</v>
      </c>
      <c r="BI252">
        <v>25</v>
      </c>
      <c r="BJ252" t="s">
        <v>2467</v>
      </c>
      <c r="BK252" t="s">
        <v>100</v>
      </c>
      <c r="BL252" t="s">
        <v>1219</v>
      </c>
      <c r="BM252" t="s">
        <v>5347</v>
      </c>
      <c r="BN252" t="s">
        <v>74</v>
      </c>
      <c r="BO252" t="s">
        <v>5348</v>
      </c>
      <c r="BP252" t="s">
        <v>74</v>
      </c>
      <c r="BQ252" t="s">
        <v>74</v>
      </c>
      <c r="BR252" t="s">
        <v>103</v>
      </c>
      <c r="BS252" t="s">
        <v>5349</v>
      </c>
      <c r="BT252" t="str">
        <f>HYPERLINK("https%3A%2F%2Fwww.webofscience.com%2Fwos%2Fwoscc%2Ffull-record%2FWOS:000850452900001","View Full Record in Web of Science")</f>
        <v>View Full Record in Web of Science</v>
      </c>
    </row>
    <row r="253" spans="1:72" x14ac:dyDescent="0.15">
      <c r="A253" t="s">
        <v>72</v>
      </c>
      <c r="B253" t="s">
        <v>5350</v>
      </c>
      <c r="C253" t="s">
        <v>74</v>
      </c>
      <c r="D253" t="s">
        <v>74</v>
      </c>
      <c r="E253" t="s">
        <v>74</v>
      </c>
      <c r="F253" t="s">
        <v>5351</v>
      </c>
      <c r="G253" t="s">
        <v>74</v>
      </c>
      <c r="H253" t="s">
        <v>74</v>
      </c>
      <c r="I253" t="s">
        <v>5352</v>
      </c>
      <c r="J253" t="s">
        <v>5353</v>
      </c>
      <c r="K253" t="s">
        <v>74</v>
      </c>
      <c r="L253" t="s">
        <v>74</v>
      </c>
      <c r="M253" t="s">
        <v>78</v>
      </c>
      <c r="N253" t="s">
        <v>79</v>
      </c>
      <c r="O253" t="s">
        <v>74</v>
      </c>
      <c r="P253" t="s">
        <v>74</v>
      </c>
      <c r="Q253" t="s">
        <v>74</v>
      </c>
      <c r="R253" t="s">
        <v>74</v>
      </c>
      <c r="S253" t="s">
        <v>74</v>
      </c>
      <c r="T253" t="s">
        <v>74</v>
      </c>
      <c r="U253" t="s">
        <v>5354</v>
      </c>
      <c r="V253" t="s">
        <v>5355</v>
      </c>
      <c r="W253" t="s">
        <v>5356</v>
      </c>
      <c r="X253" t="s">
        <v>5357</v>
      </c>
      <c r="Y253" t="s">
        <v>5358</v>
      </c>
      <c r="Z253" t="s">
        <v>5359</v>
      </c>
      <c r="AA253" t="s">
        <v>5360</v>
      </c>
      <c r="AB253" t="s">
        <v>5361</v>
      </c>
      <c r="AC253" t="s">
        <v>5362</v>
      </c>
      <c r="AD253" t="s">
        <v>5363</v>
      </c>
      <c r="AE253" t="s">
        <v>5364</v>
      </c>
      <c r="AF253" t="s">
        <v>74</v>
      </c>
      <c r="AG253">
        <v>253</v>
      </c>
      <c r="AH253">
        <v>34</v>
      </c>
      <c r="AI253">
        <v>34</v>
      </c>
      <c r="AJ253">
        <v>1</v>
      </c>
      <c r="AK253">
        <v>11</v>
      </c>
      <c r="AL253" t="s">
        <v>231</v>
      </c>
      <c r="AM253" t="s">
        <v>232</v>
      </c>
      <c r="AN253" t="s">
        <v>233</v>
      </c>
      <c r="AO253" t="s">
        <v>5365</v>
      </c>
      <c r="AP253" t="s">
        <v>5366</v>
      </c>
      <c r="AQ253" t="s">
        <v>74</v>
      </c>
      <c r="AR253" t="s">
        <v>5353</v>
      </c>
      <c r="AS253" t="s">
        <v>5367</v>
      </c>
      <c r="AT253" t="s">
        <v>428</v>
      </c>
      <c r="AU253">
        <v>2022</v>
      </c>
      <c r="AV253">
        <v>51</v>
      </c>
      <c r="AW253">
        <v>4</v>
      </c>
      <c r="AX253" t="s">
        <v>74</v>
      </c>
      <c r="AY253" t="s">
        <v>74</v>
      </c>
      <c r="AZ253" t="s">
        <v>74</v>
      </c>
      <c r="BA253" t="s">
        <v>74</v>
      </c>
      <c r="BB253">
        <v>699</v>
      </c>
      <c r="BC253">
        <v>758</v>
      </c>
      <c r="BD253" t="s">
        <v>74</v>
      </c>
      <c r="BE253" t="s">
        <v>5368</v>
      </c>
      <c r="BF253" t="str">
        <f>HYPERLINK("http://dx.doi.org/10.1111/bor.12594","http://dx.doi.org/10.1111/bor.12594")</f>
        <v>http://dx.doi.org/10.1111/bor.12594</v>
      </c>
      <c r="BG253" t="s">
        <v>74</v>
      </c>
      <c r="BH253" t="s">
        <v>2143</v>
      </c>
      <c r="BI253">
        <v>60</v>
      </c>
      <c r="BJ253" t="s">
        <v>354</v>
      </c>
      <c r="BK253" t="s">
        <v>100</v>
      </c>
      <c r="BL253" t="s">
        <v>241</v>
      </c>
      <c r="BM253" t="s">
        <v>5369</v>
      </c>
      <c r="BN253" t="s">
        <v>74</v>
      </c>
      <c r="BO253" t="s">
        <v>5370</v>
      </c>
      <c r="BP253" t="s">
        <v>74</v>
      </c>
      <c r="BQ253" t="s">
        <v>74</v>
      </c>
      <c r="BR253" t="s">
        <v>103</v>
      </c>
      <c r="BS253" t="s">
        <v>5371</v>
      </c>
      <c r="BT253" t="str">
        <f>HYPERLINK("https%3A%2F%2Fwww.webofscience.com%2Fwos%2Fwoscc%2Ffull-record%2FWOS:000851253500001","View Full Record in Web of Science")</f>
        <v>View Full Record in Web of Science</v>
      </c>
    </row>
    <row r="254" spans="1:72" x14ac:dyDescent="0.15">
      <c r="A254" t="s">
        <v>72</v>
      </c>
      <c r="B254" t="s">
        <v>5372</v>
      </c>
      <c r="C254" t="s">
        <v>74</v>
      </c>
      <c r="D254" t="s">
        <v>74</v>
      </c>
      <c r="E254" t="s">
        <v>74</v>
      </c>
      <c r="F254" t="s">
        <v>5373</v>
      </c>
      <c r="G254" t="s">
        <v>74</v>
      </c>
      <c r="H254" t="s">
        <v>74</v>
      </c>
      <c r="I254" t="s">
        <v>5374</v>
      </c>
      <c r="J254" t="s">
        <v>811</v>
      </c>
      <c r="K254" t="s">
        <v>74</v>
      </c>
      <c r="L254" t="s">
        <v>74</v>
      </c>
      <c r="M254" t="s">
        <v>78</v>
      </c>
      <c r="N254" t="s">
        <v>79</v>
      </c>
      <c r="O254" t="s">
        <v>74</v>
      </c>
      <c r="P254" t="s">
        <v>74</v>
      </c>
      <c r="Q254" t="s">
        <v>74</v>
      </c>
      <c r="R254" t="s">
        <v>74</v>
      </c>
      <c r="S254" t="s">
        <v>74</v>
      </c>
      <c r="T254" t="s">
        <v>5375</v>
      </c>
      <c r="U254" t="s">
        <v>5376</v>
      </c>
      <c r="V254" t="s">
        <v>5377</v>
      </c>
      <c r="W254" t="s">
        <v>5378</v>
      </c>
      <c r="X254" t="s">
        <v>5379</v>
      </c>
      <c r="Y254" t="s">
        <v>5380</v>
      </c>
      <c r="Z254" t="s">
        <v>5381</v>
      </c>
      <c r="AA254" t="s">
        <v>74</v>
      </c>
      <c r="AB254" t="s">
        <v>5382</v>
      </c>
      <c r="AC254" t="s">
        <v>5383</v>
      </c>
      <c r="AD254" t="s">
        <v>5384</v>
      </c>
      <c r="AE254" t="s">
        <v>5385</v>
      </c>
      <c r="AF254" t="s">
        <v>74</v>
      </c>
      <c r="AG254">
        <v>46</v>
      </c>
      <c r="AH254">
        <v>4</v>
      </c>
      <c r="AI254">
        <v>4</v>
      </c>
      <c r="AJ254">
        <v>2</v>
      </c>
      <c r="AK254">
        <v>5</v>
      </c>
      <c r="AL254" t="s">
        <v>345</v>
      </c>
      <c r="AM254" t="s">
        <v>450</v>
      </c>
      <c r="AN254" t="s">
        <v>821</v>
      </c>
      <c r="AO254" t="s">
        <v>822</v>
      </c>
      <c r="AP254" t="s">
        <v>823</v>
      </c>
      <c r="AQ254" t="s">
        <v>74</v>
      </c>
      <c r="AR254" t="s">
        <v>824</v>
      </c>
      <c r="AS254" t="s">
        <v>825</v>
      </c>
      <c r="AT254" t="s">
        <v>5386</v>
      </c>
      <c r="AU254">
        <v>2022</v>
      </c>
      <c r="AV254">
        <v>34</v>
      </c>
      <c r="AW254">
        <v>4</v>
      </c>
      <c r="AX254" t="s">
        <v>74</v>
      </c>
      <c r="AY254" t="s">
        <v>74</v>
      </c>
      <c r="AZ254" t="s">
        <v>74</v>
      </c>
      <c r="BA254" t="s">
        <v>74</v>
      </c>
      <c r="BB254">
        <v>325</v>
      </c>
      <c r="BC254">
        <v>335</v>
      </c>
      <c r="BD254" t="s">
        <v>5387</v>
      </c>
      <c r="BE254" t="s">
        <v>5388</v>
      </c>
      <c r="BF254" t="str">
        <f>HYPERLINK("http://dx.doi.org/10.1017/S0954102022000256","http://dx.doi.org/10.1017/S0954102022000256")</f>
        <v>http://dx.doi.org/10.1017/S0954102022000256</v>
      </c>
      <c r="BG254" t="s">
        <v>74</v>
      </c>
      <c r="BH254" t="s">
        <v>2143</v>
      </c>
      <c r="BI254">
        <v>11</v>
      </c>
      <c r="BJ254" t="s">
        <v>828</v>
      </c>
      <c r="BK254" t="s">
        <v>100</v>
      </c>
      <c r="BL254" t="s">
        <v>829</v>
      </c>
      <c r="BM254" t="s">
        <v>5389</v>
      </c>
      <c r="BN254" t="s">
        <v>74</v>
      </c>
      <c r="BO254" t="s">
        <v>831</v>
      </c>
      <c r="BP254" t="s">
        <v>74</v>
      </c>
      <c r="BQ254" t="s">
        <v>74</v>
      </c>
      <c r="BR254" t="s">
        <v>103</v>
      </c>
      <c r="BS254" t="s">
        <v>5390</v>
      </c>
      <c r="BT254" t="str">
        <f>HYPERLINK("https%3A%2F%2Fwww.webofscience.com%2Fwos%2Fwoscc%2Ffull-record%2FWOS:000850367600001","View Full Record in Web of Science")</f>
        <v>View Full Record in Web of Science</v>
      </c>
    </row>
    <row r="255" spans="1:72" x14ac:dyDescent="0.15">
      <c r="A255" t="s">
        <v>72</v>
      </c>
      <c r="B255" t="s">
        <v>5391</v>
      </c>
      <c r="C255" t="s">
        <v>74</v>
      </c>
      <c r="D255" t="s">
        <v>74</v>
      </c>
      <c r="E255" t="s">
        <v>74</v>
      </c>
      <c r="F255" t="s">
        <v>5392</v>
      </c>
      <c r="G255" t="s">
        <v>74</v>
      </c>
      <c r="H255" t="s">
        <v>74</v>
      </c>
      <c r="I255" t="s">
        <v>5393</v>
      </c>
      <c r="J255" t="s">
        <v>3399</v>
      </c>
      <c r="K255" t="s">
        <v>74</v>
      </c>
      <c r="L255" t="s">
        <v>74</v>
      </c>
      <c r="M255" t="s">
        <v>78</v>
      </c>
      <c r="N255" t="s">
        <v>165</v>
      </c>
      <c r="O255" t="s">
        <v>74</v>
      </c>
      <c r="P255" t="s">
        <v>74</v>
      </c>
      <c r="Q255" t="s">
        <v>74</v>
      </c>
      <c r="R255" t="s">
        <v>74</v>
      </c>
      <c r="S255" t="s">
        <v>74</v>
      </c>
      <c r="T255" t="s">
        <v>5394</v>
      </c>
      <c r="U255" t="s">
        <v>5395</v>
      </c>
      <c r="V255" t="s">
        <v>5396</v>
      </c>
      <c r="W255" t="s">
        <v>5397</v>
      </c>
      <c r="X255" t="s">
        <v>5398</v>
      </c>
      <c r="Y255" t="s">
        <v>5399</v>
      </c>
      <c r="Z255" t="s">
        <v>5400</v>
      </c>
      <c r="AA255" t="s">
        <v>74</v>
      </c>
      <c r="AB255" t="s">
        <v>5401</v>
      </c>
      <c r="AC255" t="s">
        <v>5402</v>
      </c>
      <c r="AD255" t="s">
        <v>5403</v>
      </c>
      <c r="AE255" t="s">
        <v>5404</v>
      </c>
      <c r="AF255" t="s">
        <v>74</v>
      </c>
      <c r="AG255">
        <v>139</v>
      </c>
      <c r="AH255">
        <v>2</v>
      </c>
      <c r="AI255">
        <v>2</v>
      </c>
      <c r="AJ255">
        <v>4</v>
      </c>
      <c r="AK255">
        <v>23</v>
      </c>
      <c r="AL255" t="s">
        <v>2275</v>
      </c>
      <c r="AM255" t="s">
        <v>90</v>
      </c>
      <c r="AN255" t="s">
        <v>2276</v>
      </c>
      <c r="AO255" t="s">
        <v>3412</v>
      </c>
      <c r="AP255" t="s">
        <v>3413</v>
      </c>
      <c r="AQ255" t="s">
        <v>74</v>
      </c>
      <c r="AR255" t="s">
        <v>3414</v>
      </c>
      <c r="AS255" t="s">
        <v>3415</v>
      </c>
      <c r="AT255" t="s">
        <v>2281</v>
      </c>
      <c r="AU255">
        <v>2022</v>
      </c>
      <c r="AV255">
        <v>208</v>
      </c>
      <c r="AW255" t="s">
        <v>74</v>
      </c>
      <c r="AX255" t="s">
        <v>74</v>
      </c>
      <c r="AY255" t="s">
        <v>74</v>
      </c>
      <c r="AZ255" t="s">
        <v>74</v>
      </c>
      <c r="BA255" t="s">
        <v>74</v>
      </c>
      <c r="BB255" t="s">
        <v>74</v>
      </c>
      <c r="BC255" t="s">
        <v>74</v>
      </c>
      <c r="BD255">
        <v>102879</v>
      </c>
      <c r="BE255" t="s">
        <v>5405</v>
      </c>
      <c r="BF255" t="str">
        <f>HYPERLINK("http://dx.doi.org/10.1016/j.pocean.2022.102879","http://dx.doi.org/10.1016/j.pocean.2022.102879")</f>
        <v>http://dx.doi.org/10.1016/j.pocean.2022.102879</v>
      </c>
      <c r="BG255" t="s">
        <v>74</v>
      </c>
      <c r="BH255" t="s">
        <v>2143</v>
      </c>
      <c r="BI255">
        <v>13</v>
      </c>
      <c r="BJ255" t="s">
        <v>674</v>
      </c>
      <c r="BK255" t="s">
        <v>100</v>
      </c>
      <c r="BL255" t="s">
        <v>674</v>
      </c>
      <c r="BM255" t="s">
        <v>5406</v>
      </c>
      <c r="BN255" t="s">
        <v>74</v>
      </c>
      <c r="BO255" t="s">
        <v>74</v>
      </c>
      <c r="BP255" t="s">
        <v>74</v>
      </c>
      <c r="BQ255" t="s">
        <v>74</v>
      </c>
      <c r="BR255" t="s">
        <v>103</v>
      </c>
      <c r="BS255" t="s">
        <v>5407</v>
      </c>
      <c r="BT255" t="str">
        <f>HYPERLINK("https%3A%2F%2Fwww.webofscience.com%2Fwos%2Fwoscc%2Ffull-record%2FWOS:000871024300004","View Full Record in Web of Science")</f>
        <v>View Full Record in Web of Science</v>
      </c>
    </row>
    <row r="256" spans="1:72" x14ac:dyDescent="0.15">
      <c r="A256" t="s">
        <v>72</v>
      </c>
      <c r="B256" t="s">
        <v>5408</v>
      </c>
      <c r="C256" t="s">
        <v>74</v>
      </c>
      <c r="D256" t="s">
        <v>74</v>
      </c>
      <c r="E256" t="s">
        <v>74</v>
      </c>
      <c r="F256" t="s">
        <v>5409</v>
      </c>
      <c r="G256" t="s">
        <v>74</v>
      </c>
      <c r="H256" t="s">
        <v>74</v>
      </c>
      <c r="I256" t="s">
        <v>5410</v>
      </c>
      <c r="J256" t="s">
        <v>5411</v>
      </c>
      <c r="K256" t="s">
        <v>74</v>
      </c>
      <c r="L256" t="s">
        <v>74</v>
      </c>
      <c r="M256" t="s">
        <v>78</v>
      </c>
      <c r="N256" t="s">
        <v>79</v>
      </c>
      <c r="O256" t="s">
        <v>74</v>
      </c>
      <c r="P256" t="s">
        <v>74</v>
      </c>
      <c r="Q256" t="s">
        <v>74</v>
      </c>
      <c r="R256" t="s">
        <v>74</v>
      </c>
      <c r="S256" t="s">
        <v>74</v>
      </c>
      <c r="T256" t="s">
        <v>5412</v>
      </c>
      <c r="U256" t="s">
        <v>5413</v>
      </c>
      <c r="V256" t="s">
        <v>5414</v>
      </c>
      <c r="W256" t="s">
        <v>5415</v>
      </c>
      <c r="X256" t="s">
        <v>5416</v>
      </c>
      <c r="Y256" t="s">
        <v>5417</v>
      </c>
      <c r="Z256" t="s">
        <v>5418</v>
      </c>
      <c r="AA256" t="s">
        <v>5419</v>
      </c>
      <c r="AB256" t="s">
        <v>74</v>
      </c>
      <c r="AC256" t="s">
        <v>5420</v>
      </c>
      <c r="AD256" t="s">
        <v>5421</v>
      </c>
      <c r="AE256" t="s">
        <v>5422</v>
      </c>
      <c r="AF256" t="s">
        <v>74</v>
      </c>
      <c r="AG256">
        <v>53</v>
      </c>
      <c r="AH256">
        <v>0</v>
      </c>
      <c r="AI256">
        <v>0</v>
      </c>
      <c r="AJ256">
        <v>0</v>
      </c>
      <c r="AK256">
        <v>2</v>
      </c>
      <c r="AL256" t="s">
        <v>121</v>
      </c>
      <c r="AM256" t="s">
        <v>122</v>
      </c>
      <c r="AN256" t="s">
        <v>123</v>
      </c>
      <c r="AO256" t="s">
        <v>5423</v>
      </c>
      <c r="AP256" t="s">
        <v>74</v>
      </c>
      <c r="AQ256" t="s">
        <v>74</v>
      </c>
      <c r="AR256" t="s">
        <v>5424</v>
      </c>
      <c r="AS256" t="s">
        <v>5425</v>
      </c>
      <c r="AT256" t="s">
        <v>5426</v>
      </c>
      <c r="AU256">
        <v>2022</v>
      </c>
      <c r="AV256">
        <v>9</v>
      </c>
      <c r="AW256" t="s">
        <v>74</v>
      </c>
      <c r="AX256" t="s">
        <v>74</v>
      </c>
      <c r="AY256" t="s">
        <v>74</v>
      </c>
      <c r="AZ256" t="s">
        <v>74</v>
      </c>
      <c r="BA256" t="s">
        <v>74</v>
      </c>
      <c r="BB256" t="s">
        <v>74</v>
      </c>
      <c r="BC256" t="s">
        <v>74</v>
      </c>
      <c r="BD256">
        <v>978371</v>
      </c>
      <c r="BE256" t="s">
        <v>5427</v>
      </c>
      <c r="BF256" t="str">
        <f>HYPERLINK("http://dx.doi.org/10.3389/fspas.2022.978371","http://dx.doi.org/10.3389/fspas.2022.978371")</f>
        <v>http://dx.doi.org/10.3389/fspas.2022.978371</v>
      </c>
      <c r="BG256" t="s">
        <v>74</v>
      </c>
      <c r="BH256" t="s">
        <v>74</v>
      </c>
      <c r="BI256">
        <v>19</v>
      </c>
      <c r="BJ256" t="s">
        <v>954</v>
      </c>
      <c r="BK256" t="s">
        <v>100</v>
      </c>
      <c r="BL256" t="s">
        <v>954</v>
      </c>
      <c r="BM256" t="s">
        <v>5428</v>
      </c>
      <c r="BN256" t="s">
        <v>74</v>
      </c>
      <c r="BO256" t="s">
        <v>266</v>
      </c>
      <c r="BP256" t="s">
        <v>74</v>
      </c>
      <c r="BQ256" t="s">
        <v>74</v>
      </c>
      <c r="BR256" t="s">
        <v>103</v>
      </c>
      <c r="BS256" t="s">
        <v>5429</v>
      </c>
      <c r="BT256" t="str">
        <f>HYPERLINK("https%3A%2F%2Fwww.webofscience.com%2Fwos%2Fwoscc%2Ffull-record%2FWOS:000860298100001","View Full Record in Web of Science")</f>
        <v>View Full Record in Web of Science</v>
      </c>
    </row>
    <row r="257" spans="1:72" x14ac:dyDescent="0.15">
      <c r="A257" t="s">
        <v>72</v>
      </c>
      <c r="B257" t="s">
        <v>5430</v>
      </c>
      <c r="C257" t="s">
        <v>74</v>
      </c>
      <c r="D257" t="s">
        <v>74</v>
      </c>
      <c r="E257" t="s">
        <v>74</v>
      </c>
      <c r="F257" t="s">
        <v>5431</v>
      </c>
      <c r="G257" t="s">
        <v>74</v>
      </c>
      <c r="H257" t="s">
        <v>74</v>
      </c>
      <c r="I257" t="s">
        <v>5432</v>
      </c>
      <c r="J257" t="s">
        <v>5411</v>
      </c>
      <c r="K257" t="s">
        <v>74</v>
      </c>
      <c r="L257" t="s">
        <v>74</v>
      </c>
      <c r="M257" t="s">
        <v>78</v>
      </c>
      <c r="N257" t="s">
        <v>79</v>
      </c>
      <c r="O257" t="s">
        <v>74</v>
      </c>
      <c r="P257" t="s">
        <v>74</v>
      </c>
      <c r="Q257" t="s">
        <v>74</v>
      </c>
      <c r="R257" t="s">
        <v>74</v>
      </c>
      <c r="S257" t="s">
        <v>74</v>
      </c>
      <c r="T257" t="s">
        <v>5433</v>
      </c>
      <c r="U257" t="s">
        <v>5434</v>
      </c>
      <c r="V257" t="s">
        <v>5435</v>
      </c>
      <c r="W257" t="s">
        <v>5436</v>
      </c>
      <c r="X257" t="s">
        <v>5437</v>
      </c>
      <c r="Y257" t="s">
        <v>5438</v>
      </c>
      <c r="Z257" t="s">
        <v>5439</v>
      </c>
      <c r="AA257" t="s">
        <v>5440</v>
      </c>
      <c r="AB257" t="s">
        <v>5441</v>
      </c>
      <c r="AC257" t="s">
        <v>5442</v>
      </c>
      <c r="AD257" t="s">
        <v>5443</v>
      </c>
      <c r="AE257" t="s">
        <v>5444</v>
      </c>
      <c r="AF257" t="s">
        <v>74</v>
      </c>
      <c r="AG257">
        <v>74</v>
      </c>
      <c r="AH257">
        <v>2</v>
      </c>
      <c r="AI257">
        <v>2</v>
      </c>
      <c r="AJ257">
        <v>3</v>
      </c>
      <c r="AK257">
        <v>13</v>
      </c>
      <c r="AL257" t="s">
        <v>121</v>
      </c>
      <c r="AM257" t="s">
        <v>122</v>
      </c>
      <c r="AN257" t="s">
        <v>123</v>
      </c>
      <c r="AO257" t="s">
        <v>5423</v>
      </c>
      <c r="AP257" t="s">
        <v>74</v>
      </c>
      <c r="AQ257" t="s">
        <v>74</v>
      </c>
      <c r="AR257" t="s">
        <v>5424</v>
      </c>
      <c r="AS257" t="s">
        <v>5425</v>
      </c>
      <c r="AT257" t="s">
        <v>5426</v>
      </c>
      <c r="AU257">
        <v>2022</v>
      </c>
      <c r="AV257">
        <v>9</v>
      </c>
      <c r="AW257" t="s">
        <v>74</v>
      </c>
      <c r="AX257" t="s">
        <v>74</v>
      </c>
      <c r="AY257" t="s">
        <v>74</v>
      </c>
      <c r="AZ257" t="s">
        <v>74</v>
      </c>
      <c r="BA257" t="s">
        <v>74</v>
      </c>
      <c r="BB257" t="s">
        <v>74</v>
      </c>
      <c r="BC257" t="s">
        <v>74</v>
      </c>
      <c r="BD257">
        <v>966164</v>
      </c>
      <c r="BE257" t="s">
        <v>5445</v>
      </c>
      <c r="BF257" t="str">
        <f>HYPERLINK("http://dx.doi.org/10.3389/fspas.2022.966164","http://dx.doi.org/10.3389/fspas.2022.966164")</f>
        <v>http://dx.doi.org/10.3389/fspas.2022.966164</v>
      </c>
      <c r="BG257" t="s">
        <v>74</v>
      </c>
      <c r="BH257" t="s">
        <v>74</v>
      </c>
      <c r="BI257">
        <v>17</v>
      </c>
      <c r="BJ257" t="s">
        <v>954</v>
      </c>
      <c r="BK257" t="s">
        <v>100</v>
      </c>
      <c r="BL257" t="s">
        <v>954</v>
      </c>
      <c r="BM257" t="s">
        <v>5446</v>
      </c>
      <c r="BN257" t="s">
        <v>74</v>
      </c>
      <c r="BO257" t="s">
        <v>5447</v>
      </c>
      <c r="BP257" t="s">
        <v>74</v>
      </c>
      <c r="BQ257" t="s">
        <v>74</v>
      </c>
      <c r="BR257" t="s">
        <v>103</v>
      </c>
      <c r="BS257" t="s">
        <v>5448</v>
      </c>
      <c r="BT257" t="str">
        <f>HYPERLINK("https%3A%2F%2Fwww.webofscience.com%2Fwos%2Fwoscc%2Ffull-record%2FWOS:000857911300001","View Full Record in Web of Science")</f>
        <v>View Full Record in Web of Science</v>
      </c>
    </row>
    <row r="258" spans="1:72" x14ac:dyDescent="0.15">
      <c r="A258" t="s">
        <v>72</v>
      </c>
      <c r="B258" t="s">
        <v>5449</v>
      </c>
      <c r="C258" t="s">
        <v>74</v>
      </c>
      <c r="D258" t="s">
        <v>74</v>
      </c>
      <c r="E258" t="s">
        <v>74</v>
      </c>
      <c r="F258" t="s">
        <v>5450</v>
      </c>
      <c r="G258" t="s">
        <v>74</v>
      </c>
      <c r="H258" t="s">
        <v>74</v>
      </c>
      <c r="I258" t="s">
        <v>5451</v>
      </c>
      <c r="J258" t="s">
        <v>5452</v>
      </c>
      <c r="K258" t="s">
        <v>74</v>
      </c>
      <c r="L258" t="s">
        <v>74</v>
      </c>
      <c r="M258" t="s">
        <v>78</v>
      </c>
      <c r="N258" t="s">
        <v>79</v>
      </c>
      <c r="O258" t="s">
        <v>74</v>
      </c>
      <c r="P258" t="s">
        <v>74</v>
      </c>
      <c r="Q258" t="s">
        <v>74</v>
      </c>
      <c r="R258" t="s">
        <v>74</v>
      </c>
      <c r="S258" t="s">
        <v>74</v>
      </c>
      <c r="T258" t="s">
        <v>5453</v>
      </c>
      <c r="U258" t="s">
        <v>5454</v>
      </c>
      <c r="V258" t="s">
        <v>5455</v>
      </c>
      <c r="W258" t="s">
        <v>5456</v>
      </c>
      <c r="X258" t="s">
        <v>5457</v>
      </c>
      <c r="Y258" t="s">
        <v>5458</v>
      </c>
      <c r="Z258" t="s">
        <v>5459</v>
      </c>
      <c r="AA258" t="s">
        <v>74</v>
      </c>
      <c r="AB258" t="s">
        <v>5460</v>
      </c>
      <c r="AC258" t="s">
        <v>5461</v>
      </c>
      <c r="AD258" t="s">
        <v>5462</v>
      </c>
      <c r="AE258" t="s">
        <v>5463</v>
      </c>
      <c r="AF258" t="s">
        <v>74</v>
      </c>
      <c r="AG258">
        <v>119</v>
      </c>
      <c r="AH258">
        <v>2</v>
      </c>
      <c r="AI258">
        <v>2</v>
      </c>
      <c r="AJ258">
        <v>1</v>
      </c>
      <c r="AK258">
        <v>6</v>
      </c>
      <c r="AL258" t="s">
        <v>501</v>
      </c>
      <c r="AM258" t="s">
        <v>502</v>
      </c>
      <c r="AN258" t="s">
        <v>503</v>
      </c>
      <c r="AO258" t="s">
        <v>5464</v>
      </c>
      <c r="AP258" t="s">
        <v>5465</v>
      </c>
      <c r="AQ258" t="s">
        <v>74</v>
      </c>
      <c r="AR258" t="s">
        <v>5466</v>
      </c>
      <c r="AS258" t="s">
        <v>5467</v>
      </c>
      <c r="AT258" t="s">
        <v>2670</v>
      </c>
      <c r="AU258">
        <v>2022</v>
      </c>
      <c r="AV258">
        <v>604</v>
      </c>
      <c r="AW258" t="s">
        <v>74</v>
      </c>
      <c r="AX258" t="s">
        <v>74</v>
      </c>
      <c r="AY258" t="s">
        <v>74</v>
      </c>
      <c r="AZ258" t="s">
        <v>74</v>
      </c>
      <c r="BA258" t="s">
        <v>74</v>
      </c>
      <c r="BB258" t="s">
        <v>74</v>
      </c>
      <c r="BC258" t="s">
        <v>74</v>
      </c>
      <c r="BD258">
        <v>111216</v>
      </c>
      <c r="BE258" t="s">
        <v>5468</v>
      </c>
      <c r="BF258" t="str">
        <f>HYPERLINK("http://dx.doi.org/10.1016/j.palaeo.2022.111216","http://dx.doi.org/10.1016/j.palaeo.2022.111216")</f>
        <v>http://dx.doi.org/10.1016/j.palaeo.2022.111216</v>
      </c>
      <c r="BG258" t="s">
        <v>74</v>
      </c>
      <c r="BH258" t="s">
        <v>2143</v>
      </c>
      <c r="BI258">
        <v>14</v>
      </c>
      <c r="BJ258" t="s">
        <v>5469</v>
      </c>
      <c r="BK258" t="s">
        <v>100</v>
      </c>
      <c r="BL258" t="s">
        <v>5470</v>
      </c>
      <c r="BM258" t="s">
        <v>5471</v>
      </c>
      <c r="BN258" t="s">
        <v>74</v>
      </c>
      <c r="BO258" t="s">
        <v>74</v>
      </c>
      <c r="BP258" t="s">
        <v>74</v>
      </c>
      <c r="BQ258" t="s">
        <v>74</v>
      </c>
      <c r="BR258" t="s">
        <v>103</v>
      </c>
      <c r="BS258" t="s">
        <v>5472</v>
      </c>
      <c r="BT258" t="str">
        <f>HYPERLINK("https%3A%2F%2Fwww.webofscience.com%2Fwos%2Fwoscc%2Ffull-record%2FWOS:000859344500002","View Full Record in Web of Science")</f>
        <v>View Full Record in Web of Science</v>
      </c>
    </row>
    <row r="259" spans="1:72" x14ac:dyDescent="0.15">
      <c r="A259" t="s">
        <v>72</v>
      </c>
      <c r="B259" t="s">
        <v>5473</v>
      </c>
      <c r="C259" t="s">
        <v>74</v>
      </c>
      <c r="D259" t="s">
        <v>74</v>
      </c>
      <c r="E259" t="s">
        <v>74</v>
      </c>
      <c r="F259" t="s">
        <v>5474</v>
      </c>
      <c r="G259" t="s">
        <v>74</v>
      </c>
      <c r="H259" t="s">
        <v>74</v>
      </c>
      <c r="I259" t="s">
        <v>5475</v>
      </c>
      <c r="J259" t="s">
        <v>247</v>
      </c>
      <c r="K259" t="s">
        <v>74</v>
      </c>
      <c r="L259" t="s">
        <v>74</v>
      </c>
      <c r="M259" t="s">
        <v>78</v>
      </c>
      <c r="N259" t="s">
        <v>79</v>
      </c>
      <c r="O259" t="s">
        <v>74</v>
      </c>
      <c r="P259" t="s">
        <v>74</v>
      </c>
      <c r="Q259" t="s">
        <v>74</v>
      </c>
      <c r="R259" t="s">
        <v>74</v>
      </c>
      <c r="S259" t="s">
        <v>74</v>
      </c>
      <c r="T259" t="s">
        <v>5476</v>
      </c>
      <c r="U259" t="s">
        <v>5477</v>
      </c>
      <c r="V259" t="s">
        <v>5478</v>
      </c>
      <c r="W259" t="s">
        <v>5479</v>
      </c>
      <c r="X259" t="s">
        <v>5480</v>
      </c>
      <c r="Y259" t="s">
        <v>5481</v>
      </c>
      <c r="Z259" t="s">
        <v>5482</v>
      </c>
      <c r="AA259" t="s">
        <v>74</v>
      </c>
      <c r="AB259" t="s">
        <v>5483</v>
      </c>
      <c r="AC259" t="s">
        <v>5484</v>
      </c>
      <c r="AD259" t="s">
        <v>5485</v>
      </c>
      <c r="AE259" t="s">
        <v>5486</v>
      </c>
      <c r="AF259" t="s">
        <v>74</v>
      </c>
      <c r="AG259">
        <v>76</v>
      </c>
      <c r="AH259">
        <v>9</v>
      </c>
      <c r="AI259">
        <v>9</v>
      </c>
      <c r="AJ259">
        <v>6</v>
      </c>
      <c r="AK259">
        <v>13</v>
      </c>
      <c r="AL259" t="s">
        <v>121</v>
      </c>
      <c r="AM259" t="s">
        <v>122</v>
      </c>
      <c r="AN259" t="s">
        <v>123</v>
      </c>
      <c r="AO259" t="s">
        <v>74</v>
      </c>
      <c r="AP259" t="s">
        <v>258</v>
      </c>
      <c r="AQ259" t="s">
        <v>74</v>
      </c>
      <c r="AR259" t="s">
        <v>259</v>
      </c>
      <c r="AS259" t="s">
        <v>260</v>
      </c>
      <c r="AT259" t="s">
        <v>5426</v>
      </c>
      <c r="AU259">
        <v>2022</v>
      </c>
      <c r="AV259">
        <v>9</v>
      </c>
      <c r="AW259" t="s">
        <v>74</v>
      </c>
      <c r="AX259" t="s">
        <v>74</v>
      </c>
      <c r="AY259" t="s">
        <v>74</v>
      </c>
      <c r="AZ259" t="s">
        <v>74</v>
      </c>
      <c r="BA259" t="s">
        <v>74</v>
      </c>
      <c r="BB259" t="s">
        <v>74</v>
      </c>
      <c r="BC259" t="s">
        <v>74</v>
      </c>
      <c r="BD259">
        <v>917985</v>
      </c>
      <c r="BE259" t="s">
        <v>5487</v>
      </c>
      <c r="BF259" t="str">
        <f>HYPERLINK("http://dx.doi.org/10.3389/fmars.2022.917985","http://dx.doi.org/10.3389/fmars.2022.917985")</f>
        <v>http://dx.doi.org/10.3389/fmars.2022.917985</v>
      </c>
      <c r="BG259" t="s">
        <v>74</v>
      </c>
      <c r="BH259" t="s">
        <v>74</v>
      </c>
      <c r="BI259">
        <v>11</v>
      </c>
      <c r="BJ259" t="s">
        <v>263</v>
      </c>
      <c r="BK259" t="s">
        <v>100</v>
      </c>
      <c r="BL259" t="s">
        <v>264</v>
      </c>
      <c r="BM259" t="s">
        <v>5488</v>
      </c>
      <c r="BN259" t="s">
        <v>74</v>
      </c>
      <c r="BO259" t="s">
        <v>884</v>
      </c>
      <c r="BP259" t="s">
        <v>74</v>
      </c>
      <c r="BQ259" t="s">
        <v>74</v>
      </c>
      <c r="BR259" t="s">
        <v>103</v>
      </c>
      <c r="BS259" t="s">
        <v>5489</v>
      </c>
      <c r="BT259" t="str">
        <f>HYPERLINK("https%3A%2F%2Fwww.webofscience.com%2Fwos%2Fwoscc%2Ffull-record%2FWOS:000855931000001","View Full Record in Web of Science")</f>
        <v>View Full Record in Web of Science</v>
      </c>
    </row>
    <row r="260" spans="1:72" x14ac:dyDescent="0.15">
      <c r="A260" t="s">
        <v>72</v>
      </c>
      <c r="B260" t="s">
        <v>5490</v>
      </c>
      <c r="C260" t="s">
        <v>74</v>
      </c>
      <c r="D260" t="s">
        <v>74</v>
      </c>
      <c r="E260" t="s">
        <v>74</v>
      </c>
      <c r="F260" t="s">
        <v>5491</v>
      </c>
      <c r="G260" t="s">
        <v>74</v>
      </c>
      <c r="H260" t="s">
        <v>74</v>
      </c>
      <c r="I260" t="s">
        <v>5492</v>
      </c>
      <c r="J260" t="s">
        <v>5493</v>
      </c>
      <c r="K260" t="s">
        <v>74</v>
      </c>
      <c r="L260" t="s">
        <v>74</v>
      </c>
      <c r="M260" t="s">
        <v>78</v>
      </c>
      <c r="N260" t="s">
        <v>79</v>
      </c>
      <c r="O260" t="s">
        <v>74</v>
      </c>
      <c r="P260" t="s">
        <v>74</v>
      </c>
      <c r="Q260" t="s">
        <v>74</v>
      </c>
      <c r="R260" t="s">
        <v>74</v>
      </c>
      <c r="S260" t="s">
        <v>74</v>
      </c>
      <c r="T260" t="s">
        <v>5494</v>
      </c>
      <c r="U260" t="s">
        <v>5495</v>
      </c>
      <c r="V260" t="s">
        <v>5496</v>
      </c>
      <c r="W260" t="s">
        <v>5497</v>
      </c>
      <c r="X260" t="s">
        <v>5498</v>
      </c>
      <c r="Y260" t="s">
        <v>5499</v>
      </c>
      <c r="Z260" t="s">
        <v>5500</v>
      </c>
      <c r="AA260" t="s">
        <v>5501</v>
      </c>
      <c r="AB260" t="s">
        <v>5502</v>
      </c>
      <c r="AC260" t="s">
        <v>5503</v>
      </c>
      <c r="AD260" t="s">
        <v>5504</v>
      </c>
      <c r="AE260" t="s">
        <v>5505</v>
      </c>
      <c r="AF260" t="s">
        <v>74</v>
      </c>
      <c r="AG260">
        <v>61</v>
      </c>
      <c r="AH260">
        <v>1</v>
      </c>
      <c r="AI260">
        <v>1</v>
      </c>
      <c r="AJ260">
        <v>0</v>
      </c>
      <c r="AK260">
        <v>4</v>
      </c>
      <c r="AL260" t="s">
        <v>5506</v>
      </c>
      <c r="AM260" t="s">
        <v>5507</v>
      </c>
      <c r="AN260" t="s">
        <v>5508</v>
      </c>
      <c r="AO260" t="s">
        <v>5509</v>
      </c>
      <c r="AP260" t="s">
        <v>5510</v>
      </c>
      <c r="AQ260" t="s">
        <v>74</v>
      </c>
      <c r="AR260" t="s">
        <v>5493</v>
      </c>
      <c r="AS260" t="s">
        <v>5511</v>
      </c>
      <c r="AT260" t="s">
        <v>5426</v>
      </c>
      <c r="AU260">
        <v>2022</v>
      </c>
      <c r="AV260">
        <v>44</v>
      </c>
      <c r="AW260">
        <v>15</v>
      </c>
      <c r="AX260" t="s">
        <v>74</v>
      </c>
      <c r="AY260" t="s">
        <v>74</v>
      </c>
      <c r="AZ260" t="s">
        <v>74</v>
      </c>
      <c r="BA260" t="s">
        <v>74</v>
      </c>
      <c r="BB260">
        <v>423</v>
      </c>
      <c r="BC260">
        <v>433</v>
      </c>
      <c r="BD260" t="s">
        <v>74</v>
      </c>
      <c r="BE260" t="s">
        <v>5512</v>
      </c>
      <c r="BF260" t="str">
        <f>HYPERLINK("http://dx.doi.org/10.5252/zoosystema2022v44a15","http://dx.doi.org/10.5252/zoosystema2022v44a15")</f>
        <v>http://dx.doi.org/10.5252/zoosystema2022v44a15</v>
      </c>
      <c r="BG260" t="s">
        <v>74</v>
      </c>
      <c r="BH260" t="s">
        <v>74</v>
      </c>
      <c r="BI260">
        <v>11</v>
      </c>
      <c r="BJ260" t="s">
        <v>2211</v>
      </c>
      <c r="BK260" t="s">
        <v>100</v>
      </c>
      <c r="BL260" t="s">
        <v>2211</v>
      </c>
      <c r="BM260" t="s">
        <v>5513</v>
      </c>
      <c r="BN260" t="s">
        <v>74</v>
      </c>
      <c r="BO260" t="s">
        <v>3327</v>
      </c>
      <c r="BP260" t="s">
        <v>74</v>
      </c>
      <c r="BQ260" t="s">
        <v>74</v>
      </c>
      <c r="BR260" t="s">
        <v>103</v>
      </c>
      <c r="BS260" t="s">
        <v>5514</v>
      </c>
      <c r="BT260" t="str">
        <f>HYPERLINK("https%3A%2F%2Fwww.webofscience.com%2Fwos%2Fwoscc%2Ffull-record%2FWOS:000855562800001","View Full Record in Web of Science")</f>
        <v>View Full Record in Web of Science</v>
      </c>
    </row>
    <row r="261" spans="1:72" x14ac:dyDescent="0.15">
      <c r="A261" t="s">
        <v>72</v>
      </c>
      <c r="B261" t="s">
        <v>5515</v>
      </c>
      <c r="C261" t="s">
        <v>74</v>
      </c>
      <c r="D261" t="s">
        <v>74</v>
      </c>
      <c r="E261" t="s">
        <v>74</v>
      </c>
      <c r="F261" t="s">
        <v>5516</v>
      </c>
      <c r="G261" t="s">
        <v>74</v>
      </c>
      <c r="H261" t="s">
        <v>74</v>
      </c>
      <c r="I261" t="s">
        <v>5517</v>
      </c>
      <c r="J261" t="s">
        <v>5518</v>
      </c>
      <c r="K261" t="s">
        <v>74</v>
      </c>
      <c r="L261" t="s">
        <v>74</v>
      </c>
      <c r="M261" t="s">
        <v>78</v>
      </c>
      <c r="N261" t="s">
        <v>79</v>
      </c>
      <c r="O261" t="s">
        <v>74</v>
      </c>
      <c r="P261" t="s">
        <v>74</v>
      </c>
      <c r="Q261" t="s">
        <v>74</v>
      </c>
      <c r="R261" t="s">
        <v>74</v>
      </c>
      <c r="S261" t="s">
        <v>74</v>
      </c>
      <c r="T261" t="s">
        <v>74</v>
      </c>
      <c r="U261" t="s">
        <v>5519</v>
      </c>
      <c r="V261" t="s">
        <v>5520</v>
      </c>
      <c r="W261" t="s">
        <v>5521</v>
      </c>
      <c r="X261" t="s">
        <v>5522</v>
      </c>
      <c r="Y261" t="s">
        <v>5523</v>
      </c>
      <c r="Z261" t="s">
        <v>5524</v>
      </c>
      <c r="AA261" t="s">
        <v>5525</v>
      </c>
      <c r="AB261" t="s">
        <v>5526</v>
      </c>
      <c r="AC261" t="s">
        <v>5527</v>
      </c>
      <c r="AD261" t="s">
        <v>5528</v>
      </c>
      <c r="AE261" t="s">
        <v>5529</v>
      </c>
      <c r="AF261" t="s">
        <v>74</v>
      </c>
      <c r="AG261">
        <v>35</v>
      </c>
      <c r="AH261">
        <v>5</v>
      </c>
      <c r="AI261">
        <v>5</v>
      </c>
      <c r="AJ261">
        <v>2</v>
      </c>
      <c r="AK261">
        <v>25</v>
      </c>
      <c r="AL261" t="s">
        <v>231</v>
      </c>
      <c r="AM261" t="s">
        <v>232</v>
      </c>
      <c r="AN261" t="s">
        <v>233</v>
      </c>
      <c r="AO261" t="s">
        <v>5530</v>
      </c>
      <c r="AP261" t="s">
        <v>5531</v>
      </c>
      <c r="AQ261" t="s">
        <v>74</v>
      </c>
      <c r="AR261" t="s">
        <v>5532</v>
      </c>
      <c r="AS261" t="s">
        <v>5533</v>
      </c>
      <c r="AT261" t="s">
        <v>325</v>
      </c>
      <c r="AU261">
        <v>2022</v>
      </c>
      <c r="AV261">
        <v>20</v>
      </c>
      <c r="AW261">
        <v>10</v>
      </c>
      <c r="AX261" t="s">
        <v>74</v>
      </c>
      <c r="AY261" t="s">
        <v>74</v>
      </c>
      <c r="AZ261" t="s">
        <v>74</v>
      </c>
      <c r="BA261" t="s">
        <v>74</v>
      </c>
      <c r="BB261">
        <v>550</v>
      </c>
      <c r="BC261">
        <v>557</v>
      </c>
      <c r="BD261" t="s">
        <v>74</v>
      </c>
      <c r="BE261" t="s">
        <v>5534</v>
      </c>
      <c r="BF261" t="str">
        <f>HYPERLINK("http://dx.doi.org/10.1002/fee.2560","http://dx.doi.org/10.1002/fee.2560")</f>
        <v>http://dx.doi.org/10.1002/fee.2560</v>
      </c>
      <c r="BG261" t="s">
        <v>74</v>
      </c>
      <c r="BH261" t="s">
        <v>2143</v>
      </c>
      <c r="BI261">
        <v>8</v>
      </c>
      <c r="BJ261" t="s">
        <v>2442</v>
      </c>
      <c r="BK261" t="s">
        <v>100</v>
      </c>
      <c r="BL261" t="s">
        <v>2041</v>
      </c>
      <c r="BM261" t="s">
        <v>5535</v>
      </c>
      <c r="BN261" t="s">
        <v>74</v>
      </c>
      <c r="BO261" t="s">
        <v>5536</v>
      </c>
      <c r="BP261" t="s">
        <v>74</v>
      </c>
      <c r="BQ261" t="s">
        <v>74</v>
      </c>
      <c r="BR261" t="s">
        <v>103</v>
      </c>
      <c r="BS261" t="s">
        <v>5537</v>
      </c>
      <c r="BT261" t="str">
        <f>HYPERLINK("https%3A%2F%2Fwww.webofscience.com%2Fwos%2Fwoscc%2Ffull-record%2FWOS:000850511700001","View Full Record in Web of Science")</f>
        <v>View Full Record in Web of Science</v>
      </c>
    </row>
    <row r="262" spans="1:72" x14ac:dyDescent="0.15">
      <c r="A262" t="s">
        <v>72</v>
      </c>
      <c r="B262" t="s">
        <v>5538</v>
      </c>
      <c r="C262" t="s">
        <v>74</v>
      </c>
      <c r="D262" t="s">
        <v>74</v>
      </c>
      <c r="E262" t="s">
        <v>74</v>
      </c>
      <c r="F262" t="s">
        <v>5539</v>
      </c>
      <c r="G262" t="s">
        <v>74</v>
      </c>
      <c r="H262" t="s">
        <v>74</v>
      </c>
      <c r="I262" t="s">
        <v>5540</v>
      </c>
      <c r="J262" t="s">
        <v>4627</v>
      </c>
      <c r="K262" t="s">
        <v>74</v>
      </c>
      <c r="L262" t="s">
        <v>74</v>
      </c>
      <c r="M262" t="s">
        <v>78</v>
      </c>
      <c r="N262" t="s">
        <v>79</v>
      </c>
      <c r="O262" t="s">
        <v>74</v>
      </c>
      <c r="P262" t="s">
        <v>74</v>
      </c>
      <c r="Q262" t="s">
        <v>74</v>
      </c>
      <c r="R262" t="s">
        <v>74</v>
      </c>
      <c r="S262" t="s">
        <v>74</v>
      </c>
      <c r="T262" t="s">
        <v>74</v>
      </c>
      <c r="U262" t="s">
        <v>5541</v>
      </c>
      <c r="V262" t="s">
        <v>5542</v>
      </c>
      <c r="W262" t="s">
        <v>5543</v>
      </c>
      <c r="X262" t="s">
        <v>5544</v>
      </c>
      <c r="Y262" t="s">
        <v>5545</v>
      </c>
      <c r="Z262" t="s">
        <v>5546</v>
      </c>
      <c r="AA262" t="s">
        <v>74</v>
      </c>
      <c r="AB262" t="s">
        <v>5547</v>
      </c>
      <c r="AC262" t="s">
        <v>5548</v>
      </c>
      <c r="AD262" t="s">
        <v>5549</v>
      </c>
      <c r="AE262" t="s">
        <v>5550</v>
      </c>
      <c r="AF262" t="s">
        <v>74</v>
      </c>
      <c r="AG262">
        <v>78</v>
      </c>
      <c r="AH262">
        <v>1</v>
      </c>
      <c r="AI262">
        <v>1</v>
      </c>
      <c r="AJ262">
        <v>2</v>
      </c>
      <c r="AK262">
        <v>9</v>
      </c>
      <c r="AL262" t="s">
        <v>2460</v>
      </c>
      <c r="AM262" t="s">
        <v>2461</v>
      </c>
      <c r="AN262" t="s">
        <v>2462</v>
      </c>
      <c r="AO262" t="s">
        <v>4638</v>
      </c>
      <c r="AP262" t="s">
        <v>4639</v>
      </c>
      <c r="AQ262" t="s">
        <v>74</v>
      </c>
      <c r="AR262" t="s">
        <v>4640</v>
      </c>
      <c r="AS262" t="s">
        <v>4641</v>
      </c>
      <c r="AT262" t="s">
        <v>5426</v>
      </c>
      <c r="AU262">
        <v>2022</v>
      </c>
      <c r="AV262">
        <v>18</v>
      </c>
      <c r="AW262">
        <v>9</v>
      </c>
      <c r="AX262" t="s">
        <v>74</v>
      </c>
      <c r="AY262" t="s">
        <v>74</v>
      </c>
      <c r="AZ262" t="s">
        <v>74</v>
      </c>
      <c r="BA262" t="s">
        <v>74</v>
      </c>
      <c r="BB262">
        <v>2063</v>
      </c>
      <c r="BC262">
        <v>2075</v>
      </c>
      <c r="BD262" t="s">
        <v>74</v>
      </c>
      <c r="BE262" t="s">
        <v>5551</v>
      </c>
      <c r="BF262" t="str">
        <f>HYPERLINK("http://dx.doi.org/10.5194/cp-18-2063-2022","http://dx.doi.org/10.5194/cp-18-2063-2022")</f>
        <v>http://dx.doi.org/10.5194/cp-18-2063-2022</v>
      </c>
      <c r="BG262" t="s">
        <v>74</v>
      </c>
      <c r="BH262" t="s">
        <v>74</v>
      </c>
      <c r="BI262">
        <v>13</v>
      </c>
      <c r="BJ262" t="s">
        <v>3373</v>
      </c>
      <c r="BK262" t="s">
        <v>100</v>
      </c>
      <c r="BL262" t="s">
        <v>3374</v>
      </c>
      <c r="BM262" t="s">
        <v>5552</v>
      </c>
      <c r="BN262" t="s">
        <v>74</v>
      </c>
      <c r="BO262" t="s">
        <v>3262</v>
      </c>
      <c r="BP262" t="s">
        <v>74</v>
      </c>
      <c r="BQ262" t="s">
        <v>74</v>
      </c>
      <c r="BR262" t="s">
        <v>103</v>
      </c>
      <c r="BS262" t="s">
        <v>5553</v>
      </c>
      <c r="BT262" t="str">
        <f>HYPERLINK("https%3A%2F%2Fwww.webofscience.com%2Fwos%2Fwoscc%2Ffull-record%2FWOS:000850247300001","View Full Record in Web of Science")</f>
        <v>View Full Record in Web of Science</v>
      </c>
    </row>
    <row r="263" spans="1:72" x14ac:dyDescent="0.15">
      <c r="A263" t="s">
        <v>72</v>
      </c>
      <c r="B263" t="s">
        <v>5554</v>
      </c>
      <c r="C263" t="s">
        <v>74</v>
      </c>
      <c r="D263" t="s">
        <v>74</v>
      </c>
      <c r="E263" t="s">
        <v>74</v>
      </c>
      <c r="F263" t="s">
        <v>5555</v>
      </c>
      <c r="G263" t="s">
        <v>74</v>
      </c>
      <c r="H263" t="s">
        <v>74</v>
      </c>
      <c r="I263" t="s">
        <v>5556</v>
      </c>
      <c r="J263" t="s">
        <v>5557</v>
      </c>
      <c r="K263" t="s">
        <v>74</v>
      </c>
      <c r="L263" t="s">
        <v>74</v>
      </c>
      <c r="M263" t="s">
        <v>78</v>
      </c>
      <c r="N263" t="s">
        <v>79</v>
      </c>
      <c r="O263" t="s">
        <v>74</v>
      </c>
      <c r="P263" t="s">
        <v>74</v>
      </c>
      <c r="Q263" t="s">
        <v>74</v>
      </c>
      <c r="R263" t="s">
        <v>74</v>
      </c>
      <c r="S263" t="s">
        <v>74</v>
      </c>
      <c r="T263" t="s">
        <v>5558</v>
      </c>
      <c r="U263" t="s">
        <v>5559</v>
      </c>
      <c r="V263" t="s">
        <v>5560</v>
      </c>
      <c r="W263" t="s">
        <v>5561</v>
      </c>
      <c r="X263" t="s">
        <v>5562</v>
      </c>
      <c r="Y263" t="s">
        <v>5563</v>
      </c>
      <c r="Z263" t="s">
        <v>5564</v>
      </c>
      <c r="AA263" t="s">
        <v>5565</v>
      </c>
      <c r="AB263" t="s">
        <v>5566</v>
      </c>
      <c r="AC263" t="s">
        <v>5567</v>
      </c>
      <c r="AD263" t="s">
        <v>5568</v>
      </c>
      <c r="AE263" t="s">
        <v>5569</v>
      </c>
      <c r="AF263" t="s">
        <v>74</v>
      </c>
      <c r="AG263">
        <v>18</v>
      </c>
      <c r="AH263">
        <v>1</v>
      </c>
      <c r="AI263">
        <v>1</v>
      </c>
      <c r="AJ263">
        <v>1</v>
      </c>
      <c r="AK263">
        <v>6</v>
      </c>
      <c r="AL263" t="s">
        <v>5570</v>
      </c>
      <c r="AM263" t="s">
        <v>5571</v>
      </c>
      <c r="AN263" t="s">
        <v>5572</v>
      </c>
      <c r="AO263" t="s">
        <v>5573</v>
      </c>
      <c r="AP263" t="s">
        <v>5574</v>
      </c>
      <c r="AQ263" t="s">
        <v>74</v>
      </c>
      <c r="AR263" t="s">
        <v>5575</v>
      </c>
      <c r="AS263" t="s">
        <v>5576</v>
      </c>
      <c r="AT263" t="s">
        <v>428</v>
      </c>
      <c r="AU263">
        <v>2022</v>
      </c>
      <c r="AV263">
        <v>19</v>
      </c>
      <c r="AW263">
        <v>10</v>
      </c>
      <c r="AX263" t="s">
        <v>74</v>
      </c>
      <c r="AY263" t="s">
        <v>74</v>
      </c>
      <c r="AZ263" t="s">
        <v>74</v>
      </c>
      <c r="BA263" t="s">
        <v>74</v>
      </c>
      <c r="BB263" t="s">
        <v>74</v>
      </c>
      <c r="BC263" t="s">
        <v>74</v>
      </c>
      <c r="BD263" t="s">
        <v>5577</v>
      </c>
      <c r="BE263" t="s">
        <v>5578</v>
      </c>
      <c r="BF263" t="str">
        <f>HYPERLINK("http://dx.doi.org/10.1002/cbdv.202200374","http://dx.doi.org/10.1002/cbdv.202200374")</f>
        <v>http://dx.doi.org/10.1002/cbdv.202200374</v>
      </c>
      <c r="BG263" t="s">
        <v>74</v>
      </c>
      <c r="BH263" t="s">
        <v>2143</v>
      </c>
      <c r="BI263">
        <v>7</v>
      </c>
      <c r="BJ263" t="s">
        <v>1514</v>
      </c>
      <c r="BK263" t="s">
        <v>100</v>
      </c>
      <c r="BL263" t="s">
        <v>1515</v>
      </c>
      <c r="BM263" t="s">
        <v>5579</v>
      </c>
      <c r="BN263">
        <v>35975750</v>
      </c>
      <c r="BO263" t="s">
        <v>74</v>
      </c>
      <c r="BP263" t="s">
        <v>74</v>
      </c>
      <c r="BQ263" t="s">
        <v>74</v>
      </c>
      <c r="BR263" t="s">
        <v>103</v>
      </c>
      <c r="BS263" t="s">
        <v>5580</v>
      </c>
      <c r="BT263" t="str">
        <f>HYPERLINK("https%3A%2F%2Fwww.webofscience.com%2Fwos%2Fwoscc%2Ffull-record%2FWOS:000850305700001","View Full Record in Web of Science")</f>
        <v>View Full Record in Web of Science</v>
      </c>
    </row>
    <row r="264" spans="1:72" x14ac:dyDescent="0.15">
      <c r="A264" t="s">
        <v>72</v>
      </c>
      <c r="B264" t="s">
        <v>5581</v>
      </c>
      <c r="C264" t="s">
        <v>74</v>
      </c>
      <c r="D264" t="s">
        <v>74</v>
      </c>
      <c r="E264" t="s">
        <v>74</v>
      </c>
      <c r="F264" t="s">
        <v>5582</v>
      </c>
      <c r="G264" t="s">
        <v>74</v>
      </c>
      <c r="H264" t="s">
        <v>74</v>
      </c>
      <c r="I264" t="s">
        <v>5583</v>
      </c>
      <c r="J264" t="s">
        <v>5584</v>
      </c>
      <c r="K264" t="s">
        <v>74</v>
      </c>
      <c r="L264" t="s">
        <v>74</v>
      </c>
      <c r="M264" t="s">
        <v>78</v>
      </c>
      <c r="N264" t="s">
        <v>79</v>
      </c>
      <c r="O264" t="s">
        <v>74</v>
      </c>
      <c r="P264" t="s">
        <v>74</v>
      </c>
      <c r="Q264" t="s">
        <v>74</v>
      </c>
      <c r="R264" t="s">
        <v>74</v>
      </c>
      <c r="S264" t="s">
        <v>74</v>
      </c>
      <c r="T264" t="s">
        <v>5585</v>
      </c>
      <c r="U264" t="s">
        <v>5586</v>
      </c>
      <c r="V264" t="s">
        <v>5587</v>
      </c>
      <c r="W264" t="s">
        <v>5588</v>
      </c>
      <c r="X264" t="s">
        <v>5589</v>
      </c>
      <c r="Y264" t="s">
        <v>5590</v>
      </c>
      <c r="Z264" t="s">
        <v>5591</v>
      </c>
      <c r="AA264" t="s">
        <v>5592</v>
      </c>
      <c r="AB264" t="s">
        <v>5593</v>
      </c>
      <c r="AC264" t="s">
        <v>5594</v>
      </c>
      <c r="AD264" t="s">
        <v>5595</v>
      </c>
      <c r="AE264" t="s">
        <v>5596</v>
      </c>
      <c r="AF264" t="s">
        <v>74</v>
      </c>
      <c r="AG264">
        <v>76</v>
      </c>
      <c r="AH264">
        <v>2</v>
      </c>
      <c r="AI264">
        <v>3</v>
      </c>
      <c r="AJ264">
        <v>1</v>
      </c>
      <c r="AK264">
        <v>10</v>
      </c>
      <c r="AL264" t="s">
        <v>501</v>
      </c>
      <c r="AM264" t="s">
        <v>502</v>
      </c>
      <c r="AN264" t="s">
        <v>503</v>
      </c>
      <c r="AO264" t="s">
        <v>5597</v>
      </c>
      <c r="AP264" t="s">
        <v>5598</v>
      </c>
      <c r="AQ264" t="s">
        <v>74</v>
      </c>
      <c r="AR264" t="s">
        <v>5599</v>
      </c>
      <c r="AS264" t="s">
        <v>5600</v>
      </c>
      <c r="AT264" t="s">
        <v>428</v>
      </c>
      <c r="AU264">
        <v>2022</v>
      </c>
      <c r="AV264">
        <v>143</v>
      </c>
      <c r="AW264" t="s">
        <v>74</v>
      </c>
      <c r="AX264" t="s">
        <v>74</v>
      </c>
      <c r="AY264" t="s">
        <v>74</v>
      </c>
      <c r="AZ264" t="s">
        <v>74</v>
      </c>
      <c r="BA264" t="s">
        <v>74</v>
      </c>
      <c r="BB264" t="s">
        <v>74</v>
      </c>
      <c r="BC264" t="s">
        <v>74</v>
      </c>
      <c r="BD264">
        <v>109344</v>
      </c>
      <c r="BE264" t="s">
        <v>5601</v>
      </c>
      <c r="BF264" t="str">
        <f>HYPERLINK("http://dx.doi.org/10.1016/j.ecolind.2022.109344","http://dx.doi.org/10.1016/j.ecolind.2022.109344")</f>
        <v>http://dx.doi.org/10.1016/j.ecolind.2022.109344</v>
      </c>
      <c r="BG264" t="s">
        <v>74</v>
      </c>
      <c r="BH264" t="s">
        <v>2143</v>
      </c>
      <c r="BI264">
        <v>11</v>
      </c>
      <c r="BJ264" t="s">
        <v>5602</v>
      </c>
      <c r="BK264" t="s">
        <v>100</v>
      </c>
      <c r="BL264" t="s">
        <v>1170</v>
      </c>
      <c r="BM264" t="s">
        <v>5603</v>
      </c>
      <c r="BN264" t="s">
        <v>74</v>
      </c>
      <c r="BO264" t="s">
        <v>1013</v>
      </c>
      <c r="BP264" t="s">
        <v>74</v>
      </c>
      <c r="BQ264" t="s">
        <v>74</v>
      </c>
      <c r="BR264" t="s">
        <v>103</v>
      </c>
      <c r="BS264" t="s">
        <v>5604</v>
      </c>
      <c r="BT264" t="str">
        <f>HYPERLINK("https%3A%2F%2Fwww.webofscience.com%2Fwos%2Fwoscc%2Ffull-record%2FWOS:000862267300003","View Full Record in Web of Science")</f>
        <v>View Full Record in Web of Science</v>
      </c>
    </row>
    <row r="265" spans="1:72" x14ac:dyDescent="0.15">
      <c r="A265" t="s">
        <v>72</v>
      </c>
      <c r="B265" t="s">
        <v>5605</v>
      </c>
      <c r="C265" t="s">
        <v>74</v>
      </c>
      <c r="D265" t="s">
        <v>74</v>
      </c>
      <c r="E265" t="s">
        <v>74</v>
      </c>
      <c r="F265" t="s">
        <v>5606</v>
      </c>
      <c r="G265" t="s">
        <v>74</v>
      </c>
      <c r="H265" t="s">
        <v>74</v>
      </c>
      <c r="I265" t="s">
        <v>5607</v>
      </c>
      <c r="J265" t="s">
        <v>5608</v>
      </c>
      <c r="K265" t="s">
        <v>74</v>
      </c>
      <c r="L265" t="s">
        <v>74</v>
      </c>
      <c r="M265" t="s">
        <v>78</v>
      </c>
      <c r="N265" t="s">
        <v>165</v>
      </c>
      <c r="O265" t="s">
        <v>74</v>
      </c>
      <c r="P265" t="s">
        <v>74</v>
      </c>
      <c r="Q265" t="s">
        <v>74</v>
      </c>
      <c r="R265" t="s">
        <v>74</v>
      </c>
      <c r="S265" t="s">
        <v>74</v>
      </c>
      <c r="T265" t="s">
        <v>5609</v>
      </c>
      <c r="U265" t="s">
        <v>5610</v>
      </c>
      <c r="V265" t="s">
        <v>5611</v>
      </c>
      <c r="W265" t="s">
        <v>5612</v>
      </c>
      <c r="X265" t="s">
        <v>5613</v>
      </c>
      <c r="Y265" t="s">
        <v>5614</v>
      </c>
      <c r="Z265" t="s">
        <v>5615</v>
      </c>
      <c r="AA265" t="s">
        <v>74</v>
      </c>
      <c r="AB265" t="s">
        <v>74</v>
      </c>
      <c r="AC265" t="s">
        <v>5616</v>
      </c>
      <c r="AD265" t="s">
        <v>5617</v>
      </c>
      <c r="AE265" t="s">
        <v>5618</v>
      </c>
      <c r="AF265" t="s">
        <v>74</v>
      </c>
      <c r="AG265">
        <v>91</v>
      </c>
      <c r="AH265">
        <v>11</v>
      </c>
      <c r="AI265">
        <v>11</v>
      </c>
      <c r="AJ265">
        <v>8</v>
      </c>
      <c r="AK265">
        <v>46</v>
      </c>
      <c r="AL265" t="s">
        <v>5619</v>
      </c>
      <c r="AM265" t="s">
        <v>550</v>
      </c>
      <c r="AN265" t="s">
        <v>5620</v>
      </c>
      <c r="AO265" t="s">
        <v>5621</v>
      </c>
      <c r="AP265" t="s">
        <v>5622</v>
      </c>
      <c r="AQ265" t="s">
        <v>74</v>
      </c>
      <c r="AR265" t="s">
        <v>5623</v>
      </c>
      <c r="AS265" t="s">
        <v>5624</v>
      </c>
      <c r="AT265" t="s">
        <v>325</v>
      </c>
      <c r="AU265">
        <v>2022</v>
      </c>
      <c r="AV265">
        <v>65</v>
      </c>
      <c r="AW265">
        <v>12</v>
      </c>
      <c r="AX265" t="s">
        <v>74</v>
      </c>
      <c r="AY265" t="s">
        <v>74</v>
      </c>
      <c r="AZ265" t="s">
        <v>74</v>
      </c>
      <c r="BA265" t="s">
        <v>74</v>
      </c>
      <c r="BB265">
        <v>2237</v>
      </c>
      <c r="BC265">
        <v>2247</v>
      </c>
      <c r="BD265" t="s">
        <v>74</v>
      </c>
      <c r="BE265" t="s">
        <v>5625</v>
      </c>
      <c r="BF265" t="str">
        <f>HYPERLINK("http://dx.doi.org/10.1007/s11430-022-9968-4","http://dx.doi.org/10.1007/s11430-022-9968-4")</f>
        <v>http://dx.doi.org/10.1007/s11430-022-9968-4</v>
      </c>
      <c r="BG265" t="s">
        <v>74</v>
      </c>
      <c r="BH265" t="s">
        <v>2143</v>
      </c>
      <c r="BI265">
        <v>11</v>
      </c>
      <c r="BJ265" t="s">
        <v>129</v>
      </c>
      <c r="BK265" t="s">
        <v>100</v>
      </c>
      <c r="BL265" t="s">
        <v>130</v>
      </c>
      <c r="BM265" t="s">
        <v>5626</v>
      </c>
      <c r="BN265" t="s">
        <v>74</v>
      </c>
      <c r="BO265" t="s">
        <v>74</v>
      </c>
      <c r="BP265" t="s">
        <v>74</v>
      </c>
      <c r="BQ265" t="s">
        <v>74</v>
      </c>
      <c r="BR265" t="s">
        <v>103</v>
      </c>
      <c r="BS265" t="s">
        <v>5627</v>
      </c>
      <c r="BT265" t="str">
        <f>HYPERLINK("https%3A%2F%2Fwww.webofscience.com%2Fwos%2Fwoscc%2Ffull-record%2FWOS:000852566400001","View Full Record in Web of Science")</f>
        <v>View Full Record in Web of Science</v>
      </c>
    </row>
    <row r="266" spans="1:72" x14ac:dyDescent="0.15">
      <c r="A266" t="s">
        <v>72</v>
      </c>
      <c r="B266" t="s">
        <v>5628</v>
      </c>
      <c r="C266" t="s">
        <v>74</v>
      </c>
      <c r="D266" t="s">
        <v>74</v>
      </c>
      <c r="E266" t="s">
        <v>74</v>
      </c>
      <c r="F266" t="s">
        <v>5629</v>
      </c>
      <c r="G266" t="s">
        <v>74</v>
      </c>
      <c r="H266" t="s">
        <v>74</v>
      </c>
      <c r="I266" t="s">
        <v>5630</v>
      </c>
      <c r="J266" t="s">
        <v>5631</v>
      </c>
      <c r="K266" t="s">
        <v>74</v>
      </c>
      <c r="L266" t="s">
        <v>74</v>
      </c>
      <c r="M266" t="s">
        <v>78</v>
      </c>
      <c r="N266" t="s">
        <v>79</v>
      </c>
      <c r="O266" t="s">
        <v>74</v>
      </c>
      <c r="P266" t="s">
        <v>74</v>
      </c>
      <c r="Q266" t="s">
        <v>74</v>
      </c>
      <c r="R266" t="s">
        <v>74</v>
      </c>
      <c r="S266" t="s">
        <v>74</v>
      </c>
      <c r="T266" t="s">
        <v>5632</v>
      </c>
      <c r="U266" t="s">
        <v>5633</v>
      </c>
      <c r="V266" t="s">
        <v>5634</v>
      </c>
      <c r="W266" t="s">
        <v>5635</v>
      </c>
      <c r="X266" t="s">
        <v>5636</v>
      </c>
      <c r="Y266" t="s">
        <v>5637</v>
      </c>
      <c r="Z266" t="s">
        <v>5638</v>
      </c>
      <c r="AA266" t="s">
        <v>5639</v>
      </c>
      <c r="AB266" t="s">
        <v>5640</v>
      </c>
      <c r="AC266" t="s">
        <v>5641</v>
      </c>
      <c r="AD266" t="s">
        <v>5642</v>
      </c>
      <c r="AE266" t="s">
        <v>5643</v>
      </c>
      <c r="AF266" t="s">
        <v>74</v>
      </c>
      <c r="AG266">
        <v>48</v>
      </c>
      <c r="AH266">
        <v>1</v>
      </c>
      <c r="AI266">
        <v>1</v>
      </c>
      <c r="AJ266">
        <v>1</v>
      </c>
      <c r="AK266">
        <v>4</v>
      </c>
      <c r="AL266" t="s">
        <v>5644</v>
      </c>
      <c r="AM266" t="s">
        <v>150</v>
      </c>
      <c r="AN266" t="s">
        <v>5645</v>
      </c>
      <c r="AO266" t="s">
        <v>5646</v>
      </c>
      <c r="AP266" t="s">
        <v>5647</v>
      </c>
      <c r="AQ266" t="s">
        <v>74</v>
      </c>
      <c r="AR266" t="s">
        <v>5648</v>
      </c>
      <c r="AS266" t="s">
        <v>5649</v>
      </c>
      <c r="AT266" t="s">
        <v>96</v>
      </c>
      <c r="AU266">
        <v>2022</v>
      </c>
      <c r="AV266">
        <v>65</v>
      </c>
      <c r="AW266">
        <v>5</v>
      </c>
      <c r="AX266" t="s">
        <v>74</v>
      </c>
      <c r="AY266" t="s">
        <v>74</v>
      </c>
      <c r="AZ266" t="s">
        <v>74</v>
      </c>
      <c r="BA266" t="s">
        <v>74</v>
      </c>
      <c r="BB266">
        <v>357</v>
      </c>
      <c r="BC266">
        <v>370</v>
      </c>
      <c r="BD266" t="s">
        <v>74</v>
      </c>
      <c r="BE266" t="s">
        <v>5650</v>
      </c>
      <c r="BF266" t="str">
        <f>HYPERLINK("http://dx.doi.org/10.1515/bot-2022-0031","http://dx.doi.org/10.1515/bot-2022-0031")</f>
        <v>http://dx.doi.org/10.1515/bot-2022-0031</v>
      </c>
      <c r="BG266" t="s">
        <v>74</v>
      </c>
      <c r="BH266" t="s">
        <v>2143</v>
      </c>
      <c r="BI266">
        <v>14</v>
      </c>
      <c r="BJ266" t="s">
        <v>5651</v>
      </c>
      <c r="BK266" t="s">
        <v>100</v>
      </c>
      <c r="BL266" t="s">
        <v>5651</v>
      </c>
      <c r="BM266" t="s">
        <v>5652</v>
      </c>
      <c r="BN266" t="s">
        <v>74</v>
      </c>
      <c r="BO266" t="s">
        <v>74</v>
      </c>
      <c r="BP266" t="s">
        <v>74</v>
      </c>
      <c r="BQ266" t="s">
        <v>74</v>
      </c>
      <c r="BR266" t="s">
        <v>103</v>
      </c>
      <c r="BS266" t="s">
        <v>5653</v>
      </c>
      <c r="BT266" t="str">
        <f>HYPERLINK("https%3A%2F%2Fwww.webofscience.com%2Fwos%2Fwoscc%2Ffull-record%2FWOS:000850053900001","View Full Record in Web of Science")</f>
        <v>View Full Record in Web of Science</v>
      </c>
    </row>
    <row r="267" spans="1:72" x14ac:dyDescent="0.15">
      <c r="A267" t="s">
        <v>72</v>
      </c>
      <c r="B267" t="s">
        <v>5654</v>
      </c>
      <c r="C267" t="s">
        <v>74</v>
      </c>
      <c r="D267" t="s">
        <v>74</v>
      </c>
      <c r="E267" t="s">
        <v>74</v>
      </c>
      <c r="F267" t="s">
        <v>5655</v>
      </c>
      <c r="G267" t="s">
        <v>74</v>
      </c>
      <c r="H267" t="s">
        <v>74</v>
      </c>
      <c r="I267" t="s">
        <v>5656</v>
      </c>
      <c r="J267" t="s">
        <v>4279</v>
      </c>
      <c r="K267" t="s">
        <v>74</v>
      </c>
      <c r="L267" t="s">
        <v>74</v>
      </c>
      <c r="M267" t="s">
        <v>78</v>
      </c>
      <c r="N267" t="s">
        <v>79</v>
      </c>
      <c r="O267" t="s">
        <v>74</v>
      </c>
      <c r="P267" t="s">
        <v>74</v>
      </c>
      <c r="Q267" t="s">
        <v>74</v>
      </c>
      <c r="R267" t="s">
        <v>74</v>
      </c>
      <c r="S267" t="s">
        <v>74</v>
      </c>
      <c r="T267" t="s">
        <v>74</v>
      </c>
      <c r="U267" t="s">
        <v>5657</v>
      </c>
      <c r="V267" t="s">
        <v>5658</v>
      </c>
      <c r="W267" t="s">
        <v>5659</v>
      </c>
      <c r="X267" t="s">
        <v>5660</v>
      </c>
      <c r="Y267" t="s">
        <v>5661</v>
      </c>
      <c r="Z267" t="s">
        <v>5662</v>
      </c>
      <c r="AA267" t="s">
        <v>5663</v>
      </c>
      <c r="AB267" t="s">
        <v>5664</v>
      </c>
      <c r="AC267" t="s">
        <v>5665</v>
      </c>
      <c r="AD267" t="s">
        <v>5666</v>
      </c>
      <c r="AE267" t="s">
        <v>5667</v>
      </c>
      <c r="AF267" t="s">
        <v>74</v>
      </c>
      <c r="AG267">
        <v>38</v>
      </c>
      <c r="AH267">
        <v>17</v>
      </c>
      <c r="AI267">
        <v>17</v>
      </c>
      <c r="AJ267">
        <v>2</v>
      </c>
      <c r="AK267">
        <v>12</v>
      </c>
      <c r="AL267" t="s">
        <v>149</v>
      </c>
      <c r="AM267" t="s">
        <v>150</v>
      </c>
      <c r="AN267" t="s">
        <v>151</v>
      </c>
      <c r="AO267" t="s">
        <v>4291</v>
      </c>
      <c r="AP267" t="s">
        <v>4292</v>
      </c>
      <c r="AQ267" t="s">
        <v>74</v>
      </c>
      <c r="AR267" t="s">
        <v>4293</v>
      </c>
      <c r="AS267" t="s">
        <v>4294</v>
      </c>
      <c r="AT267" t="s">
        <v>3605</v>
      </c>
      <c r="AU267">
        <v>2022</v>
      </c>
      <c r="AV267">
        <v>15</v>
      </c>
      <c r="AW267">
        <v>9</v>
      </c>
      <c r="AX267" t="s">
        <v>74</v>
      </c>
      <c r="AY267" t="s">
        <v>74</v>
      </c>
      <c r="AZ267" t="s">
        <v>74</v>
      </c>
      <c r="BA267" t="s">
        <v>74</v>
      </c>
      <c r="BB267">
        <v>706</v>
      </c>
      <c r="BC267" t="s">
        <v>2114</v>
      </c>
      <c r="BD267" t="s">
        <v>74</v>
      </c>
      <c r="BE267" t="s">
        <v>5668</v>
      </c>
      <c r="BF267" t="str">
        <f>HYPERLINK("http://dx.doi.org/10.1038/s41561-022-01019-9","http://dx.doi.org/10.1038/s41561-022-01019-9")</f>
        <v>http://dx.doi.org/10.1038/s41561-022-01019-9</v>
      </c>
      <c r="BG267" t="s">
        <v>74</v>
      </c>
      <c r="BH267" t="s">
        <v>2143</v>
      </c>
      <c r="BI267">
        <v>10</v>
      </c>
      <c r="BJ267" t="s">
        <v>129</v>
      </c>
      <c r="BK267" t="s">
        <v>100</v>
      </c>
      <c r="BL267" t="s">
        <v>130</v>
      </c>
      <c r="BM267" t="s">
        <v>5669</v>
      </c>
      <c r="BN267" t="s">
        <v>74</v>
      </c>
      <c r="BO267" t="s">
        <v>3859</v>
      </c>
      <c r="BP267" t="s">
        <v>74</v>
      </c>
      <c r="BQ267" t="s">
        <v>74</v>
      </c>
      <c r="BR267" t="s">
        <v>103</v>
      </c>
      <c r="BS267" t="s">
        <v>5670</v>
      </c>
      <c r="BT267" t="str">
        <f>HYPERLINK("https%3A%2F%2Fwww.webofscience.com%2Fwos%2Fwoscc%2Ffull-record%2FWOS:000850019600001","View Full Record in Web of Science")</f>
        <v>View Full Record in Web of Science</v>
      </c>
    </row>
    <row r="268" spans="1:72" x14ac:dyDescent="0.15">
      <c r="A268" t="s">
        <v>72</v>
      </c>
      <c r="B268" t="s">
        <v>5671</v>
      </c>
      <c r="C268" t="s">
        <v>74</v>
      </c>
      <c r="D268" t="s">
        <v>74</v>
      </c>
      <c r="E268" t="s">
        <v>74</v>
      </c>
      <c r="F268" t="s">
        <v>5672</v>
      </c>
      <c r="G268" t="s">
        <v>74</v>
      </c>
      <c r="H268" t="s">
        <v>74</v>
      </c>
      <c r="I268" t="s">
        <v>5673</v>
      </c>
      <c r="J268" t="s">
        <v>5674</v>
      </c>
      <c r="K268" t="s">
        <v>74</v>
      </c>
      <c r="L268" t="s">
        <v>74</v>
      </c>
      <c r="M268" t="s">
        <v>78</v>
      </c>
      <c r="N268" t="s">
        <v>79</v>
      </c>
      <c r="O268" t="s">
        <v>74</v>
      </c>
      <c r="P268" t="s">
        <v>74</v>
      </c>
      <c r="Q268" t="s">
        <v>74</v>
      </c>
      <c r="R268" t="s">
        <v>74</v>
      </c>
      <c r="S268" t="s">
        <v>74</v>
      </c>
      <c r="T268" t="s">
        <v>5675</v>
      </c>
      <c r="U268" t="s">
        <v>5676</v>
      </c>
      <c r="V268" t="s">
        <v>5677</v>
      </c>
      <c r="W268" t="s">
        <v>5678</v>
      </c>
      <c r="X268" t="s">
        <v>5679</v>
      </c>
      <c r="Y268" t="s">
        <v>5680</v>
      </c>
      <c r="Z268" t="s">
        <v>5681</v>
      </c>
      <c r="AA268" t="s">
        <v>5682</v>
      </c>
      <c r="AB268" t="s">
        <v>5683</v>
      </c>
      <c r="AC268" t="s">
        <v>5684</v>
      </c>
      <c r="AD268" t="s">
        <v>5685</v>
      </c>
      <c r="AE268" t="s">
        <v>5686</v>
      </c>
      <c r="AF268" t="s">
        <v>74</v>
      </c>
      <c r="AG268">
        <v>49</v>
      </c>
      <c r="AH268">
        <v>12</v>
      </c>
      <c r="AI268">
        <v>12</v>
      </c>
      <c r="AJ268">
        <v>44</v>
      </c>
      <c r="AK268">
        <v>162</v>
      </c>
      <c r="AL268" t="s">
        <v>501</v>
      </c>
      <c r="AM268" t="s">
        <v>502</v>
      </c>
      <c r="AN268" t="s">
        <v>503</v>
      </c>
      <c r="AO268" t="s">
        <v>5687</v>
      </c>
      <c r="AP268" t="s">
        <v>5688</v>
      </c>
      <c r="AQ268" t="s">
        <v>74</v>
      </c>
      <c r="AR268" t="s">
        <v>5689</v>
      </c>
      <c r="AS268" t="s">
        <v>5690</v>
      </c>
      <c r="AT268" t="s">
        <v>5691</v>
      </c>
      <c r="AU268">
        <v>2022</v>
      </c>
      <c r="AV268">
        <v>437</v>
      </c>
      <c r="AW268" t="s">
        <v>74</v>
      </c>
      <c r="AX268" t="s">
        <v>74</v>
      </c>
      <c r="AY268" t="s">
        <v>74</v>
      </c>
      <c r="AZ268" t="s">
        <v>74</v>
      </c>
      <c r="BA268" t="s">
        <v>74</v>
      </c>
      <c r="BB268" t="s">
        <v>74</v>
      </c>
      <c r="BC268" t="s">
        <v>74</v>
      </c>
      <c r="BD268">
        <v>129264</v>
      </c>
      <c r="BE268" t="s">
        <v>5692</v>
      </c>
      <c r="BF268" t="str">
        <f>HYPERLINK("http://dx.doi.org/10.1016/j.jhazmat.2022.129264","http://dx.doi.org/10.1016/j.jhazmat.2022.129264")</f>
        <v>http://dx.doi.org/10.1016/j.jhazmat.2022.129264</v>
      </c>
      <c r="BG268" t="s">
        <v>74</v>
      </c>
      <c r="BH268" t="s">
        <v>74</v>
      </c>
      <c r="BI268">
        <v>11</v>
      </c>
      <c r="BJ268" t="s">
        <v>5693</v>
      </c>
      <c r="BK268" t="s">
        <v>100</v>
      </c>
      <c r="BL268" t="s">
        <v>5694</v>
      </c>
      <c r="BM268" t="s">
        <v>5695</v>
      </c>
      <c r="BN268">
        <v>35728322</v>
      </c>
      <c r="BO268" t="s">
        <v>74</v>
      </c>
      <c r="BP268" t="s">
        <v>74</v>
      </c>
      <c r="BQ268" t="s">
        <v>74</v>
      </c>
      <c r="BR268" t="s">
        <v>103</v>
      </c>
      <c r="BS268" t="s">
        <v>5696</v>
      </c>
      <c r="BT268" t="str">
        <f>HYPERLINK("https%3A%2F%2Fwww.webofscience.com%2Fwos%2Fwoscc%2Ffull-record%2FWOS:000815782800001","View Full Record in Web of Science")</f>
        <v>View Full Record in Web of Science</v>
      </c>
    </row>
    <row r="269" spans="1:72" x14ac:dyDescent="0.15">
      <c r="A269" t="s">
        <v>72</v>
      </c>
      <c r="B269" t="s">
        <v>5697</v>
      </c>
      <c r="C269" t="s">
        <v>74</v>
      </c>
      <c r="D269" t="s">
        <v>74</v>
      </c>
      <c r="E269" t="s">
        <v>74</v>
      </c>
      <c r="F269" t="s">
        <v>5698</v>
      </c>
      <c r="G269" t="s">
        <v>74</v>
      </c>
      <c r="H269" t="s">
        <v>74</v>
      </c>
      <c r="I269" t="s">
        <v>5699</v>
      </c>
      <c r="J269" t="s">
        <v>5700</v>
      </c>
      <c r="K269" t="s">
        <v>74</v>
      </c>
      <c r="L269" t="s">
        <v>74</v>
      </c>
      <c r="M269" t="s">
        <v>78</v>
      </c>
      <c r="N269" t="s">
        <v>79</v>
      </c>
      <c r="O269" t="s">
        <v>74</v>
      </c>
      <c r="P269" t="s">
        <v>74</v>
      </c>
      <c r="Q269" t="s">
        <v>74</v>
      </c>
      <c r="R269" t="s">
        <v>74</v>
      </c>
      <c r="S269" t="s">
        <v>74</v>
      </c>
      <c r="T269" t="s">
        <v>5701</v>
      </c>
      <c r="U269" t="s">
        <v>5702</v>
      </c>
      <c r="V269" t="s">
        <v>5703</v>
      </c>
      <c r="W269" t="s">
        <v>5704</v>
      </c>
      <c r="X269" t="s">
        <v>5705</v>
      </c>
      <c r="Y269" t="s">
        <v>5706</v>
      </c>
      <c r="Z269" t="s">
        <v>5707</v>
      </c>
      <c r="AA269" t="s">
        <v>5708</v>
      </c>
      <c r="AB269" t="s">
        <v>5709</v>
      </c>
      <c r="AC269" t="s">
        <v>74</v>
      </c>
      <c r="AD269" t="s">
        <v>74</v>
      </c>
      <c r="AE269" t="s">
        <v>74</v>
      </c>
      <c r="AF269" t="s">
        <v>74</v>
      </c>
      <c r="AG269">
        <v>65</v>
      </c>
      <c r="AH269">
        <v>0</v>
      </c>
      <c r="AI269">
        <v>0</v>
      </c>
      <c r="AJ269">
        <v>1</v>
      </c>
      <c r="AK269">
        <v>4</v>
      </c>
      <c r="AL269" t="s">
        <v>2275</v>
      </c>
      <c r="AM269" t="s">
        <v>90</v>
      </c>
      <c r="AN269" t="s">
        <v>2276</v>
      </c>
      <c r="AO269" t="s">
        <v>5710</v>
      </c>
      <c r="AP269" t="s">
        <v>5711</v>
      </c>
      <c r="AQ269" t="s">
        <v>74</v>
      </c>
      <c r="AR269" t="s">
        <v>5712</v>
      </c>
      <c r="AS269" t="s">
        <v>5713</v>
      </c>
      <c r="AT269" t="s">
        <v>3605</v>
      </c>
      <c r="AU269">
        <v>2022</v>
      </c>
      <c r="AV269">
        <v>203</v>
      </c>
      <c r="AW269" t="s">
        <v>74</v>
      </c>
      <c r="AX269" t="s">
        <v>74</v>
      </c>
      <c r="AY269" t="s">
        <v>74</v>
      </c>
      <c r="AZ269" t="s">
        <v>74</v>
      </c>
      <c r="BA269" t="s">
        <v>74</v>
      </c>
      <c r="BB269" t="s">
        <v>74</v>
      </c>
      <c r="BC269" t="s">
        <v>74</v>
      </c>
      <c r="BD269">
        <v>105150</v>
      </c>
      <c r="BE269" t="s">
        <v>5714</v>
      </c>
      <c r="BF269" t="str">
        <f>HYPERLINK("http://dx.doi.org/10.1016/j.dsr2.2022.105150","http://dx.doi.org/10.1016/j.dsr2.2022.105150")</f>
        <v>http://dx.doi.org/10.1016/j.dsr2.2022.105150</v>
      </c>
      <c r="BG269" t="s">
        <v>74</v>
      </c>
      <c r="BH269" t="s">
        <v>2143</v>
      </c>
      <c r="BI269">
        <v>10</v>
      </c>
      <c r="BJ269" t="s">
        <v>674</v>
      </c>
      <c r="BK269" t="s">
        <v>100</v>
      </c>
      <c r="BL269" t="s">
        <v>674</v>
      </c>
      <c r="BM269" t="s">
        <v>5715</v>
      </c>
      <c r="BN269" t="s">
        <v>74</v>
      </c>
      <c r="BO269" t="s">
        <v>74</v>
      </c>
      <c r="BP269" t="s">
        <v>74</v>
      </c>
      <c r="BQ269" t="s">
        <v>74</v>
      </c>
      <c r="BR269" t="s">
        <v>103</v>
      </c>
      <c r="BS269" t="s">
        <v>5716</v>
      </c>
      <c r="BT269" t="str">
        <f>HYPERLINK("https%3A%2F%2Fwww.webofscience.com%2Fwos%2Fwoscc%2Ffull-record%2FWOS:000854487600003","View Full Record in Web of Science")</f>
        <v>View Full Record in Web of Science</v>
      </c>
    </row>
    <row r="270" spans="1:72" x14ac:dyDescent="0.15">
      <c r="A270" t="s">
        <v>72</v>
      </c>
      <c r="B270" t="s">
        <v>5717</v>
      </c>
      <c r="C270" t="s">
        <v>74</v>
      </c>
      <c r="D270" t="s">
        <v>74</v>
      </c>
      <c r="E270" t="s">
        <v>74</v>
      </c>
      <c r="F270" t="s">
        <v>5718</v>
      </c>
      <c r="G270" t="s">
        <v>74</v>
      </c>
      <c r="H270" t="s">
        <v>74</v>
      </c>
      <c r="I270" t="s">
        <v>5719</v>
      </c>
      <c r="J270" t="s">
        <v>5700</v>
      </c>
      <c r="K270" t="s">
        <v>74</v>
      </c>
      <c r="L270" t="s">
        <v>74</v>
      </c>
      <c r="M270" t="s">
        <v>78</v>
      </c>
      <c r="N270" t="s">
        <v>79</v>
      </c>
      <c r="O270" t="s">
        <v>74</v>
      </c>
      <c r="P270" t="s">
        <v>74</v>
      </c>
      <c r="Q270" t="s">
        <v>74</v>
      </c>
      <c r="R270" t="s">
        <v>74</v>
      </c>
      <c r="S270" t="s">
        <v>74</v>
      </c>
      <c r="T270" t="s">
        <v>5720</v>
      </c>
      <c r="U270" t="s">
        <v>5721</v>
      </c>
      <c r="V270" t="s">
        <v>5722</v>
      </c>
      <c r="W270" t="s">
        <v>5723</v>
      </c>
      <c r="X270" t="s">
        <v>5724</v>
      </c>
      <c r="Y270" t="s">
        <v>5725</v>
      </c>
      <c r="Z270" t="s">
        <v>5726</v>
      </c>
      <c r="AA270" t="s">
        <v>74</v>
      </c>
      <c r="AB270" t="s">
        <v>5727</v>
      </c>
      <c r="AC270" t="s">
        <v>5728</v>
      </c>
      <c r="AD270" t="s">
        <v>5729</v>
      </c>
      <c r="AE270" t="s">
        <v>5730</v>
      </c>
      <c r="AF270" t="s">
        <v>74</v>
      </c>
      <c r="AG270">
        <v>61</v>
      </c>
      <c r="AH270">
        <v>0</v>
      </c>
      <c r="AI270">
        <v>0</v>
      </c>
      <c r="AJ270">
        <v>2</v>
      </c>
      <c r="AK270">
        <v>5</v>
      </c>
      <c r="AL270" t="s">
        <v>2275</v>
      </c>
      <c r="AM270" t="s">
        <v>90</v>
      </c>
      <c r="AN270" t="s">
        <v>2276</v>
      </c>
      <c r="AO270" t="s">
        <v>5710</v>
      </c>
      <c r="AP270" t="s">
        <v>5711</v>
      </c>
      <c r="AQ270" t="s">
        <v>74</v>
      </c>
      <c r="AR270" t="s">
        <v>5712</v>
      </c>
      <c r="AS270" t="s">
        <v>5713</v>
      </c>
      <c r="AT270" t="s">
        <v>3605</v>
      </c>
      <c r="AU270">
        <v>2022</v>
      </c>
      <c r="AV270">
        <v>203</v>
      </c>
      <c r="AW270" t="s">
        <v>74</v>
      </c>
      <c r="AX270" t="s">
        <v>74</v>
      </c>
      <c r="AY270" t="s">
        <v>74</v>
      </c>
      <c r="AZ270" t="s">
        <v>186</v>
      </c>
      <c r="BA270" t="s">
        <v>74</v>
      </c>
      <c r="BB270" t="s">
        <v>74</v>
      </c>
      <c r="BC270" t="s">
        <v>74</v>
      </c>
      <c r="BD270">
        <v>105152</v>
      </c>
      <c r="BE270" t="s">
        <v>5731</v>
      </c>
      <c r="BF270" t="str">
        <f>HYPERLINK("http://dx.doi.org/10.1016/j.dsr2.2022.105152","http://dx.doi.org/10.1016/j.dsr2.2022.105152")</f>
        <v>http://dx.doi.org/10.1016/j.dsr2.2022.105152</v>
      </c>
      <c r="BG270" t="s">
        <v>74</v>
      </c>
      <c r="BH270" t="s">
        <v>2143</v>
      </c>
      <c r="BI270">
        <v>8</v>
      </c>
      <c r="BJ270" t="s">
        <v>674</v>
      </c>
      <c r="BK270" t="s">
        <v>100</v>
      </c>
      <c r="BL270" t="s">
        <v>674</v>
      </c>
      <c r="BM270" t="s">
        <v>5732</v>
      </c>
      <c r="BN270" t="s">
        <v>74</v>
      </c>
      <c r="BO270" t="s">
        <v>831</v>
      </c>
      <c r="BP270" t="s">
        <v>74</v>
      </c>
      <c r="BQ270" t="s">
        <v>74</v>
      </c>
      <c r="BR270" t="s">
        <v>103</v>
      </c>
      <c r="BS270" t="s">
        <v>5733</v>
      </c>
      <c r="BT270" t="str">
        <f>HYPERLINK("https%3A%2F%2Fwww.webofscience.com%2Fwos%2Fwoscc%2Ffull-record%2FWOS:000854333600001","View Full Record in Web of Science")</f>
        <v>View Full Record in Web of Science</v>
      </c>
    </row>
    <row r="271" spans="1:72" x14ac:dyDescent="0.15">
      <c r="A271" t="s">
        <v>72</v>
      </c>
      <c r="B271" t="s">
        <v>5734</v>
      </c>
      <c r="C271" t="s">
        <v>74</v>
      </c>
      <c r="D271" t="s">
        <v>74</v>
      </c>
      <c r="E271" t="s">
        <v>74</v>
      </c>
      <c r="F271" t="s">
        <v>5735</v>
      </c>
      <c r="G271" t="s">
        <v>74</v>
      </c>
      <c r="H271" t="s">
        <v>74</v>
      </c>
      <c r="I271" t="s">
        <v>5736</v>
      </c>
      <c r="J271" t="s">
        <v>3171</v>
      </c>
      <c r="K271" t="s">
        <v>74</v>
      </c>
      <c r="L271" t="s">
        <v>74</v>
      </c>
      <c r="M271" t="s">
        <v>78</v>
      </c>
      <c r="N271" t="s">
        <v>79</v>
      </c>
      <c r="O271" t="s">
        <v>74</v>
      </c>
      <c r="P271" t="s">
        <v>74</v>
      </c>
      <c r="Q271" t="s">
        <v>74</v>
      </c>
      <c r="R271" t="s">
        <v>74</v>
      </c>
      <c r="S271" t="s">
        <v>74</v>
      </c>
      <c r="T271" t="s">
        <v>5737</v>
      </c>
      <c r="U271" t="s">
        <v>5738</v>
      </c>
      <c r="V271" t="s">
        <v>5739</v>
      </c>
      <c r="W271" t="s">
        <v>5740</v>
      </c>
      <c r="X271" t="s">
        <v>5741</v>
      </c>
      <c r="Y271" t="s">
        <v>5742</v>
      </c>
      <c r="Z271" t="s">
        <v>5743</v>
      </c>
      <c r="AA271" t="s">
        <v>5744</v>
      </c>
      <c r="AB271" t="s">
        <v>74</v>
      </c>
      <c r="AC271" t="s">
        <v>74</v>
      </c>
      <c r="AD271" t="s">
        <v>74</v>
      </c>
      <c r="AE271" t="s">
        <v>74</v>
      </c>
      <c r="AF271" t="s">
        <v>74</v>
      </c>
      <c r="AG271">
        <v>48</v>
      </c>
      <c r="AH271">
        <v>1</v>
      </c>
      <c r="AI271">
        <v>1</v>
      </c>
      <c r="AJ271">
        <v>2</v>
      </c>
      <c r="AK271">
        <v>15</v>
      </c>
      <c r="AL271" t="s">
        <v>121</v>
      </c>
      <c r="AM271" t="s">
        <v>122</v>
      </c>
      <c r="AN271" t="s">
        <v>123</v>
      </c>
      <c r="AO271" t="s">
        <v>74</v>
      </c>
      <c r="AP271" t="s">
        <v>3183</v>
      </c>
      <c r="AQ271" t="s">
        <v>74</v>
      </c>
      <c r="AR271" t="s">
        <v>3184</v>
      </c>
      <c r="AS271" t="s">
        <v>3185</v>
      </c>
      <c r="AT271" t="s">
        <v>5745</v>
      </c>
      <c r="AU271">
        <v>2022</v>
      </c>
      <c r="AV271">
        <v>13</v>
      </c>
      <c r="AW271" t="s">
        <v>74</v>
      </c>
      <c r="AX271" t="s">
        <v>74</v>
      </c>
      <c r="AY271" t="s">
        <v>74</v>
      </c>
      <c r="AZ271" t="s">
        <v>74</v>
      </c>
      <c r="BA271" t="s">
        <v>74</v>
      </c>
      <c r="BB271" t="s">
        <v>74</v>
      </c>
      <c r="BC271" t="s">
        <v>74</v>
      </c>
      <c r="BD271">
        <v>972272</v>
      </c>
      <c r="BE271" t="s">
        <v>5746</v>
      </c>
      <c r="BF271" t="str">
        <f>HYPERLINK("http://dx.doi.org/10.3389/fmicb.2022.972272","http://dx.doi.org/10.3389/fmicb.2022.972272")</f>
        <v>http://dx.doi.org/10.3389/fmicb.2022.972272</v>
      </c>
      <c r="BG271" t="s">
        <v>74</v>
      </c>
      <c r="BH271" t="s">
        <v>74</v>
      </c>
      <c r="BI271">
        <v>12</v>
      </c>
      <c r="BJ271" t="s">
        <v>214</v>
      </c>
      <c r="BK271" t="s">
        <v>100</v>
      </c>
      <c r="BL271" t="s">
        <v>214</v>
      </c>
      <c r="BM271" t="s">
        <v>5747</v>
      </c>
      <c r="BN271">
        <v>36118221</v>
      </c>
      <c r="BO271" t="s">
        <v>159</v>
      </c>
      <c r="BP271" t="s">
        <v>74</v>
      </c>
      <c r="BQ271" t="s">
        <v>74</v>
      </c>
      <c r="BR271" t="s">
        <v>103</v>
      </c>
      <c r="BS271" t="s">
        <v>5748</v>
      </c>
      <c r="BT271" t="str">
        <f>HYPERLINK("https%3A%2F%2Fwww.webofscience.com%2Fwos%2Fwoscc%2Ffull-record%2FWOS:000871635900001","View Full Record in Web of Science")</f>
        <v>View Full Record in Web of Science</v>
      </c>
    </row>
    <row r="272" spans="1:72" x14ac:dyDescent="0.15">
      <c r="A272" t="s">
        <v>72</v>
      </c>
      <c r="B272" t="s">
        <v>5749</v>
      </c>
      <c r="C272" t="s">
        <v>74</v>
      </c>
      <c r="D272" t="s">
        <v>74</v>
      </c>
      <c r="E272" t="s">
        <v>74</v>
      </c>
      <c r="F272" t="s">
        <v>5750</v>
      </c>
      <c r="G272" t="s">
        <v>74</v>
      </c>
      <c r="H272" t="s">
        <v>74</v>
      </c>
      <c r="I272" t="s">
        <v>5751</v>
      </c>
      <c r="J272" t="s">
        <v>5752</v>
      </c>
      <c r="K272" t="s">
        <v>74</v>
      </c>
      <c r="L272" t="s">
        <v>74</v>
      </c>
      <c r="M272" t="s">
        <v>78</v>
      </c>
      <c r="N272" t="s">
        <v>79</v>
      </c>
      <c r="O272" t="s">
        <v>74</v>
      </c>
      <c r="P272" t="s">
        <v>74</v>
      </c>
      <c r="Q272" t="s">
        <v>74</v>
      </c>
      <c r="R272" t="s">
        <v>74</v>
      </c>
      <c r="S272" t="s">
        <v>74</v>
      </c>
      <c r="T272" t="s">
        <v>5753</v>
      </c>
      <c r="U272" t="s">
        <v>5754</v>
      </c>
      <c r="V272" t="s">
        <v>5755</v>
      </c>
      <c r="W272" t="s">
        <v>5756</v>
      </c>
      <c r="X272" t="s">
        <v>5757</v>
      </c>
      <c r="Y272" t="s">
        <v>5758</v>
      </c>
      <c r="Z272" t="s">
        <v>5759</v>
      </c>
      <c r="AA272" t="s">
        <v>5760</v>
      </c>
      <c r="AB272" t="s">
        <v>5761</v>
      </c>
      <c r="AC272" t="s">
        <v>5762</v>
      </c>
      <c r="AD272" t="s">
        <v>5763</v>
      </c>
      <c r="AE272" t="s">
        <v>5764</v>
      </c>
      <c r="AF272" t="s">
        <v>74</v>
      </c>
      <c r="AG272">
        <v>133</v>
      </c>
      <c r="AH272">
        <v>3</v>
      </c>
      <c r="AI272">
        <v>3</v>
      </c>
      <c r="AJ272">
        <v>2</v>
      </c>
      <c r="AK272">
        <v>10</v>
      </c>
      <c r="AL272" t="s">
        <v>501</v>
      </c>
      <c r="AM272" t="s">
        <v>502</v>
      </c>
      <c r="AN272" t="s">
        <v>503</v>
      </c>
      <c r="AO272" t="s">
        <v>5765</v>
      </c>
      <c r="AP272" t="s">
        <v>74</v>
      </c>
      <c r="AQ272" t="s">
        <v>74</v>
      </c>
      <c r="AR272" t="s">
        <v>5766</v>
      </c>
      <c r="AS272" t="s">
        <v>5767</v>
      </c>
      <c r="AT272" t="s">
        <v>4180</v>
      </c>
      <c r="AU272">
        <v>2022</v>
      </c>
      <c r="AV272">
        <v>7</v>
      </c>
      <c r="AW272">
        <v>3</v>
      </c>
      <c r="AX272" t="s">
        <v>74</v>
      </c>
      <c r="AY272" t="s">
        <v>74</v>
      </c>
      <c r="AZ272" t="s">
        <v>74</v>
      </c>
      <c r="BA272" t="s">
        <v>74</v>
      </c>
      <c r="BB272">
        <v>215</v>
      </c>
      <c r="BC272">
        <v>236</v>
      </c>
      <c r="BD272" t="s">
        <v>74</v>
      </c>
      <c r="BE272" t="s">
        <v>5768</v>
      </c>
      <c r="BF272" t="str">
        <f>HYPERLINK("http://dx.doi.org/10.1016/j.sesci.2022.05.002","http://dx.doi.org/10.1016/j.sesci.2022.05.002")</f>
        <v>http://dx.doi.org/10.1016/j.sesci.2022.05.002</v>
      </c>
      <c r="BG272" t="s">
        <v>74</v>
      </c>
      <c r="BH272" t="s">
        <v>2143</v>
      </c>
      <c r="BI272">
        <v>22</v>
      </c>
      <c r="BJ272" t="s">
        <v>129</v>
      </c>
      <c r="BK272" t="s">
        <v>215</v>
      </c>
      <c r="BL272" t="s">
        <v>130</v>
      </c>
      <c r="BM272" t="s">
        <v>5769</v>
      </c>
      <c r="BN272" t="s">
        <v>74</v>
      </c>
      <c r="BO272" t="s">
        <v>266</v>
      </c>
      <c r="BP272" t="s">
        <v>74</v>
      </c>
      <c r="BQ272" t="s">
        <v>74</v>
      </c>
      <c r="BR272" t="s">
        <v>103</v>
      </c>
      <c r="BS272" t="s">
        <v>5770</v>
      </c>
      <c r="BT272" t="str">
        <f>HYPERLINK("https%3A%2F%2Fwww.webofscience.com%2Fwos%2Fwoscc%2Ffull-record%2FWOS:000863074600004","View Full Record in Web of Science")</f>
        <v>View Full Record in Web of Science</v>
      </c>
    </row>
    <row r="273" spans="1:72" x14ac:dyDescent="0.15">
      <c r="A273" t="s">
        <v>72</v>
      </c>
      <c r="B273" t="s">
        <v>5771</v>
      </c>
      <c r="C273" t="s">
        <v>74</v>
      </c>
      <c r="D273" t="s">
        <v>74</v>
      </c>
      <c r="E273" t="s">
        <v>74</v>
      </c>
      <c r="F273" t="s">
        <v>5772</v>
      </c>
      <c r="G273" t="s">
        <v>74</v>
      </c>
      <c r="H273" t="s">
        <v>74</v>
      </c>
      <c r="I273" t="s">
        <v>5773</v>
      </c>
      <c r="J273" t="s">
        <v>3747</v>
      </c>
      <c r="K273" t="s">
        <v>74</v>
      </c>
      <c r="L273" t="s">
        <v>74</v>
      </c>
      <c r="M273" t="s">
        <v>78</v>
      </c>
      <c r="N273" t="s">
        <v>165</v>
      </c>
      <c r="O273" t="s">
        <v>74</v>
      </c>
      <c r="P273" t="s">
        <v>74</v>
      </c>
      <c r="Q273" t="s">
        <v>74</v>
      </c>
      <c r="R273" t="s">
        <v>74</v>
      </c>
      <c r="S273" t="s">
        <v>74</v>
      </c>
      <c r="T273" t="s">
        <v>5774</v>
      </c>
      <c r="U273" t="s">
        <v>5775</v>
      </c>
      <c r="V273" t="s">
        <v>5776</v>
      </c>
      <c r="W273" t="s">
        <v>5777</v>
      </c>
      <c r="X273" t="s">
        <v>5778</v>
      </c>
      <c r="Y273" t="s">
        <v>5779</v>
      </c>
      <c r="Z273" t="s">
        <v>5780</v>
      </c>
      <c r="AA273" t="s">
        <v>74</v>
      </c>
      <c r="AB273" t="s">
        <v>74</v>
      </c>
      <c r="AC273" t="s">
        <v>74</v>
      </c>
      <c r="AD273" t="s">
        <v>74</v>
      </c>
      <c r="AE273" t="s">
        <v>74</v>
      </c>
      <c r="AF273" t="s">
        <v>74</v>
      </c>
      <c r="AG273">
        <v>74</v>
      </c>
      <c r="AH273">
        <v>7</v>
      </c>
      <c r="AI273">
        <v>7</v>
      </c>
      <c r="AJ273">
        <v>9</v>
      </c>
      <c r="AK273">
        <v>26</v>
      </c>
      <c r="AL273" t="s">
        <v>501</v>
      </c>
      <c r="AM273" t="s">
        <v>502</v>
      </c>
      <c r="AN273" t="s">
        <v>503</v>
      </c>
      <c r="AO273" t="s">
        <v>3759</v>
      </c>
      <c r="AP273" t="s">
        <v>3760</v>
      </c>
      <c r="AQ273" t="s">
        <v>74</v>
      </c>
      <c r="AR273" t="s">
        <v>3761</v>
      </c>
      <c r="AS273" t="s">
        <v>3762</v>
      </c>
      <c r="AT273" t="s">
        <v>5781</v>
      </c>
      <c r="AU273">
        <v>2022</v>
      </c>
      <c r="AV273">
        <v>851</v>
      </c>
      <c r="AW273" t="s">
        <v>74</v>
      </c>
      <c r="AX273">
        <v>2</v>
      </c>
      <c r="AY273" t="s">
        <v>74</v>
      </c>
      <c r="AZ273" t="s">
        <v>74</v>
      </c>
      <c r="BA273" t="s">
        <v>74</v>
      </c>
      <c r="BB273" t="s">
        <v>74</v>
      </c>
      <c r="BC273" t="s">
        <v>74</v>
      </c>
      <c r="BD273">
        <v>158275</v>
      </c>
      <c r="BE273" t="s">
        <v>5782</v>
      </c>
      <c r="BF273" t="str">
        <f>HYPERLINK("http://dx.doi.org/10.1016/j.scitotenv.2022.158275","http://dx.doi.org/10.1016/j.scitotenv.2022.158275")</f>
        <v>http://dx.doi.org/10.1016/j.scitotenv.2022.158275</v>
      </c>
      <c r="BG273" t="s">
        <v>74</v>
      </c>
      <c r="BH273" t="s">
        <v>2143</v>
      </c>
      <c r="BI273">
        <v>16</v>
      </c>
      <c r="BJ273" t="s">
        <v>2040</v>
      </c>
      <c r="BK273" t="s">
        <v>100</v>
      </c>
      <c r="BL273" t="s">
        <v>2041</v>
      </c>
      <c r="BM273" t="s">
        <v>5783</v>
      </c>
      <c r="BN273">
        <v>36030859</v>
      </c>
      <c r="BO273" t="s">
        <v>74</v>
      </c>
      <c r="BP273" t="s">
        <v>74</v>
      </c>
      <c r="BQ273" t="s">
        <v>74</v>
      </c>
      <c r="BR273" t="s">
        <v>103</v>
      </c>
      <c r="BS273" t="s">
        <v>5784</v>
      </c>
      <c r="BT273" t="str">
        <f>HYPERLINK("https%3A%2F%2Fwww.webofscience.com%2Fwos%2Fwoscc%2Ffull-record%2FWOS:000863264900002","View Full Record in Web of Science")</f>
        <v>View Full Record in Web of Science</v>
      </c>
    </row>
    <row r="274" spans="1:72" x14ac:dyDescent="0.15">
      <c r="A274" t="s">
        <v>72</v>
      </c>
      <c r="B274" t="s">
        <v>5785</v>
      </c>
      <c r="C274" t="s">
        <v>74</v>
      </c>
      <c r="D274" t="s">
        <v>74</v>
      </c>
      <c r="E274" t="s">
        <v>74</v>
      </c>
      <c r="F274" t="s">
        <v>5786</v>
      </c>
      <c r="G274" t="s">
        <v>74</v>
      </c>
      <c r="H274" t="s">
        <v>74</v>
      </c>
      <c r="I274" t="s">
        <v>5787</v>
      </c>
      <c r="J274" t="s">
        <v>4627</v>
      </c>
      <c r="K274" t="s">
        <v>74</v>
      </c>
      <c r="L274" t="s">
        <v>74</v>
      </c>
      <c r="M274" t="s">
        <v>78</v>
      </c>
      <c r="N274" t="s">
        <v>79</v>
      </c>
      <c r="O274" t="s">
        <v>74</v>
      </c>
      <c r="P274" t="s">
        <v>74</v>
      </c>
      <c r="Q274" t="s">
        <v>74</v>
      </c>
      <c r="R274" t="s">
        <v>74</v>
      </c>
      <c r="S274" t="s">
        <v>74</v>
      </c>
      <c r="T274" t="s">
        <v>74</v>
      </c>
      <c r="U274" t="s">
        <v>5788</v>
      </c>
      <c r="V274" t="s">
        <v>5789</v>
      </c>
      <c r="W274" t="s">
        <v>5790</v>
      </c>
      <c r="X274" t="s">
        <v>5791</v>
      </c>
      <c r="Y274" t="s">
        <v>5792</v>
      </c>
      <c r="Z274" t="s">
        <v>5793</v>
      </c>
      <c r="AA274" t="s">
        <v>5794</v>
      </c>
      <c r="AB274" t="s">
        <v>5795</v>
      </c>
      <c r="AC274" t="s">
        <v>5796</v>
      </c>
      <c r="AD274" t="s">
        <v>5797</v>
      </c>
      <c r="AE274" t="s">
        <v>5798</v>
      </c>
      <c r="AF274" t="s">
        <v>74</v>
      </c>
      <c r="AG274">
        <v>89</v>
      </c>
      <c r="AH274">
        <v>7</v>
      </c>
      <c r="AI274">
        <v>8</v>
      </c>
      <c r="AJ274">
        <v>8</v>
      </c>
      <c r="AK274">
        <v>22</v>
      </c>
      <c r="AL274" t="s">
        <v>2460</v>
      </c>
      <c r="AM274" t="s">
        <v>2461</v>
      </c>
      <c r="AN274" t="s">
        <v>2462</v>
      </c>
      <c r="AO274" t="s">
        <v>4638</v>
      </c>
      <c r="AP274" t="s">
        <v>4639</v>
      </c>
      <c r="AQ274" t="s">
        <v>74</v>
      </c>
      <c r="AR274" t="s">
        <v>4640</v>
      </c>
      <c r="AS274" t="s">
        <v>4641</v>
      </c>
      <c r="AT274" t="s">
        <v>5745</v>
      </c>
      <c r="AU274">
        <v>2022</v>
      </c>
      <c r="AV274">
        <v>18</v>
      </c>
      <c r="AW274">
        <v>9</v>
      </c>
      <c r="AX274" t="s">
        <v>74</v>
      </c>
      <c r="AY274" t="s">
        <v>74</v>
      </c>
      <c r="AZ274" t="s">
        <v>74</v>
      </c>
      <c r="BA274" t="s">
        <v>74</v>
      </c>
      <c r="BB274">
        <v>2021</v>
      </c>
      <c r="BC274">
        <v>2043</v>
      </c>
      <c r="BD274" t="s">
        <v>74</v>
      </c>
      <c r="BE274" t="s">
        <v>5799</v>
      </c>
      <c r="BF274" t="str">
        <f>HYPERLINK("http://dx.doi.org/10.5194/cp-18-2021-2022","http://dx.doi.org/10.5194/cp-18-2021-2022")</f>
        <v>http://dx.doi.org/10.5194/cp-18-2021-2022</v>
      </c>
      <c r="BG274" t="s">
        <v>74</v>
      </c>
      <c r="BH274" t="s">
        <v>74</v>
      </c>
      <c r="BI274">
        <v>23</v>
      </c>
      <c r="BJ274" t="s">
        <v>3373</v>
      </c>
      <c r="BK274" t="s">
        <v>100</v>
      </c>
      <c r="BL274" t="s">
        <v>3374</v>
      </c>
      <c r="BM274" t="s">
        <v>5800</v>
      </c>
      <c r="BN274" t="s">
        <v>74</v>
      </c>
      <c r="BO274" t="s">
        <v>3262</v>
      </c>
      <c r="BP274" t="s">
        <v>74</v>
      </c>
      <c r="BQ274" t="s">
        <v>74</v>
      </c>
      <c r="BR274" t="s">
        <v>103</v>
      </c>
      <c r="BS274" t="s">
        <v>5801</v>
      </c>
      <c r="BT274" t="str">
        <f>HYPERLINK("https%3A%2F%2Fwww.webofscience.com%2Fwos%2Fwoscc%2Ffull-record%2FWOS:000850884000001","View Full Record in Web of Science")</f>
        <v>View Full Record in Web of Science</v>
      </c>
    </row>
    <row r="275" spans="1:72" x14ac:dyDescent="0.15">
      <c r="A275" t="s">
        <v>72</v>
      </c>
      <c r="B275" t="s">
        <v>5802</v>
      </c>
      <c r="C275" t="s">
        <v>74</v>
      </c>
      <c r="D275" t="s">
        <v>74</v>
      </c>
      <c r="E275" t="s">
        <v>74</v>
      </c>
      <c r="F275" t="s">
        <v>5803</v>
      </c>
      <c r="G275" t="s">
        <v>74</v>
      </c>
      <c r="H275" t="s">
        <v>74</v>
      </c>
      <c r="I275" t="s">
        <v>5804</v>
      </c>
      <c r="J275" t="s">
        <v>5194</v>
      </c>
      <c r="K275" t="s">
        <v>74</v>
      </c>
      <c r="L275" t="s">
        <v>74</v>
      </c>
      <c r="M275" t="s">
        <v>78</v>
      </c>
      <c r="N275" t="s">
        <v>79</v>
      </c>
      <c r="O275" t="s">
        <v>74</v>
      </c>
      <c r="P275" t="s">
        <v>74</v>
      </c>
      <c r="Q275" t="s">
        <v>74</v>
      </c>
      <c r="R275" t="s">
        <v>74</v>
      </c>
      <c r="S275" t="s">
        <v>74</v>
      </c>
      <c r="T275" t="s">
        <v>5805</v>
      </c>
      <c r="U275" t="s">
        <v>5806</v>
      </c>
      <c r="V275" t="s">
        <v>5807</v>
      </c>
      <c r="W275" t="s">
        <v>5808</v>
      </c>
      <c r="X275" t="s">
        <v>5809</v>
      </c>
      <c r="Y275" t="s">
        <v>5810</v>
      </c>
      <c r="Z275" t="s">
        <v>5811</v>
      </c>
      <c r="AA275" t="s">
        <v>5812</v>
      </c>
      <c r="AB275" t="s">
        <v>5813</v>
      </c>
      <c r="AC275" t="s">
        <v>5814</v>
      </c>
      <c r="AD275" t="s">
        <v>5815</v>
      </c>
      <c r="AE275" t="s">
        <v>5816</v>
      </c>
      <c r="AF275" t="s">
        <v>74</v>
      </c>
      <c r="AG275">
        <v>90</v>
      </c>
      <c r="AH275">
        <v>37</v>
      </c>
      <c r="AI275">
        <v>42</v>
      </c>
      <c r="AJ275">
        <v>20</v>
      </c>
      <c r="AK275">
        <v>136</v>
      </c>
      <c r="AL275" t="s">
        <v>231</v>
      </c>
      <c r="AM275" t="s">
        <v>232</v>
      </c>
      <c r="AN275" t="s">
        <v>233</v>
      </c>
      <c r="AO275" t="s">
        <v>5207</v>
      </c>
      <c r="AP275" t="s">
        <v>5208</v>
      </c>
      <c r="AQ275" t="s">
        <v>74</v>
      </c>
      <c r="AR275" t="s">
        <v>5209</v>
      </c>
      <c r="AS275" t="s">
        <v>5210</v>
      </c>
      <c r="AT275" t="s">
        <v>2281</v>
      </c>
      <c r="AU275">
        <v>2022</v>
      </c>
      <c r="AV275">
        <v>28</v>
      </c>
      <c r="AW275">
        <v>22</v>
      </c>
      <c r="AX275" t="s">
        <v>74</v>
      </c>
      <c r="AY275" t="s">
        <v>74</v>
      </c>
      <c r="AZ275" t="s">
        <v>74</v>
      </c>
      <c r="BA275" t="s">
        <v>74</v>
      </c>
      <c r="BB275">
        <v>6696</v>
      </c>
      <c r="BC275">
        <v>6710</v>
      </c>
      <c r="BD275" t="s">
        <v>74</v>
      </c>
      <c r="BE275" t="s">
        <v>5817</v>
      </c>
      <c r="BF275" t="str">
        <f>HYPERLINK("http://dx.doi.org/10.1111/gcb.16398","http://dx.doi.org/10.1111/gcb.16398")</f>
        <v>http://dx.doi.org/10.1111/gcb.16398</v>
      </c>
      <c r="BG275" t="s">
        <v>74</v>
      </c>
      <c r="BH275" t="s">
        <v>2143</v>
      </c>
      <c r="BI275">
        <v>15</v>
      </c>
      <c r="BJ275" t="s">
        <v>3785</v>
      </c>
      <c r="BK275" t="s">
        <v>100</v>
      </c>
      <c r="BL275" t="s">
        <v>1170</v>
      </c>
      <c r="BM275" t="s">
        <v>5212</v>
      </c>
      <c r="BN275">
        <v>36056462</v>
      </c>
      <c r="BO275" t="s">
        <v>1221</v>
      </c>
      <c r="BP275" t="s">
        <v>74</v>
      </c>
      <c r="BQ275" t="s">
        <v>74</v>
      </c>
      <c r="BR275" t="s">
        <v>103</v>
      </c>
      <c r="BS275" t="s">
        <v>5818</v>
      </c>
      <c r="BT275" t="str">
        <f>HYPERLINK("https%3A%2F%2Fwww.webofscience.com%2Fwos%2Fwoscc%2Ffull-record%2FWOS:000849544200001","View Full Record in Web of Science")</f>
        <v>View Full Record in Web of Science</v>
      </c>
    </row>
    <row r="276" spans="1:72" x14ac:dyDescent="0.15">
      <c r="A276" t="s">
        <v>72</v>
      </c>
      <c r="B276" t="s">
        <v>5819</v>
      </c>
      <c r="C276" t="s">
        <v>74</v>
      </c>
      <c r="D276" t="s">
        <v>74</v>
      </c>
      <c r="E276" t="s">
        <v>74</v>
      </c>
      <c r="F276" t="s">
        <v>5820</v>
      </c>
      <c r="G276" t="s">
        <v>74</v>
      </c>
      <c r="H276" t="s">
        <v>74</v>
      </c>
      <c r="I276" t="s">
        <v>5821</v>
      </c>
      <c r="J276" t="s">
        <v>5822</v>
      </c>
      <c r="K276" t="s">
        <v>74</v>
      </c>
      <c r="L276" t="s">
        <v>74</v>
      </c>
      <c r="M276" t="s">
        <v>78</v>
      </c>
      <c r="N276" t="s">
        <v>79</v>
      </c>
      <c r="O276" t="s">
        <v>74</v>
      </c>
      <c r="P276" t="s">
        <v>74</v>
      </c>
      <c r="Q276" t="s">
        <v>74</v>
      </c>
      <c r="R276" t="s">
        <v>74</v>
      </c>
      <c r="S276" t="s">
        <v>74</v>
      </c>
      <c r="T276" t="s">
        <v>5823</v>
      </c>
      <c r="U276" t="s">
        <v>5824</v>
      </c>
      <c r="V276" t="s">
        <v>5825</v>
      </c>
      <c r="W276" t="s">
        <v>5826</v>
      </c>
      <c r="X276" t="s">
        <v>5827</v>
      </c>
      <c r="Y276" t="s">
        <v>5828</v>
      </c>
      <c r="Z276" t="s">
        <v>5829</v>
      </c>
      <c r="AA276" t="s">
        <v>5830</v>
      </c>
      <c r="AB276" t="s">
        <v>5831</v>
      </c>
      <c r="AC276" t="s">
        <v>5832</v>
      </c>
      <c r="AD276" t="s">
        <v>5833</v>
      </c>
      <c r="AE276" t="s">
        <v>5834</v>
      </c>
      <c r="AF276" t="s">
        <v>74</v>
      </c>
      <c r="AG276">
        <v>69</v>
      </c>
      <c r="AH276">
        <v>1</v>
      </c>
      <c r="AI276">
        <v>1</v>
      </c>
      <c r="AJ276">
        <v>1</v>
      </c>
      <c r="AK276">
        <v>3</v>
      </c>
      <c r="AL276" t="s">
        <v>178</v>
      </c>
      <c r="AM276" t="s">
        <v>450</v>
      </c>
      <c r="AN276" t="s">
        <v>668</v>
      </c>
      <c r="AO276" t="s">
        <v>5835</v>
      </c>
      <c r="AP276" t="s">
        <v>5836</v>
      </c>
      <c r="AQ276" t="s">
        <v>74</v>
      </c>
      <c r="AR276" t="s">
        <v>5837</v>
      </c>
      <c r="AS276" t="s">
        <v>5838</v>
      </c>
      <c r="AT276" t="s">
        <v>5386</v>
      </c>
      <c r="AU276">
        <v>2023</v>
      </c>
      <c r="AV276">
        <v>86</v>
      </c>
      <c r="AW276">
        <v>2</v>
      </c>
      <c r="AX276" t="s">
        <v>74</v>
      </c>
      <c r="AY276" t="s">
        <v>74</v>
      </c>
      <c r="AZ276" t="s">
        <v>74</v>
      </c>
      <c r="BA276" t="s">
        <v>74</v>
      </c>
      <c r="BB276">
        <v>763</v>
      </c>
      <c r="BC276">
        <v>776</v>
      </c>
      <c r="BD276" t="s">
        <v>74</v>
      </c>
      <c r="BE276" t="s">
        <v>5839</v>
      </c>
      <c r="BF276" t="str">
        <f>HYPERLINK("http://dx.doi.org/10.1007/s00248-022-02105-6","http://dx.doi.org/10.1007/s00248-022-02105-6")</f>
        <v>http://dx.doi.org/10.1007/s00248-022-02105-6</v>
      </c>
      <c r="BG276" t="s">
        <v>74</v>
      </c>
      <c r="BH276" t="s">
        <v>2143</v>
      </c>
      <c r="BI276">
        <v>14</v>
      </c>
      <c r="BJ276" t="s">
        <v>5840</v>
      </c>
      <c r="BK276" t="s">
        <v>100</v>
      </c>
      <c r="BL276" t="s">
        <v>5841</v>
      </c>
      <c r="BM276" t="s">
        <v>5842</v>
      </c>
      <c r="BN276">
        <v>36053304</v>
      </c>
      <c r="BO276" t="s">
        <v>74</v>
      </c>
      <c r="BP276" t="s">
        <v>74</v>
      </c>
      <c r="BQ276" t="s">
        <v>74</v>
      </c>
      <c r="BR276" t="s">
        <v>103</v>
      </c>
      <c r="BS276" t="s">
        <v>5843</v>
      </c>
      <c r="BT276" t="str">
        <f>HYPERLINK("https%3A%2F%2Fwww.webofscience.com%2Fwos%2Fwoscc%2Ffull-record%2FWOS:000849156900001","View Full Record in Web of Science")</f>
        <v>View Full Record in Web of Science</v>
      </c>
    </row>
    <row r="277" spans="1:72" x14ac:dyDescent="0.15">
      <c r="A277" t="s">
        <v>72</v>
      </c>
      <c r="B277" t="s">
        <v>5844</v>
      </c>
      <c r="C277" t="s">
        <v>74</v>
      </c>
      <c r="D277" t="s">
        <v>74</v>
      </c>
      <c r="E277" t="s">
        <v>74</v>
      </c>
      <c r="F277" t="s">
        <v>5845</v>
      </c>
      <c r="G277" t="s">
        <v>74</v>
      </c>
      <c r="H277" t="s">
        <v>74</v>
      </c>
      <c r="I277" t="s">
        <v>5846</v>
      </c>
      <c r="J277" t="s">
        <v>5847</v>
      </c>
      <c r="K277" t="s">
        <v>74</v>
      </c>
      <c r="L277" t="s">
        <v>74</v>
      </c>
      <c r="M277" t="s">
        <v>78</v>
      </c>
      <c r="N277" t="s">
        <v>79</v>
      </c>
      <c r="O277" t="s">
        <v>74</v>
      </c>
      <c r="P277" t="s">
        <v>74</v>
      </c>
      <c r="Q277" t="s">
        <v>74</v>
      </c>
      <c r="R277" t="s">
        <v>74</v>
      </c>
      <c r="S277" t="s">
        <v>74</v>
      </c>
      <c r="T277" t="s">
        <v>5848</v>
      </c>
      <c r="U277" t="s">
        <v>5849</v>
      </c>
      <c r="V277" t="s">
        <v>5850</v>
      </c>
      <c r="W277" t="s">
        <v>5851</v>
      </c>
      <c r="X277" t="s">
        <v>5852</v>
      </c>
      <c r="Y277" t="s">
        <v>5853</v>
      </c>
      <c r="Z277" t="s">
        <v>5854</v>
      </c>
      <c r="AA277" t="s">
        <v>5855</v>
      </c>
      <c r="AB277" t="s">
        <v>74</v>
      </c>
      <c r="AC277" t="s">
        <v>5856</v>
      </c>
      <c r="AD277" t="s">
        <v>5856</v>
      </c>
      <c r="AE277" t="s">
        <v>5857</v>
      </c>
      <c r="AF277" t="s">
        <v>74</v>
      </c>
      <c r="AG277">
        <v>49</v>
      </c>
      <c r="AH277">
        <v>2</v>
      </c>
      <c r="AI277">
        <v>2</v>
      </c>
      <c r="AJ277">
        <v>3</v>
      </c>
      <c r="AK277">
        <v>7</v>
      </c>
      <c r="AL277" t="s">
        <v>5858</v>
      </c>
      <c r="AM277" t="s">
        <v>5859</v>
      </c>
      <c r="AN277" t="s">
        <v>5860</v>
      </c>
      <c r="AO277" t="s">
        <v>5861</v>
      </c>
      <c r="AP277" t="s">
        <v>5862</v>
      </c>
      <c r="AQ277" t="s">
        <v>74</v>
      </c>
      <c r="AR277" t="s">
        <v>5863</v>
      </c>
      <c r="AS277" t="s">
        <v>5864</v>
      </c>
      <c r="AT277" t="s">
        <v>3605</v>
      </c>
      <c r="AU277">
        <v>2022</v>
      </c>
      <c r="AV277">
        <v>26</v>
      </c>
      <c r="AW277">
        <v>3</v>
      </c>
      <c r="AX277" t="s">
        <v>74</v>
      </c>
      <c r="AY277" t="s">
        <v>74</v>
      </c>
      <c r="AZ277" t="s">
        <v>74</v>
      </c>
      <c r="BA277" t="s">
        <v>74</v>
      </c>
      <c r="BB277">
        <v>197</v>
      </c>
      <c r="BC277">
        <v>204</v>
      </c>
      <c r="BD277" t="s">
        <v>74</v>
      </c>
      <c r="BE277" t="s">
        <v>5865</v>
      </c>
      <c r="BF277" t="str">
        <f>HYPERLINK("http://dx.doi.org/10.15446/esrj.v26n3.103981","http://dx.doi.org/10.15446/esrj.v26n3.103981")</f>
        <v>http://dx.doi.org/10.15446/esrj.v26n3.103981</v>
      </c>
      <c r="BG277" t="s">
        <v>74</v>
      </c>
      <c r="BH277" t="s">
        <v>74</v>
      </c>
      <c r="BI277">
        <v>8</v>
      </c>
      <c r="BJ277" t="s">
        <v>129</v>
      </c>
      <c r="BK277" t="s">
        <v>100</v>
      </c>
      <c r="BL277" t="s">
        <v>130</v>
      </c>
      <c r="BM277" t="s">
        <v>5866</v>
      </c>
      <c r="BN277" t="s">
        <v>74</v>
      </c>
      <c r="BO277" t="s">
        <v>266</v>
      </c>
      <c r="BP277" t="s">
        <v>74</v>
      </c>
      <c r="BQ277" t="s">
        <v>74</v>
      </c>
      <c r="BR277" t="s">
        <v>103</v>
      </c>
      <c r="BS277" t="s">
        <v>5867</v>
      </c>
      <c r="BT277" t="str">
        <f>HYPERLINK("https%3A%2F%2Fwww.webofscience.com%2Fwos%2Fwoscc%2Ffull-record%2FWOS:000971691900001","View Full Record in Web of Science")</f>
        <v>View Full Record in Web of Science</v>
      </c>
    </row>
    <row r="278" spans="1:72" x14ac:dyDescent="0.15">
      <c r="A278" t="s">
        <v>72</v>
      </c>
      <c r="B278" t="s">
        <v>5868</v>
      </c>
      <c r="C278" t="s">
        <v>74</v>
      </c>
      <c r="D278" t="s">
        <v>74</v>
      </c>
      <c r="E278" t="s">
        <v>74</v>
      </c>
      <c r="F278" t="s">
        <v>5869</v>
      </c>
      <c r="G278" t="s">
        <v>74</v>
      </c>
      <c r="H278" t="s">
        <v>74</v>
      </c>
      <c r="I278" t="s">
        <v>5870</v>
      </c>
      <c r="J278" t="s">
        <v>2239</v>
      </c>
      <c r="K278" t="s">
        <v>74</v>
      </c>
      <c r="L278" t="s">
        <v>74</v>
      </c>
      <c r="M278" t="s">
        <v>78</v>
      </c>
      <c r="N278" t="s">
        <v>79</v>
      </c>
      <c r="O278" t="s">
        <v>74</v>
      </c>
      <c r="P278" t="s">
        <v>74</v>
      </c>
      <c r="Q278" t="s">
        <v>74</v>
      </c>
      <c r="R278" t="s">
        <v>74</v>
      </c>
      <c r="S278" t="s">
        <v>74</v>
      </c>
      <c r="T278" t="s">
        <v>5871</v>
      </c>
      <c r="U278" t="s">
        <v>74</v>
      </c>
      <c r="V278" t="s">
        <v>5872</v>
      </c>
      <c r="W278" t="s">
        <v>5873</v>
      </c>
      <c r="X278" t="s">
        <v>856</v>
      </c>
      <c r="Y278" t="s">
        <v>5874</v>
      </c>
      <c r="Z278" t="s">
        <v>5875</v>
      </c>
      <c r="AA278" t="s">
        <v>74</v>
      </c>
      <c r="AB278" t="s">
        <v>74</v>
      </c>
      <c r="AC278" t="s">
        <v>5876</v>
      </c>
      <c r="AD278" t="s">
        <v>5876</v>
      </c>
      <c r="AE278" t="s">
        <v>5877</v>
      </c>
      <c r="AF278" t="s">
        <v>74</v>
      </c>
      <c r="AG278">
        <v>20</v>
      </c>
      <c r="AH278">
        <v>5</v>
      </c>
      <c r="AI278">
        <v>5</v>
      </c>
      <c r="AJ278">
        <v>0</v>
      </c>
      <c r="AK278">
        <v>7</v>
      </c>
      <c r="AL278" t="s">
        <v>2249</v>
      </c>
      <c r="AM278" t="s">
        <v>90</v>
      </c>
      <c r="AN278" t="s">
        <v>2250</v>
      </c>
      <c r="AO278" t="s">
        <v>2251</v>
      </c>
      <c r="AP278" t="s">
        <v>2252</v>
      </c>
      <c r="AQ278" t="s">
        <v>74</v>
      </c>
      <c r="AR278" t="s">
        <v>2253</v>
      </c>
      <c r="AS278" t="s">
        <v>2254</v>
      </c>
      <c r="AT278" t="s">
        <v>3605</v>
      </c>
      <c r="AU278">
        <v>2022</v>
      </c>
      <c r="AV278">
        <v>143</v>
      </c>
      <c r="AW278" t="s">
        <v>74</v>
      </c>
      <c r="AX278" t="s">
        <v>74</v>
      </c>
      <c r="AY278" t="s">
        <v>74</v>
      </c>
      <c r="AZ278" t="s">
        <v>74</v>
      </c>
      <c r="BA278" t="s">
        <v>74</v>
      </c>
      <c r="BB278" t="s">
        <v>74</v>
      </c>
      <c r="BC278" t="s">
        <v>74</v>
      </c>
      <c r="BD278">
        <v>105200</v>
      </c>
      <c r="BE278" t="s">
        <v>5878</v>
      </c>
      <c r="BF278" t="str">
        <f>HYPERLINK("http://dx.doi.org/10.1016/j.marpol.2022.105200","http://dx.doi.org/10.1016/j.marpol.2022.105200")</f>
        <v>http://dx.doi.org/10.1016/j.marpol.2022.105200</v>
      </c>
      <c r="BG278" t="s">
        <v>74</v>
      </c>
      <c r="BH278" t="s">
        <v>74</v>
      </c>
      <c r="BI278">
        <v>9</v>
      </c>
      <c r="BJ278" t="s">
        <v>2256</v>
      </c>
      <c r="BK278" t="s">
        <v>2257</v>
      </c>
      <c r="BL278" t="s">
        <v>2258</v>
      </c>
      <c r="BM278" t="s">
        <v>5879</v>
      </c>
      <c r="BN278" t="s">
        <v>74</v>
      </c>
      <c r="BO278" t="s">
        <v>831</v>
      </c>
      <c r="BP278" t="s">
        <v>74</v>
      </c>
      <c r="BQ278" t="s">
        <v>74</v>
      </c>
      <c r="BR278" t="s">
        <v>103</v>
      </c>
      <c r="BS278" t="s">
        <v>5880</v>
      </c>
      <c r="BT278" t="str">
        <f>HYPERLINK("https%3A%2F%2Fwww.webofscience.com%2Fwos%2Fwoscc%2Ffull-record%2FWOS:000854042400004","View Full Record in Web of Science")</f>
        <v>View Full Record in Web of Science</v>
      </c>
    </row>
    <row r="279" spans="1:72" x14ac:dyDescent="0.15">
      <c r="A279" t="s">
        <v>72</v>
      </c>
      <c r="B279" t="s">
        <v>5881</v>
      </c>
      <c r="C279" t="s">
        <v>74</v>
      </c>
      <c r="D279" t="s">
        <v>74</v>
      </c>
      <c r="E279" t="s">
        <v>74</v>
      </c>
      <c r="F279" t="s">
        <v>5882</v>
      </c>
      <c r="G279" t="s">
        <v>74</v>
      </c>
      <c r="H279" t="s">
        <v>74</v>
      </c>
      <c r="I279" t="s">
        <v>5883</v>
      </c>
      <c r="J279" t="s">
        <v>1053</v>
      </c>
      <c r="K279" t="s">
        <v>74</v>
      </c>
      <c r="L279" t="s">
        <v>74</v>
      </c>
      <c r="M279" t="s">
        <v>78</v>
      </c>
      <c r="N279" t="s">
        <v>79</v>
      </c>
      <c r="O279" t="s">
        <v>74</v>
      </c>
      <c r="P279" t="s">
        <v>74</v>
      </c>
      <c r="Q279" t="s">
        <v>74</v>
      </c>
      <c r="R279" t="s">
        <v>74</v>
      </c>
      <c r="S279" t="s">
        <v>74</v>
      </c>
      <c r="T279" t="s">
        <v>5884</v>
      </c>
      <c r="U279" t="s">
        <v>5885</v>
      </c>
      <c r="V279" t="s">
        <v>5886</v>
      </c>
      <c r="W279" t="s">
        <v>5887</v>
      </c>
      <c r="X279" t="s">
        <v>5888</v>
      </c>
      <c r="Y279" t="s">
        <v>5889</v>
      </c>
      <c r="Z279" t="s">
        <v>5890</v>
      </c>
      <c r="AA279" t="s">
        <v>5891</v>
      </c>
      <c r="AB279" t="s">
        <v>5892</v>
      </c>
      <c r="AC279" t="s">
        <v>5893</v>
      </c>
      <c r="AD279" t="s">
        <v>5894</v>
      </c>
      <c r="AE279" t="s">
        <v>5895</v>
      </c>
      <c r="AF279" t="s">
        <v>74</v>
      </c>
      <c r="AG279">
        <v>55</v>
      </c>
      <c r="AH279">
        <v>6</v>
      </c>
      <c r="AI279">
        <v>6</v>
      </c>
      <c r="AJ279">
        <v>4</v>
      </c>
      <c r="AK279">
        <v>11</v>
      </c>
      <c r="AL279" t="s">
        <v>1065</v>
      </c>
      <c r="AM279" t="s">
        <v>1066</v>
      </c>
      <c r="AN279" t="s">
        <v>1067</v>
      </c>
      <c r="AO279" t="s">
        <v>1068</v>
      </c>
      <c r="AP279" t="s">
        <v>1069</v>
      </c>
      <c r="AQ279" t="s">
        <v>74</v>
      </c>
      <c r="AR279" t="s">
        <v>1070</v>
      </c>
      <c r="AS279" t="s">
        <v>1071</v>
      </c>
      <c r="AT279" t="s">
        <v>3605</v>
      </c>
      <c r="AU279">
        <v>2022</v>
      </c>
      <c r="AV279">
        <v>52</v>
      </c>
      <c r="AW279">
        <v>9</v>
      </c>
      <c r="AX279" t="s">
        <v>74</v>
      </c>
      <c r="AY279" t="s">
        <v>74</v>
      </c>
      <c r="AZ279" t="s">
        <v>74</v>
      </c>
      <c r="BA279" t="s">
        <v>74</v>
      </c>
      <c r="BB279">
        <v>2129</v>
      </c>
      <c r="BC279">
        <v>2142</v>
      </c>
      <c r="BD279" t="s">
        <v>74</v>
      </c>
      <c r="BE279" t="s">
        <v>5896</v>
      </c>
      <c r="BF279" t="str">
        <f>HYPERLINK("http://dx.doi.org/10.1175/JPO-D-22-0044.1","http://dx.doi.org/10.1175/JPO-D-22-0044.1")</f>
        <v>http://dx.doi.org/10.1175/JPO-D-22-0044.1</v>
      </c>
      <c r="BG279" t="s">
        <v>74</v>
      </c>
      <c r="BH279" t="s">
        <v>74</v>
      </c>
      <c r="BI279">
        <v>14</v>
      </c>
      <c r="BJ279" t="s">
        <v>674</v>
      </c>
      <c r="BK279" t="s">
        <v>100</v>
      </c>
      <c r="BL279" t="s">
        <v>674</v>
      </c>
      <c r="BM279" t="s">
        <v>5897</v>
      </c>
      <c r="BN279" t="s">
        <v>74</v>
      </c>
      <c r="BO279" t="s">
        <v>3859</v>
      </c>
      <c r="BP279" t="s">
        <v>74</v>
      </c>
      <c r="BQ279" t="s">
        <v>74</v>
      </c>
      <c r="BR279" t="s">
        <v>103</v>
      </c>
      <c r="BS279" t="s">
        <v>5898</v>
      </c>
      <c r="BT279" t="str">
        <f>HYPERLINK("https%3A%2F%2Fwww.webofscience.com%2Fwos%2Fwoscc%2Ffull-record%2FWOS:000895750400010","View Full Record in Web of Science")</f>
        <v>View Full Record in Web of Science</v>
      </c>
    </row>
    <row r="280" spans="1:72" x14ac:dyDescent="0.15">
      <c r="A280" t="s">
        <v>72</v>
      </c>
      <c r="B280" t="s">
        <v>5899</v>
      </c>
      <c r="C280" t="s">
        <v>74</v>
      </c>
      <c r="D280" t="s">
        <v>74</v>
      </c>
      <c r="E280" t="s">
        <v>74</v>
      </c>
      <c r="F280" t="s">
        <v>5900</v>
      </c>
      <c r="G280" t="s">
        <v>74</v>
      </c>
      <c r="H280" t="s">
        <v>74</v>
      </c>
      <c r="I280" t="s">
        <v>5901</v>
      </c>
      <c r="J280" t="s">
        <v>1053</v>
      </c>
      <c r="K280" t="s">
        <v>74</v>
      </c>
      <c r="L280" t="s">
        <v>74</v>
      </c>
      <c r="M280" t="s">
        <v>78</v>
      </c>
      <c r="N280" t="s">
        <v>79</v>
      </c>
      <c r="O280" t="s">
        <v>74</v>
      </c>
      <c r="P280" t="s">
        <v>74</v>
      </c>
      <c r="Q280" t="s">
        <v>74</v>
      </c>
      <c r="R280" t="s">
        <v>74</v>
      </c>
      <c r="S280" t="s">
        <v>74</v>
      </c>
      <c r="T280" t="s">
        <v>5902</v>
      </c>
      <c r="U280" t="s">
        <v>5903</v>
      </c>
      <c r="V280" t="s">
        <v>5904</v>
      </c>
      <c r="W280" t="s">
        <v>5905</v>
      </c>
      <c r="X280" t="s">
        <v>5906</v>
      </c>
      <c r="Y280" t="s">
        <v>5907</v>
      </c>
      <c r="Z280" t="s">
        <v>5908</v>
      </c>
      <c r="AA280" t="s">
        <v>5909</v>
      </c>
      <c r="AB280" t="s">
        <v>5910</v>
      </c>
      <c r="AC280" t="s">
        <v>5911</v>
      </c>
      <c r="AD280" t="s">
        <v>5912</v>
      </c>
      <c r="AE280" t="s">
        <v>5913</v>
      </c>
      <c r="AF280" t="s">
        <v>74</v>
      </c>
      <c r="AG280">
        <v>60</v>
      </c>
      <c r="AH280">
        <v>2</v>
      </c>
      <c r="AI280">
        <v>2</v>
      </c>
      <c r="AJ280">
        <v>2</v>
      </c>
      <c r="AK280">
        <v>8</v>
      </c>
      <c r="AL280" t="s">
        <v>1065</v>
      </c>
      <c r="AM280" t="s">
        <v>1066</v>
      </c>
      <c r="AN280" t="s">
        <v>1067</v>
      </c>
      <c r="AO280" t="s">
        <v>1068</v>
      </c>
      <c r="AP280" t="s">
        <v>1069</v>
      </c>
      <c r="AQ280" t="s">
        <v>74</v>
      </c>
      <c r="AR280" t="s">
        <v>1070</v>
      </c>
      <c r="AS280" t="s">
        <v>1071</v>
      </c>
      <c r="AT280" t="s">
        <v>3605</v>
      </c>
      <c r="AU280">
        <v>2022</v>
      </c>
      <c r="AV280">
        <v>52</v>
      </c>
      <c r="AW280">
        <v>9</v>
      </c>
      <c r="AX280" t="s">
        <v>74</v>
      </c>
      <c r="AY280" t="s">
        <v>74</v>
      </c>
      <c r="AZ280" t="s">
        <v>74</v>
      </c>
      <c r="BA280" t="s">
        <v>74</v>
      </c>
      <c r="BB280">
        <v>2219</v>
      </c>
      <c r="BC280">
        <v>2235</v>
      </c>
      <c r="BD280" t="s">
        <v>74</v>
      </c>
      <c r="BE280" t="s">
        <v>5914</v>
      </c>
      <c r="BF280" t="str">
        <f>HYPERLINK("http://dx.doi.org/10.1175/JPO-D-21-0205.1","http://dx.doi.org/10.1175/JPO-D-21-0205.1")</f>
        <v>http://dx.doi.org/10.1175/JPO-D-21-0205.1</v>
      </c>
      <c r="BG280" t="s">
        <v>74</v>
      </c>
      <c r="BH280" t="s">
        <v>74</v>
      </c>
      <c r="BI280">
        <v>17</v>
      </c>
      <c r="BJ280" t="s">
        <v>674</v>
      </c>
      <c r="BK280" t="s">
        <v>100</v>
      </c>
      <c r="BL280" t="s">
        <v>674</v>
      </c>
      <c r="BM280" t="s">
        <v>5897</v>
      </c>
      <c r="BN280" t="s">
        <v>74</v>
      </c>
      <c r="BO280" t="s">
        <v>3327</v>
      </c>
      <c r="BP280" t="s">
        <v>74</v>
      </c>
      <c r="BQ280" t="s">
        <v>74</v>
      </c>
      <c r="BR280" t="s">
        <v>103</v>
      </c>
      <c r="BS280" t="s">
        <v>5915</v>
      </c>
      <c r="BT280" t="str">
        <f>HYPERLINK("https%3A%2F%2Fwww.webofscience.com%2Fwos%2Fwoscc%2Ffull-record%2FWOS:000895750400015","View Full Record in Web of Science")</f>
        <v>View Full Record in Web of Science</v>
      </c>
    </row>
    <row r="281" spans="1:72" x14ac:dyDescent="0.15">
      <c r="A281" t="s">
        <v>72</v>
      </c>
      <c r="B281" t="s">
        <v>5916</v>
      </c>
      <c r="C281" t="s">
        <v>74</v>
      </c>
      <c r="D281" t="s">
        <v>74</v>
      </c>
      <c r="E281" t="s">
        <v>74</v>
      </c>
      <c r="F281" t="s">
        <v>5917</v>
      </c>
      <c r="G281" t="s">
        <v>74</v>
      </c>
      <c r="H281" t="s">
        <v>74</v>
      </c>
      <c r="I281" t="s">
        <v>5918</v>
      </c>
      <c r="J281" t="s">
        <v>5919</v>
      </c>
      <c r="K281" t="s">
        <v>74</v>
      </c>
      <c r="L281" t="s">
        <v>74</v>
      </c>
      <c r="M281" t="s">
        <v>78</v>
      </c>
      <c r="N281" t="s">
        <v>79</v>
      </c>
      <c r="O281" t="s">
        <v>74</v>
      </c>
      <c r="P281" t="s">
        <v>74</v>
      </c>
      <c r="Q281" t="s">
        <v>74</v>
      </c>
      <c r="R281" t="s">
        <v>74</v>
      </c>
      <c r="S281" t="s">
        <v>74</v>
      </c>
      <c r="T281" t="s">
        <v>5920</v>
      </c>
      <c r="U281" t="s">
        <v>5921</v>
      </c>
      <c r="V281" t="s">
        <v>5922</v>
      </c>
      <c r="W281" t="s">
        <v>5923</v>
      </c>
      <c r="X281" t="s">
        <v>5924</v>
      </c>
      <c r="Y281" t="s">
        <v>5925</v>
      </c>
      <c r="Z281" t="s">
        <v>5926</v>
      </c>
      <c r="AA281" t="s">
        <v>74</v>
      </c>
      <c r="AB281" t="s">
        <v>5927</v>
      </c>
      <c r="AC281" t="s">
        <v>5928</v>
      </c>
      <c r="AD281" t="s">
        <v>447</v>
      </c>
      <c r="AE281" t="s">
        <v>5929</v>
      </c>
      <c r="AF281" t="s">
        <v>74</v>
      </c>
      <c r="AG281">
        <v>49</v>
      </c>
      <c r="AH281">
        <v>3</v>
      </c>
      <c r="AI281">
        <v>3</v>
      </c>
      <c r="AJ281">
        <v>0</v>
      </c>
      <c r="AK281">
        <v>2</v>
      </c>
      <c r="AL281" t="s">
        <v>501</v>
      </c>
      <c r="AM281" t="s">
        <v>502</v>
      </c>
      <c r="AN281" t="s">
        <v>503</v>
      </c>
      <c r="AO281" t="s">
        <v>5930</v>
      </c>
      <c r="AP281" t="s">
        <v>5931</v>
      </c>
      <c r="AQ281" t="s">
        <v>74</v>
      </c>
      <c r="AR281" t="s">
        <v>5919</v>
      </c>
      <c r="AS281" t="s">
        <v>5932</v>
      </c>
      <c r="AT281" t="s">
        <v>5933</v>
      </c>
      <c r="AU281">
        <v>2022</v>
      </c>
      <c r="AV281">
        <v>412</v>
      </c>
      <c r="AW281" t="s">
        <v>74</v>
      </c>
      <c r="AX281" t="s">
        <v>74</v>
      </c>
      <c r="AY281" t="s">
        <v>74</v>
      </c>
      <c r="AZ281" t="s">
        <v>74</v>
      </c>
      <c r="BA281" t="s">
        <v>74</v>
      </c>
      <c r="BB281" t="s">
        <v>74</v>
      </c>
      <c r="BC281" t="s">
        <v>74</v>
      </c>
      <c r="BD281">
        <v>108326</v>
      </c>
      <c r="BE281" t="s">
        <v>5934</v>
      </c>
      <c r="BF281" t="str">
        <f>HYPERLINK("http://dx.doi.org/10.1016/j.geomorph.2022.108326","http://dx.doi.org/10.1016/j.geomorph.2022.108326")</f>
        <v>http://dx.doi.org/10.1016/j.geomorph.2022.108326</v>
      </c>
      <c r="BG281" t="s">
        <v>74</v>
      </c>
      <c r="BH281" t="s">
        <v>74</v>
      </c>
      <c r="BI281">
        <v>11</v>
      </c>
      <c r="BJ281" t="s">
        <v>354</v>
      </c>
      <c r="BK281" t="s">
        <v>100</v>
      </c>
      <c r="BL281" t="s">
        <v>241</v>
      </c>
      <c r="BM281" t="s">
        <v>5935</v>
      </c>
      <c r="BN281" t="s">
        <v>74</v>
      </c>
      <c r="BO281" t="s">
        <v>74</v>
      </c>
      <c r="BP281" t="s">
        <v>74</v>
      </c>
      <c r="BQ281" t="s">
        <v>74</v>
      </c>
      <c r="BR281" t="s">
        <v>103</v>
      </c>
      <c r="BS281" t="s">
        <v>5936</v>
      </c>
      <c r="BT281" t="str">
        <f>HYPERLINK("https%3A%2F%2Fwww.webofscience.com%2Fwos%2Fwoscc%2Ffull-record%2FWOS:000877582000004","View Full Record in Web of Science")</f>
        <v>View Full Record in Web of Science</v>
      </c>
    </row>
    <row r="282" spans="1:72" x14ac:dyDescent="0.15">
      <c r="A282" t="s">
        <v>72</v>
      </c>
      <c r="B282" t="s">
        <v>5937</v>
      </c>
      <c r="C282" t="s">
        <v>74</v>
      </c>
      <c r="D282" t="s">
        <v>74</v>
      </c>
      <c r="E282" t="s">
        <v>74</v>
      </c>
      <c r="F282" t="s">
        <v>5938</v>
      </c>
      <c r="G282" t="s">
        <v>74</v>
      </c>
      <c r="H282" t="s">
        <v>74</v>
      </c>
      <c r="I282" t="s">
        <v>5939</v>
      </c>
      <c r="J282" t="s">
        <v>5940</v>
      </c>
      <c r="K282" t="s">
        <v>74</v>
      </c>
      <c r="L282" t="s">
        <v>74</v>
      </c>
      <c r="M282" t="s">
        <v>78</v>
      </c>
      <c r="N282" t="s">
        <v>79</v>
      </c>
      <c r="O282" t="s">
        <v>74</v>
      </c>
      <c r="P282" t="s">
        <v>74</v>
      </c>
      <c r="Q282" t="s">
        <v>74</v>
      </c>
      <c r="R282" t="s">
        <v>74</v>
      </c>
      <c r="S282" t="s">
        <v>74</v>
      </c>
      <c r="T282" t="s">
        <v>74</v>
      </c>
      <c r="U282" t="s">
        <v>5941</v>
      </c>
      <c r="V282" t="s">
        <v>5942</v>
      </c>
      <c r="W282" t="s">
        <v>5943</v>
      </c>
      <c r="X282" t="s">
        <v>5944</v>
      </c>
      <c r="Y282" t="s">
        <v>5945</v>
      </c>
      <c r="Z282" t="s">
        <v>5946</v>
      </c>
      <c r="AA282" t="s">
        <v>5947</v>
      </c>
      <c r="AB282" t="s">
        <v>5948</v>
      </c>
      <c r="AC282" t="s">
        <v>5949</v>
      </c>
      <c r="AD282" t="s">
        <v>5950</v>
      </c>
      <c r="AE282" t="s">
        <v>5951</v>
      </c>
      <c r="AF282" t="s">
        <v>74</v>
      </c>
      <c r="AG282">
        <v>68</v>
      </c>
      <c r="AH282">
        <v>3</v>
      </c>
      <c r="AI282">
        <v>4</v>
      </c>
      <c r="AJ282">
        <v>1</v>
      </c>
      <c r="AK282">
        <v>4</v>
      </c>
      <c r="AL282" t="s">
        <v>5952</v>
      </c>
      <c r="AM282" t="s">
        <v>5953</v>
      </c>
      <c r="AN282" t="s">
        <v>5954</v>
      </c>
      <c r="AO282" t="s">
        <v>5955</v>
      </c>
      <c r="AP282" t="s">
        <v>5956</v>
      </c>
      <c r="AQ282" t="s">
        <v>74</v>
      </c>
      <c r="AR282" t="s">
        <v>5957</v>
      </c>
      <c r="AS282" t="s">
        <v>5958</v>
      </c>
      <c r="AT282" t="s">
        <v>5933</v>
      </c>
      <c r="AU282">
        <v>2022</v>
      </c>
      <c r="AV282">
        <v>134</v>
      </c>
      <c r="AW282" t="s">
        <v>5959</v>
      </c>
      <c r="AX282" t="s">
        <v>74</v>
      </c>
      <c r="AY282" t="s">
        <v>74</v>
      </c>
      <c r="AZ282" t="s">
        <v>74</v>
      </c>
      <c r="BA282" t="s">
        <v>74</v>
      </c>
      <c r="BB282">
        <v>2335</v>
      </c>
      <c r="BC282">
        <v>2344</v>
      </c>
      <c r="BD282" t="s">
        <v>74</v>
      </c>
      <c r="BE282" t="s">
        <v>5960</v>
      </c>
      <c r="BF282" t="str">
        <f>HYPERLINK("http://dx.doi.org/10.1130/B36103.1","http://dx.doi.org/10.1130/B36103.1")</f>
        <v>http://dx.doi.org/10.1130/B36103.1</v>
      </c>
      <c r="BG282" t="s">
        <v>74</v>
      </c>
      <c r="BH282" t="s">
        <v>74</v>
      </c>
      <c r="BI282">
        <v>10</v>
      </c>
      <c r="BJ282" t="s">
        <v>129</v>
      </c>
      <c r="BK282" t="s">
        <v>100</v>
      </c>
      <c r="BL282" t="s">
        <v>130</v>
      </c>
      <c r="BM282" t="s">
        <v>5961</v>
      </c>
      <c r="BN282" t="s">
        <v>74</v>
      </c>
      <c r="BO282" t="s">
        <v>3327</v>
      </c>
      <c r="BP282" t="s">
        <v>74</v>
      </c>
      <c r="BQ282" t="s">
        <v>74</v>
      </c>
      <c r="BR282" t="s">
        <v>103</v>
      </c>
      <c r="BS282" t="s">
        <v>5962</v>
      </c>
      <c r="BT282" t="str">
        <f>HYPERLINK("https%3A%2F%2Fwww.webofscience.com%2Fwos%2Fwoscc%2Ffull-record%2FWOS:000888596100003","View Full Record in Web of Science")</f>
        <v>View Full Record in Web of Science</v>
      </c>
    </row>
    <row r="283" spans="1:72" x14ac:dyDescent="0.15">
      <c r="A283" t="s">
        <v>72</v>
      </c>
      <c r="B283" t="s">
        <v>5963</v>
      </c>
      <c r="C283" t="s">
        <v>74</v>
      </c>
      <c r="D283" t="s">
        <v>74</v>
      </c>
      <c r="E283" t="s">
        <v>74</v>
      </c>
      <c r="F283" t="s">
        <v>5964</v>
      </c>
      <c r="G283" t="s">
        <v>74</v>
      </c>
      <c r="H283" t="s">
        <v>74</v>
      </c>
      <c r="I283" t="s">
        <v>5965</v>
      </c>
      <c r="J283" t="s">
        <v>5966</v>
      </c>
      <c r="K283" t="s">
        <v>74</v>
      </c>
      <c r="L283" t="s">
        <v>74</v>
      </c>
      <c r="M283" t="s">
        <v>78</v>
      </c>
      <c r="N283" t="s">
        <v>79</v>
      </c>
      <c r="O283" t="s">
        <v>74</v>
      </c>
      <c r="P283" t="s">
        <v>74</v>
      </c>
      <c r="Q283" t="s">
        <v>74</v>
      </c>
      <c r="R283" t="s">
        <v>74</v>
      </c>
      <c r="S283" t="s">
        <v>74</v>
      </c>
      <c r="T283" t="s">
        <v>5967</v>
      </c>
      <c r="U283" t="s">
        <v>4567</v>
      </c>
      <c r="V283" t="s">
        <v>5968</v>
      </c>
      <c r="W283" t="s">
        <v>5969</v>
      </c>
      <c r="X283" t="s">
        <v>5970</v>
      </c>
      <c r="Y283" t="s">
        <v>5971</v>
      </c>
      <c r="Z283" t="s">
        <v>5972</v>
      </c>
      <c r="AA283" t="s">
        <v>5973</v>
      </c>
      <c r="AB283" t="s">
        <v>5974</v>
      </c>
      <c r="AC283" t="s">
        <v>5975</v>
      </c>
      <c r="AD283" t="s">
        <v>5976</v>
      </c>
      <c r="AE283" t="s">
        <v>5977</v>
      </c>
      <c r="AF283" t="s">
        <v>74</v>
      </c>
      <c r="AG283">
        <v>60</v>
      </c>
      <c r="AH283">
        <v>3</v>
      </c>
      <c r="AI283">
        <v>3</v>
      </c>
      <c r="AJ283">
        <v>0</v>
      </c>
      <c r="AK283">
        <v>2</v>
      </c>
      <c r="AL283" t="s">
        <v>5978</v>
      </c>
      <c r="AM283" t="s">
        <v>5979</v>
      </c>
      <c r="AN283" t="s">
        <v>5980</v>
      </c>
      <c r="AO283" t="s">
        <v>5981</v>
      </c>
      <c r="AP283" t="s">
        <v>5982</v>
      </c>
      <c r="AQ283" t="s">
        <v>74</v>
      </c>
      <c r="AR283" t="s">
        <v>5983</v>
      </c>
      <c r="AS283" t="s">
        <v>5984</v>
      </c>
      <c r="AT283" t="s">
        <v>3880</v>
      </c>
      <c r="AU283">
        <v>2022</v>
      </c>
      <c r="AV283">
        <v>118</v>
      </c>
      <c r="AW283" t="s">
        <v>5959</v>
      </c>
      <c r="AX283" t="s">
        <v>74</v>
      </c>
      <c r="AY283" t="s">
        <v>74</v>
      </c>
      <c r="AZ283" t="s">
        <v>74</v>
      </c>
      <c r="BA283" t="s">
        <v>74</v>
      </c>
      <c r="BB283" t="s">
        <v>74</v>
      </c>
      <c r="BC283" t="s">
        <v>74</v>
      </c>
      <c r="BD283">
        <v>12302</v>
      </c>
      <c r="BE283" t="s">
        <v>5985</v>
      </c>
      <c r="BF283" t="str">
        <f>HYPERLINK("http://dx.doi.org/10.17159/sajs.2022/12302","http://dx.doi.org/10.17159/sajs.2022/12302")</f>
        <v>http://dx.doi.org/10.17159/sajs.2022/12302</v>
      </c>
      <c r="BG283" t="s">
        <v>74</v>
      </c>
      <c r="BH283" t="s">
        <v>74</v>
      </c>
      <c r="BI283">
        <v>8</v>
      </c>
      <c r="BJ283" t="s">
        <v>156</v>
      </c>
      <c r="BK283" t="s">
        <v>100</v>
      </c>
      <c r="BL283" t="s">
        <v>157</v>
      </c>
      <c r="BM283" t="s">
        <v>5986</v>
      </c>
      <c r="BN283" t="s">
        <v>74</v>
      </c>
      <c r="BO283" t="s">
        <v>159</v>
      </c>
      <c r="BP283" t="s">
        <v>74</v>
      </c>
      <c r="BQ283" t="s">
        <v>74</v>
      </c>
      <c r="BR283" t="s">
        <v>103</v>
      </c>
      <c r="BS283" t="s">
        <v>5987</v>
      </c>
      <c r="BT283" t="str">
        <f>HYPERLINK("https%3A%2F%2Fwww.webofscience.com%2Fwos%2Fwoscc%2Ffull-record%2FWOS:000886088500022","View Full Record in Web of Science")</f>
        <v>View Full Record in Web of Science</v>
      </c>
    </row>
    <row r="284" spans="1:72" x14ac:dyDescent="0.15">
      <c r="A284" t="s">
        <v>72</v>
      </c>
      <c r="B284" t="s">
        <v>5988</v>
      </c>
      <c r="C284" t="s">
        <v>74</v>
      </c>
      <c r="D284" t="s">
        <v>74</v>
      </c>
      <c r="E284" t="s">
        <v>74</v>
      </c>
      <c r="F284" t="s">
        <v>5989</v>
      </c>
      <c r="G284" t="s">
        <v>74</v>
      </c>
      <c r="H284" t="s">
        <v>74</v>
      </c>
      <c r="I284" t="s">
        <v>5990</v>
      </c>
      <c r="J284" t="s">
        <v>5991</v>
      </c>
      <c r="K284" t="s">
        <v>74</v>
      </c>
      <c r="L284" t="s">
        <v>74</v>
      </c>
      <c r="M284" t="s">
        <v>78</v>
      </c>
      <c r="N284" t="s">
        <v>79</v>
      </c>
      <c r="O284" t="s">
        <v>74</v>
      </c>
      <c r="P284" t="s">
        <v>74</v>
      </c>
      <c r="Q284" t="s">
        <v>74</v>
      </c>
      <c r="R284" t="s">
        <v>74</v>
      </c>
      <c r="S284" t="s">
        <v>74</v>
      </c>
      <c r="T284" t="s">
        <v>5992</v>
      </c>
      <c r="U284" t="s">
        <v>5993</v>
      </c>
      <c r="V284" t="s">
        <v>5994</v>
      </c>
      <c r="W284" t="s">
        <v>5995</v>
      </c>
      <c r="X284" t="s">
        <v>5996</v>
      </c>
      <c r="Y284" t="s">
        <v>5997</v>
      </c>
      <c r="Z284" t="s">
        <v>5998</v>
      </c>
      <c r="AA284" t="s">
        <v>5999</v>
      </c>
      <c r="AB284" t="s">
        <v>6000</v>
      </c>
      <c r="AC284" t="s">
        <v>6001</v>
      </c>
      <c r="AD284" t="s">
        <v>6002</v>
      </c>
      <c r="AE284" t="s">
        <v>74</v>
      </c>
      <c r="AF284" t="s">
        <v>74</v>
      </c>
      <c r="AG284">
        <v>99</v>
      </c>
      <c r="AH284">
        <v>5</v>
      </c>
      <c r="AI284">
        <v>5</v>
      </c>
      <c r="AJ284">
        <v>1</v>
      </c>
      <c r="AK284">
        <v>11</v>
      </c>
      <c r="AL284" t="s">
        <v>1065</v>
      </c>
      <c r="AM284" t="s">
        <v>1066</v>
      </c>
      <c r="AN284" t="s">
        <v>1067</v>
      </c>
      <c r="AO284" t="s">
        <v>6003</v>
      </c>
      <c r="AP284" t="s">
        <v>6004</v>
      </c>
      <c r="AQ284" t="s">
        <v>74</v>
      </c>
      <c r="AR284" t="s">
        <v>6005</v>
      </c>
      <c r="AS284" t="s">
        <v>6006</v>
      </c>
      <c r="AT284" t="s">
        <v>3605</v>
      </c>
      <c r="AU284">
        <v>2022</v>
      </c>
      <c r="AV284">
        <v>103</v>
      </c>
      <c r="AW284">
        <v>9</v>
      </c>
      <c r="AX284" t="s">
        <v>74</v>
      </c>
      <c r="AY284" t="s">
        <v>74</v>
      </c>
      <c r="AZ284" t="s">
        <v>74</v>
      </c>
      <c r="BA284" t="s">
        <v>74</v>
      </c>
      <c r="BB284" t="s">
        <v>6007</v>
      </c>
      <c r="BC284" t="s">
        <v>6008</v>
      </c>
      <c r="BD284" t="s">
        <v>74</v>
      </c>
      <c r="BE284" t="s">
        <v>6009</v>
      </c>
      <c r="BF284" t="str">
        <f>HYPERLINK("http://dx.doi.org/10.1175/BAMS-D-21-0039.1","http://dx.doi.org/10.1175/BAMS-D-21-0039.1")</f>
        <v>http://dx.doi.org/10.1175/BAMS-D-21-0039.1</v>
      </c>
      <c r="BG284" t="s">
        <v>74</v>
      </c>
      <c r="BH284" t="s">
        <v>74</v>
      </c>
      <c r="BI284">
        <v>22</v>
      </c>
      <c r="BJ284" t="s">
        <v>457</v>
      </c>
      <c r="BK284" t="s">
        <v>100</v>
      </c>
      <c r="BL284" t="s">
        <v>457</v>
      </c>
      <c r="BM284" t="s">
        <v>6010</v>
      </c>
      <c r="BN284" t="s">
        <v>74</v>
      </c>
      <c r="BO284" t="s">
        <v>6011</v>
      </c>
      <c r="BP284" t="s">
        <v>74</v>
      </c>
      <c r="BQ284" t="s">
        <v>74</v>
      </c>
      <c r="BR284" t="s">
        <v>103</v>
      </c>
      <c r="BS284" t="s">
        <v>6012</v>
      </c>
      <c r="BT284" t="str">
        <f>HYPERLINK("https%3A%2F%2Fwww.webofscience.com%2Fwos%2Fwoscc%2Ffull-record%2FWOS:000886046300008","View Full Record in Web of Science")</f>
        <v>View Full Record in Web of Science</v>
      </c>
    </row>
    <row r="285" spans="1:72" x14ac:dyDescent="0.15">
      <c r="A285" t="s">
        <v>72</v>
      </c>
      <c r="B285" t="s">
        <v>6013</v>
      </c>
      <c r="C285" t="s">
        <v>74</v>
      </c>
      <c r="D285" t="s">
        <v>74</v>
      </c>
      <c r="E285" t="s">
        <v>74</v>
      </c>
      <c r="F285" t="s">
        <v>6014</v>
      </c>
      <c r="G285" t="s">
        <v>74</v>
      </c>
      <c r="H285" t="s">
        <v>74</v>
      </c>
      <c r="I285" t="s">
        <v>6015</v>
      </c>
      <c r="J285" t="s">
        <v>108</v>
      </c>
      <c r="K285" t="s">
        <v>74</v>
      </c>
      <c r="L285" t="s">
        <v>74</v>
      </c>
      <c r="M285" t="s">
        <v>78</v>
      </c>
      <c r="N285" t="s">
        <v>79</v>
      </c>
      <c r="O285" t="s">
        <v>74</v>
      </c>
      <c r="P285" t="s">
        <v>74</v>
      </c>
      <c r="Q285" t="s">
        <v>74</v>
      </c>
      <c r="R285" t="s">
        <v>74</v>
      </c>
      <c r="S285" t="s">
        <v>74</v>
      </c>
      <c r="T285" t="s">
        <v>6016</v>
      </c>
      <c r="U285" t="s">
        <v>6017</v>
      </c>
      <c r="V285" t="s">
        <v>6018</v>
      </c>
      <c r="W285" t="s">
        <v>6019</v>
      </c>
      <c r="X285" t="s">
        <v>6020</v>
      </c>
      <c r="Y285" t="s">
        <v>6021</v>
      </c>
      <c r="Z285" t="s">
        <v>6022</v>
      </c>
      <c r="AA285" t="s">
        <v>6023</v>
      </c>
      <c r="AB285" t="s">
        <v>6024</v>
      </c>
      <c r="AC285" t="s">
        <v>6025</v>
      </c>
      <c r="AD285" t="s">
        <v>6026</v>
      </c>
      <c r="AE285" t="s">
        <v>6027</v>
      </c>
      <c r="AF285" t="s">
        <v>74</v>
      </c>
      <c r="AG285">
        <v>77</v>
      </c>
      <c r="AH285">
        <v>1</v>
      </c>
      <c r="AI285">
        <v>1</v>
      </c>
      <c r="AJ285">
        <v>5</v>
      </c>
      <c r="AK285">
        <v>25</v>
      </c>
      <c r="AL285" t="s">
        <v>121</v>
      </c>
      <c r="AM285" t="s">
        <v>122</v>
      </c>
      <c r="AN285" t="s">
        <v>123</v>
      </c>
      <c r="AO285" t="s">
        <v>74</v>
      </c>
      <c r="AP285" t="s">
        <v>124</v>
      </c>
      <c r="AQ285" t="s">
        <v>74</v>
      </c>
      <c r="AR285" t="s">
        <v>125</v>
      </c>
      <c r="AS285" t="s">
        <v>126</v>
      </c>
      <c r="AT285" t="s">
        <v>5933</v>
      </c>
      <c r="AU285">
        <v>2022</v>
      </c>
      <c r="AV285">
        <v>10</v>
      </c>
      <c r="AW285" t="s">
        <v>74</v>
      </c>
      <c r="AX285" t="s">
        <v>74</v>
      </c>
      <c r="AY285" t="s">
        <v>74</v>
      </c>
      <c r="AZ285" t="s">
        <v>74</v>
      </c>
      <c r="BA285" t="s">
        <v>74</v>
      </c>
      <c r="BB285" t="s">
        <v>74</v>
      </c>
      <c r="BC285" t="s">
        <v>74</v>
      </c>
      <c r="BD285">
        <v>961799</v>
      </c>
      <c r="BE285" t="s">
        <v>6028</v>
      </c>
      <c r="BF285" t="str">
        <f>HYPERLINK("http://dx.doi.org/10.3389/feart.2022.961799","http://dx.doi.org/10.3389/feart.2022.961799")</f>
        <v>http://dx.doi.org/10.3389/feart.2022.961799</v>
      </c>
      <c r="BG285" t="s">
        <v>74</v>
      </c>
      <c r="BH285" t="s">
        <v>74</v>
      </c>
      <c r="BI285">
        <v>16</v>
      </c>
      <c r="BJ285" t="s">
        <v>129</v>
      </c>
      <c r="BK285" t="s">
        <v>100</v>
      </c>
      <c r="BL285" t="s">
        <v>130</v>
      </c>
      <c r="BM285" t="s">
        <v>6029</v>
      </c>
      <c r="BN285" t="s">
        <v>74</v>
      </c>
      <c r="BO285" t="s">
        <v>266</v>
      </c>
      <c r="BP285" t="s">
        <v>74</v>
      </c>
      <c r="BQ285" t="s">
        <v>74</v>
      </c>
      <c r="BR285" t="s">
        <v>103</v>
      </c>
      <c r="BS285" t="s">
        <v>6030</v>
      </c>
      <c r="BT285" t="str">
        <f>HYPERLINK("https%3A%2F%2Fwww.webofscience.com%2Fwos%2Fwoscc%2Ffull-record%2FWOS:000886059700001","View Full Record in Web of Science")</f>
        <v>View Full Record in Web of Science</v>
      </c>
    </row>
    <row r="286" spans="1:72" x14ac:dyDescent="0.15">
      <c r="A286" t="s">
        <v>72</v>
      </c>
      <c r="B286" t="s">
        <v>6031</v>
      </c>
      <c r="C286" t="s">
        <v>74</v>
      </c>
      <c r="D286" t="s">
        <v>74</v>
      </c>
      <c r="E286" t="s">
        <v>74</v>
      </c>
      <c r="F286" t="s">
        <v>6032</v>
      </c>
      <c r="G286" t="s">
        <v>74</v>
      </c>
      <c r="H286" t="s">
        <v>74</v>
      </c>
      <c r="I286" t="s">
        <v>6033</v>
      </c>
      <c r="J286" t="s">
        <v>6034</v>
      </c>
      <c r="K286" t="s">
        <v>74</v>
      </c>
      <c r="L286" t="s">
        <v>74</v>
      </c>
      <c r="M286" t="s">
        <v>78</v>
      </c>
      <c r="N286" t="s">
        <v>79</v>
      </c>
      <c r="O286" t="s">
        <v>74</v>
      </c>
      <c r="P286" t="s">
        <v>74</v>
      </c>
      <c r="Q286" t="s">
        <v>74</v>
      </c>
      <c r="R286" t="s">
        <v>74</v>
      </c>
      <c r="S286" t="s">
        <v>74</v>
      </c>
      <c r="T286" t="s">
        <v>6035</v>
      </c>
      <c r="U286" t="s">
        <v>6036</v>
      </c>
      <c r="V286" t="s">
        <v>6037</v>
      </c>
      <c r="W286" t="s">
        <v>6038</v>
      </c>
      <c r="X286" t="s">
        <v>6039</v>
      </c>
      <c r="Y286" t="s">
        <v>6040</v>
      </c>
      <c r="Z286" t="s">
        <v>6041</v>
      </c>
      <c r="AA286" t="s">
        <v>74</v>
      </c>
      <c r="AB286" t="s">
        <v>74</v>
      </c>
      <c r="AC286" t="s">
        <v>6042</v>
      </c>
      <c r="AD286" t="s">
        <v>6043</v>
      </c>
      <c r="AE286" t="s">
        <v>6044</v>
      </c>
      <c r="AF286" t="s">
        <v>74</v>
      </c>
      <c r="AG286">
        <v>40</v>
      </c>
      <c r="AH286">
        <v>3</v>
      </c>
      <c r="AI286">
        <v>3</v>
      </c>
      <c r="AJ286">
        <v>0</v>
      </c>
      <c r="AK286">
        <v>4</v>
      </c>
      <c r="AL286" t="s">
        <v>6045</v>
      </c>
      <c r="AM286" t="s">
        <v>6046</v>
      </c>
      <c r="AN286" t="s">
        <v>6047</v>
      </c>
      <c r="AO286" t="s">
        <v>6048</v>
      </c>
      <c r="AP286" t="s">
        <v>6049</v>
      </c>
      <c r="AQ286" t="s">
        <v>74</v>
      </c>
      <c r="AR286" t="s">
        <v>6050</v>
      </c>
      <c r="AS286" t="s">
        <v>6051</v>
      </c>
      <c r="AT286" t="s">
        <v>3880</v>
      </c>
      <c r="AU286">
        <v>2022</v>
      </c>
      <c r="AV286">
        <v>56</v>
      </c>
      <c r="AW286">
        <v>5</v>
      </c>
      <c r="AX286" t="s">
        <v>74</v>
      </c>
      <c r="AY286" t="s">
        <v>74</v>
      </c>
      <c r="AZ286" t="s">
        <v>74</v>
      </c>
      <c r="BA286" t="s">
        <v>74</v>
      </c>
      <c r="BB286">
        <v>45</v>
      </c>
      <c r="BC286">
        <v>57</v>
      </c>
      <c r="BD286" t="s">
        <v>74</v>
      </c>
      <c r="BE286" t="s">
        <v>74</v>
      </c>
      <c r="BF286" t="s">
        <v>74</v>
      </c>
      <c r="BG286" t="s">
        <v>74</v>
      </c>
      <c r="BH286" t="s">
        <v>74</v>
      </c>
      <c r="BI286">
        <v>13</v>
      </c>
      <c r="BJ286" t="s">
        <v>6052</v>
      </c>
      <c r="BK286" t="s">
        <v>100</v>
      </c>
      <c r="BL286" t="s">
        <v>6053</v>
      </c>
      <c r="BM286" t="s">
        <v>6054</v>
      </c>
      <c r="BN286" t="s">
        <v>74</v>
      </c>
      <c r="BO286" t="s">
        <v>74</v>
      </c>
      <c r="BP286" t="s">
        <v>74</v>
      </c>
      <c r="BQ286" t="s">
        <v>74</v>
      </c>
      <c r="BR286" t="s">
        <v>103</v>
      </c>
      <c r="BS286" t="s">
        <v>6055</v>
      </c>
      <c r="BT286" t="str">
        <f>HYPERLINK("https%3A%2F%2Fwww.webofscience.com%2Fwos%2Fwoscc%2Ffull-record%2FWOS:000880310500007","View Full Record in Web of Science")</f>
        <v>View Full Record in Web of Science</v>
      </c>
    </row>
    <row r="287" spans="1:72" x14ac:dyDescent="0.15">
      <c r="A287" t="s">
        <v>72</v>
      </c>
      <c r="B287" t="s">
        <v>6056</v>
      </c>
      <c r="C287" t="s">
        <v>74</v>
      </c>
      <c r="D287" t="s">
        <v>74</v>
      </c>
      <c r="E287" t="s">
        <v>74</v>
      </c>
      <c r="F287" t="s">
        <v>6057</v>
      </c>
      <c r="G287" t="s">
        <v>74</v>
      </c>
      <c r="H287" t="s">
        <v>74</v>
      </c>
      <c r="I287" t="s">
        <v>6058</v>
      </c>
      <c r="J287" t="s">
        <v>1053</v>
      </c>
      <c r="K287" t="s">
        <v>74</v>
      </c>
      <c r="L287" t="s">
        <v>74</v>
      </c>
      <c r="M287" t="s">
        <v>78</v>
      </c>
      <c r="N287" t="s">
        <v>79</v>
      </c>
      <c r="O287" t="s">
        <v>74</v>
      </c>
      <c r="P287" t="s">
        <v>74</v>
      </c>
      <c r="Q287" t="s">
        <v>74</v>
      </c>
      <c r="R287" t="s">
        <v>74</v>
      </c>
      <c r="S287" t="s">
        <v>74</v>
      </c>
      <c r="T287" t="s">
        <v>6059</v>
      </c>
      <c r="U287" t="s">
        <v>6060</v>
      </c>
      <c r="V287" t="s">
        <v>6061</v>
      </c>
      <c r="W287" t="s">
        <v>6062</v>
      </c>
      <c r="X287" t="s">
        <v>6063</v>
      </c>
      <c r="Y287" t="s">
        <v>6064</v>
      </c>
      <c r="Z287" t="s">
        <v>6065</v>
      </c>
      <c r="AA287" t="s">
        <v>6066</v>
      </c>
      <c r="AB287" t="s">
        <v>6067</v>
      </c>
      <c r="AC287" t="s">
        <v>74</v>
      </c>
      <c r="AD287" t="s">
        <v>74</v>
      </c>
      <c r="AE287" t="s">
        <v>74</v>
      </c>
      <c r="AF287" t="s">
        <v>74</v>
      </c>
      <c r="AG287">
        <v>64</v>
      </c>
      <c r="AH287">
        <v>4</v>
      </c>
      <c r="AI287">
        <v>4</v>
      </c>
      <c r="AJ287">
        <v>3</v>
      </c>
      <c r="AK287">
        <v>10</v>
      </c>
      <c r="AL287" t="s">
        <v>1065</v>
      </c>
      <c r="AM287" t="s">
        <v>1066</v>
      </c>
      <c r="AN287" t="s">
        <v>1067</v>
      </c>
      <c r="AO287" t="s">
        <v>1068</v>
      </c>
      <c r="AP287" t="s">
        <v>1069</v>
      </c>
      <c r="AQ287" t="s">
        <v>74</v>
      </c>
      <c r="AR287" t="s">
        <v>1070</v>
      </c>
      <c r="AS287" t="s">
        <v>1071</v>
      </c>
      <c r="AT287" t="s">
        <v>3605</v>
      </c>
      <c r="AU287">
        <v>2022</v>
      </c>
      <c r="AV287">
        <v>52</v>
      </c>
      <c r="AW287">
        <v>10</v>
      </c>
      <c r="AX287" t="s">
        <v>74</v>
      </c>
      <c r="AY287" t="s">
        <v>74</v>
      </c>
      <c r="AZ287" t="s">
        <v>74</v>
      </c>
      <c r="BA287" t="s">
        <v>74</v>
      </c>
      <c r="BB287">
        <v>2273</v>
      </c>
      <c r="BC287">
        <v>2287</v>
      </c>
      <c r="BD287" t="s">
        <v>74</v>
      </c>
      <c r="BE287" t="s">
        <v>6068</v>
      </c>
      <c r="BF287" t="str">
        <f>HYPERLINK("http://dx.doi.org/10.1175/JPO-D-21-0259.1","http://dx.doi.org/10.1175/JPO-D-21-0259.1")</f>
        <v>http://dx.doi.org/10.1175/JPO-D-21-0259.1</v>
      </c>
      <c r="BG287" t="s">
        <v>74</v>
      </c>
      <c r="BH287" t="s">
        <v>74</v>
      </c>
      <c r="BI287">
        <v>15</v>
      </c>
      <c r="BJ287" t="s">
        <v>674</v>
      </c>
      <c r="BK287" t="s">
        <v>100</v>
      </c>
      <c r="BL287" t="s">
        <v>674</v>
      </c>
      <c r="BM287" t="s">
        <v>6069</v>
      </c>
      <c r="BN287" t="s">
        <v>74</v>
      </c>
      <c r="BO287" t="s">
        <v>3327</v>
      </c>
      <c r="BP287" t="s">
        <v>74</v>
      </c>
      <c r="BQ287" t="s">
        <v>74</v>
      </c>
      <c r="BR287" t="s">
        <v>103</v>
      </c>
      <c r="BS287" t="s">
        <v>6070</v>
      </c>
      <c r="BT287" t="str">
        <f>HYPERLINK("https%3A%2F%2Fwww.webofscience.com%2Fwos%2Fwoscc%2Ffull-record%2FWOS:000872390100002","View Full Record in Web of Science")</f>
        <v>View Full Record in Web of Science</v>
      </c>
    </row>
    <row r="288" spans="1:72" x14ac:dyDescent="0.15">
      <c r="A288" t="s">
        <v>72</v>
      </c>
      <c r="B288" t="s">
        <v>6071</v>
      </c>
      <c r="C288" t="s">
        <v>74</v>
      </c>
      <c r="D288" t="s">
        <v>74</v>
      </c>
      <c r="E288" t="s">
        <v>74</v>
      </c>
      <c r="F288" t="s">
        <v>6072</v>
      </c>
      <c r="G288" t="s">
        <v>74</v>
      </c>
      <c r="H288" t="s">
        <v>74</v>
      </c>
      <c r="I288" t="s">
        <v>6073</v>
      </c>
      <c r="J288" t="s">
        <v>3747</v>
      </c>
      <c r="K288" t="s">
        <v>74</v>
      </c>
      <c r="L288" t="s">
        <v>74</v>
      </c>
      <c r="M288" t="s">
        <v>78</v>
      </c>
      <c r="N288" t="s">
        <v>79</v>
      </c>
      <c r="O288" t="s">
        <v>74</v>
      </c>
      <c r="P288" t="s">
        <v>74</v>
      </c>
      <c r="Q288" t="s">
        <v>74</v>
      </c>
      <c r="R288" t="s">
        <v>74</v>
      </c>
      <c r="S288" t="s">
        <v>74</v>
      </c>
      <c r="T288" t="s">
        <v>6074</v>
      </c>
      <c r="U288" t="s">
        <v>6075</v>
      </c>
      <c r="V288" t="s">
        <v>6076</v>
      </c>
      <c r="W288" t="s">
        <v>6077</v>
      </c>
      <c r="X288" t="s">
        <v>6078</v>
      </c>
      <c r="Y288" t="s">
        <v>6079</v>
      </c>
      <c r="Z288" t="s">
        <v>6080</v>
      </c>
      <c r="AA288" t="s">
        <v>6081</v>
      </c>
      <c r="AB288" t="s">
        <v>6082</v>
      </c>
      <c r="AC288" t="s">
        <v>6083</v>
      </c>
      <c r="AD288" t="s">
        <v>6084</v>
      </c>
      <c r="AE288" t="s">
        <v>6085</v>
      </c>
      <c r="AF288" t="s">
        <v>74</v>
      </c>
      <c r="AG288">
        <v>114</v>
      </c>
      <c r="AH288">
        <v>6</v>
      </c>
      <c r="AI288">
        <v>6</v>
      </c>
      <c r="AJ288">
        <v>4</v>
      </c>
      <c r="AK288">
        <v>28</v>
      </c>
      <c r="AL288" t="s">
        <v>501</v>
      </c>
      <c r="AM288" t="s">
        <v>502</v>
      </c>
      <c r="AN288" t="s">
        <v>503</v>
      </c>
      <c r="AO288" t="s">
        <v>3759</v>
      </c>
      <c r="AP288" t="s">
        <v>3760</v>
      </c>
      <c r="AQ288" t="s">
        <v>74</v>
      </c>
      <c r="AR288" t="s">
        <v>3761</v>
      </c>
      <c r="AS288" t="s">
        <v>3762</v>
      </c>
      <c r="AT288" t="s">
        <v>5781</v>
      </c>
      <c r="AU288">
        <v>2022</v>
      </c>
      <c r="AV288">
        <v>851</v>
      </c>
      <c r="AW288" t="s">
        <v>74</v>
      </c>
      <c r="AX288">
        <v>2</v>
      </c>
      <c r="AY288" t="s">
        <v>74</v>
      </c>
      <c r="AZ288" t="s">
        <v>74</v>
      </c>
      <c r="BA288" t="s">
        <v>74</v>
      </c>
      <c r="BB288" t="s">
        <v>74</v>
      </c>
      <c r="BC288" t="s">
        <v>74</v>
      </c>
      <c r="BD288">
        <v>158314</v>
      </c>
      <c r="BE288" t="s">
        <v>6086</v>
      </c>
      <c r="BF288" t="str">
        <f>HYPERLINK("http://dx.doi.org/10.1016/j.scitotenv.2022.158314","http://dx.doi.org/10.1016/j.scitotenv.2022.158314")</f>
        <v>http://dx.doi.org/10.1016/j.scitotenv.2022.158314</v>
      </c>
      <c r="BG288" t="s">
        <v>74</v>
      </c>
      <c r="BH288" t="s">
        <v>2143</v>
      </c>
      <c r="BI288">
        <v>11</v>
      </c>
      <c r="BJ288" t="s">
        <v>2040</v>
      </c>
      <c r="BK288" t="s">
        <v>100</v>
      </c>
      <c r="BL288" t="s">
        <v>2041</v>
      </c>
      <c r="BM288" t="s">
        <v>6087</v>
      </c>
      <c r="BN288">
        <v>36041615</v>
      </c>
      <c r="BO288" t="s">
        <v>1221</v>
      </c>
      <c r="BP288" t="s">
        <v>74</v>
      </c>
      <c r="BQ288" t="s">
        <v>74</v>
      </c>
      <c r="BR288" t="s">
        <v>103</v>
      </c>
      <c r="BS288" t="s">
        <v>6088</v>
      </c>
      <c r="BT288" t="str">
        <f>HYPERLINK("https%3A%2F%2Fwww.webofscience.com%2Fwos%2Fwoscc%2Ffull-record%2FWOS:000863090700007","View Full Record in Web of Science")</f>
        <v>View Full Record in Web of Science</v>
      </c>
    </row>
    <row r="289" spans="1:72" x14ac:dyDescent="0.15">
      <c r="A289" t="s">
        <v>72</v>
      </c>
      <c r="B289" t="s">
        <v>6089</v>
      </c>
      <c r="C289" t="s">
        <v>74</v>
      </c>
      <c r="D289" t="s">
        <v>74</v>
      </c>
      <c r="E289" t="s">
        <v>74</v>
      </c>
      <c r="F289" t="s">
        <v>6090</v>
      </c>
      <c r="G289" t="s">
        <v>74</v>
      </c>
      <c r="H289" t="s">
        <v>74</v>
      </c>
      <c r="I289" t="s">
        <v>6091</v>
      </c>
      <c r="J289" t="s">
        <v>6092</v>
      </c>
      <c r="K289" t="s">
        <v>74</v>
      </c>
      <c r="L289" t="s">
        <v>74</v>
      </c>
      <c r="M289" t="s">
        <v>78</v>
      </c>
      <c r="N289" t="s">
        <v>79</v>
      </c>
      <c r="O289" t="s">
        <v>74</v>
      </c>
      <c r="P289" t="s">
        <v>74</v>
      </c>
      <c r="Q289" t="s">
        <v>74</v>
      </c>
      <c r="R289" t="s">
        <v>74</v>
      </c>
      <c r="S289" t="s">
        <v>74</v>
      </c>
      <c r="T289" t="s">
        <v>6093</v>
      </c>
      <c r="U289" t="s">
        <v>6094</v>
      </c>
      <c r="V289" t="s">
        <v>6095</v>
      </c>
      <c r="W289" t="s">
        <v>6096</v>
      </c>
      <c r="X289" t="s">
        <v>6097</v>
      </c>
      <c r="Y289" t="s">
        <v>6098</v>
      </c>
      <c r="Z289" t="s">
        <v>6099</v>
      </c>
      <c r="AA289" t="s">
        <v>6100</v>
      </c>
      <c r="AB289" t="s">
        <v>6101</v>
      </c>
      <c r="AC289" t="s">
        <v>74</v>
      </c>
      <c r="AD289" t="s">
        <v>74</v>
      </c>
      <c r="AE289" t="s">
        <v>74</v>
      </c>
      <c r="AF289" t="s">
        <v>74</v>
      </c>
      <c r="AG289">
        <v>147</v>
      </c>
      <c r="AH289">
        <v>1</v>
      </c>
      <c r="AI289">
        <v>1</v>
      </c>
      <c r="AJ289">
        <v>6</v>
      </c>
      <c r="AK289">
        <v>32</v>
      </c>
      <c r="AL289" t="s">
        <v>3089</v>
      </c>
      <c r="AM289" t="s">
        <v>2774</v>
      </c>
      <c r="AN289" t="s">
        <v>3090</v>
      </c>
      <c r="AO289" t="s">
        <v>6102</v>
      </c>
      <c r="AP289" t="s">
        <v>6103</v>
      </c>
      <c r="AQ289" t="s">
        <v>74</v>
      </c>
      <c r="AR289" t="s">
        <v>6104</v>
      </c>
      <c r="AS289" t="s">
        <v>6105</v>
      </c>
      <c r="AT289" t="s">
        <v>6106</v>
      </c>
      <c r="AU289">
        <v>2022</v>
      </c>
      <c r="AV289">
        <v>277</v>
      </c>
      <c r="AW289" t="s">
        <v>74</v>
      </c>
      <c r="AX289" t="s">
        <v>74</v>
      </c>
      <c r="AY289" t="s">
        <v>74</v>
      </c>
      <c r="AZ289" t="s">
        <v>74</v>
      </c>
      <c r="BA289" t="s">
        <v>74</v>
      </c>
      <c r="BB289" t="s">
        <v>74</v>
      </c>
      <c r="BC289" t="s">
        <v>74</v>
      </c>
      <c r="BD289">
        <v>108026</v>
      </c>
      <c r="BE289" t="s">
        <v>6107</v>
      </c>
      <c r="BF289" t="str">
        <f>HYPERLINK("http://dx.doi.org/10.1016/j.ecss.2022.108026","http://dx.doi.org/10.1016/j.ecss.2022.108026")</f>
        <v>http://dx.doi.org/10.1016/j.ecss.2022.108026</v>
      </c>
      <c r="BG289" t="s">
        <v>74</v>
      </c>
      <c r="BH289" t="s">
        <v>2143</v>
      </c>
      <c r="BI289">
        <v>14</v>
      </c>
      <c r="BJ289" t="s">
        <v>5083</v>
      </c>
      <c r="BK289" t="s">
        <v>100</v>
      </c>
      <c r="BL289" t="s">
        <v>5083</v>
      </c>
      <c r="BM289" t="s">
        <v>6108</v>
      </c>
      <c r="BN289" t="s">
        <v>74</v>
      </c>
      <c r="BO289" t="s">
        <v>74</v>
      </c>
      <c r="BP289" t="s">
        <v>74</v>
      </c>
      <c r="BQ289" t="s">
        <v>74</v>
      </c>
      <c r="BR289" t="s">
        <v>103</v>
      </c>
      <c r="BS289" t="s">
        <v>6109</v>
      </c>
      <c r="BT289" t="str">
        <f>HYPERLINK("https%3A%2F%2Fwww.webofscience.com%2Fwos%2Fwoscc%2Ffull-record%2FWOS:000860306400002","View Full Record in Web of Science")</f>
        <v>View Full Record in Web of Science</v>
      </c>
    </row>
    <row r="290" spans="1:72" x14ac:dyDescent="0.15">
      <c r="A290" t="s">
        <v>72</v>
      </c>
      <c r="B290" t="s">
        <v>6110</v>
      </c>
      <c r="C290" t="s">
        <v>74</v>
      </c>
      <c r="D290" t="s">
        <v>74</v>
      </c>
      <c r="E290" t="s">
        <v>74</v>
      </c>
      <c r="F290" t="s">
        <v>6111</v>
      </c>
      <c r="G290" t="s">
        <v>74</v>
      </c>
      <c r="H290" t="s">
        <v>74</v>
      </c>
      <c r="I290" t="s">
        <v>6112</v>
      </c>
      <c r="J290" t="s">
        <v>6113</v>
      </c>
      <c r="K290" t="s">
        <v>74</v>
      </c>
      <c r="L290" t="s">
        <v>74</v>
      </c>
      <c r="M290" t="s">
        <v>78</v>
      </c>
      <c r="N290" t="s">
        <v>79</v>
      </c>
      <c r="O290" t="s">
        <v>74</v>
      </c>
      <c r="P290" t="s">
        <v>74</v>
      </c>
      <c r="Q290" t="s">
        <v>74</v>
      </c>
      <c r="R290" t="s">
        <v>74</v>
      </c>
      <c r="S290" t="s">
        <v>74</v>
      </c>
      <c r="T290" t="s">
        <v>6114</v>
      </c>
      <c r="U290" t="s">
        <v>6115</v>
      </c>
      <c r="V290" t="s">
        <v>6116</v>
      </c>
      <c r="W290" t="s">
        <v>6117</v>
      </c>
      <c r="X290" t="s">
        <v>6118</v>
      </c>
      <c r="Y290" t="s">
        <v>6119</v>
      </c>
      <c r="Z290" t="s">
        <v>6120</v>
      </c>
      <c r="AA290" t="s">
        <v>6121</v>
      </c>
      <c r="AB290" t="s">
        <v>6122</v>
      </c>
      <c r="AC290" t="s">
        <v>6123</v>
      </c>
      <c r="AD290" t="s">
        <v>6124</v>
      </c>
      <c r="AE290" t="s">
        <v>6125</v>
      </c>
      <c r="AF290" t="s">
        <v>74</v>
      </c>
      <c r="AG290">
        <v>73</v>
      </c>
      <c r="AH290">
        <v>9</v>
      </c>
      <c r="AI290">
        <v>9</v>
      </c>
      <c r="AJ290">
        <v>3</v>
      </c>
      <c r="AK290">
        <v>31</v>
      </c>
      <c r="AL290" t="s">
        <v>6126</v>
      </c>
      <c r="AM290" t="s">
        <v>450</v>
      </c>
      <c r="AN290" t="s">
        <v>6127</v>
      </c>
      <c r="AO290" t="s">
        <v>6128</v>
      </c>
      <c r="AP290" t="s">
        <v>6129</v>
      </c>
      <c r="AQ290" t="s">
        <v>74</v>
      </c>
      <c r="AR290" t="s">
        <v>6130</v>
      </c>
      <c r="AS290" t="s">
        <v>6131</v>
      </c>
      <c r="AT290" t="s">
        <v>3605</v>
      </c>
      <c r="AU290">
        <v>2022</v>
      </c>
      <c r="AV290">
        <v>107</v>
      </c>
      <c r="AW290" t="s">
        <v>74</v>
      </c>
      <c r="AX290" t="s">
        <v>74</v>
      </c>
      <c r="AY290" t="s">
        <v>74</v>
      </c>
      <c r="AZ290" t="s">
        <v>74</v>
      </c>
      <c r="BA290" t="s">
        <v>74</v>
      </c>
      <c r="BB290" t="s">
        <v>74</v>
      </c>
      <c r="BC290" t="s">
        <v>74</v>
      </c>
      <c r="BD290">
        <v>109061</v>
      </c>
      <c r="BE290" t="s">
        <v>6132</v>
      </c>
      <c r="BF290" t="str">
        <f>HYPERLINK("http://dx.doi.org/10.1016/j.jnutbio.2022.109061","http://dx.doi.org/10.1016/j.jnutbio.2022.109061")</f>
        <v>http://dx.doi.org/10.1016/j.jnutbio.2022.109061</v>
      </c>
      <c r="BG290" t="s">
        <v>74</v>
      </c>
      <c r="BH290" t="s">
        <v>74</v>
      </c>
      <c r="BI290">
        <v>17</v>
      </c>
      <c r="BJ290" t="s">
        <v>6133</v>
      </c>
      <c r="BK290" t="s">
        <v>100</v>
      </c>
      <c r="BL290" t="s">
        <v>6133</v>
      </c>
      <c r="BM290" t="s">
        <v>6134</v>
      </c>
      <c r="BN290">
        <v>35613674</v>
      </c>
      <c r="BO290" t="s">
        <v>74</v>
      </c>
      <c r="BP290" t="s">
        <v>74</v>
      </c>
      <c r="BQ290" t="s">
        <v>74</v>
      </c>
      <c r="BR290" t="s">
        <v>103</v>
      </c>
      <c r="BS290" t="s">
        <v>6135</v>
      </c>
      <c r="BT290" t="str">
        <f>HYPERLINK("https%3A%2F%2Fwww.webofscience.com%2Fwos%2Fwoscc%2Ffull-record%2FWOS:000861658800003","View Full Record in Web of Science")</f>
        <v>View Full Record in Web of Science</v>
      </c>
    </row>
    <row r="291" spans="1:72" x14ac:dyDescent="0.15">
      <c r="A291" t="s">
        <v>72</v>
      </c>
      <c r="B291" t="s">
        <v>6136</v>
      </c>
      <c r="C291" t="s">
        <v>74</v>
      </c>
      <c r="D291" t="s">
        <v>74</v>
      </c>
      <c r="E291" t="s">
        <v>74</v>
      </c>
      <c r="F291" t="s">
        <v>6137</v>
      </c>
      <c r="G291" t="s">
        <v>74</v>
      </c>
      <c r="H291" t="s">
        <v>74</v>
      </c>
      <c r="I291" t="s">
        <v>6138</v>
      </c>
      <c r="J291" t="s">
        <v>6139</v>
      </c>
      <c r="K291" t="s">
        <v>74</v>
      </c>
      <c r="L291" t="s">
        <v>74</v>
      </c>
      <c r="M291" t="s">
        <v>78</v>
      </c>
      <c r="N291" t="s">
        <v>79</v>
      </c>
      <c r="O291" t="s">
        <v>74</v>
      </c>
      <c r="P291" t="s">
        <v>74</v>
      </c>
      <c r="Q291" t="s">
        <v>74</v>
      </c>
      <c r="R291" t="s">
        <v>74</v>
      </c>
      <c r="S291" t="s">
        <v>74</v>
      </c>
      <c r="T291" t="s">
        <v>74</v>
      </c>
      <c r="U291" t="s">
        <v>6140</v>
      </c>
      <c r="V291" t="s">
        <v>6141</v>
      </c>
      <c r="W291" t="s">
        <v>6142</v>
      </c>
      <c r="X291" t="s">
        <v>6143</v>
      </c>
      <c r="Y291" t="s">
        <v>6144</v>
      </c>
      <c r="Z291" t="s">
        <v>6145</v>
      </c>
      <c r="AA291" t="s">
        <v>6146</v>
      </c>
      <c r="AB291" t="s">
        <v>6147</v>
      </c>
      <c r="AC291" t="s">
        <v>6148</v>
      </c>
      <c r="AD291" t="s">
        <v>6148</v>
      </c>
      <c r="AE291" t="s">
        <v>6149</v>
      </c>
      <c r="AF291" t="s">
        <v>74</v>
      </c>
      <c r="AG291">
        <v>59</v>
      </c>
      <c r="AH291">
        <v>0</v>
      </c>
      <c r="AI291">
        <v>0</v>
      </c>
      <c r="AJ291">
        <v>0</v>
      </c>
      <c r="AK291">
        <v>6</v>
      </c>
      <c r="AL291" t="s">
        <v>946</v>
      </c>
      <c r="AM291" t="s">
        <v>207</v>
      </c>
      <c r="AN291" t="s">
        <v>947</v>
      </c>
      <c r="AO291" t="s">
        <v>74</v>
      </c>
      <c r="AP291" t="s">
        <v>6150</v>
      </c>
      <c r="AQ291" t="s">
        <v>74</v>
      </c>
      <c r="AR291" t="s">
        <v>6151</v>
      </c>
      <c r="AS291" t="s">
        <v>6152</v>
      </c>
      <c r="AT291" t="s">
        <v>3605</v>
      </c>
      <c r="AU291">
        <v>2022</v>
      </c>
      <c r="AV291">
        <v>9</v>
      </c>
      <c r="AW291">
        <v>9</v>
      </c>
      <c r="AX291" t="s">
        <v>74</v>
      </c>
      <c r="AY291" t="s">
        <v>74</v>
      </c>
      <c r="AZ291" t="s">
        <v>74</v>
      </c>
      <c r="BA291" t="s">
        <v>74</v>
      </c>
      <c r="BB291" t="s">
        <v>74</v>
      </c>
      <c r="BC291" t="s">
        <v>74</v>
      </c>
      <c r="BD291" t="s">
        <v>6153</v>
      </c>
      <c r="BE291" t="s">
        <v>6154</v>
      </c>
      <c r="BF291" t="str">
        <f>HYPERLINK("http://dx.doi.org/10.1029/2022EA002472","http://dx.doi.org/10.1029/2022EA002472")</f>
        <v>http://dx.doi.org/10.1029/2022EA002472</v>
      </c>
      <c r="BG291" t="s">
        <v>74</v>
      </c>
      <c r="BH291" t="s">
        <v>74</v>
      </c>
      <c r="BI291">
        <v>23</v>
      </c>
      <c r="BJ291" t="s">
        <v>6155</v>
      </c>
      <c r="BK291" t="s">
        <v>100</v>
      </c>
      <c r="BL291" t="s">
        <v>6156</v>
      </c>
      <c r="BM291" t="s">
        <v>6157</v>
      </c>
      <c r="BN291" t="s">
        <v>74</v>
      </c>
      <c r="BO291" t="s">
        <v>1013</v>
      </c>
      <c r="BP291" t="s">
        <v>74</v>
      </c>
      <c r="BQ291" t="s">
        <v>74</v>
      </c>
      <c r="BR291" t="s">
        <v>103</v>
      </c>
      <c r="BS291" t="s">
        <v>6158</v>
      </c>
      <c r="BT291" t="str">
        <f>HYPERLINK("https%3A%2F%2Fwww.webofscience.com%2Fwos%2Fwoscc%2Ffull-record%2FWOS:000861860200001","View Full Record in Web of Science")</f>
        <v>View Full Record in Web of Science</v>
      </c>
    </row>
    <row r="292" spans="1:72" x14ac:dyDescent="0.15">
      <c r="A292" t="s">
        <v>72</v>
      </c>
      <c r="B292" t="s">
        <v>6159</v>
      </c>
      <c r="C292" t="s">
        <v>74</v>
      </c>
      <c r="D292" t="s">
        <v>74</v>
      </c>
      <c r="E292" t="s">
        <v>74</v>
      </c>
      <c r="F292" t="s">
        <v>6160</v>
      </c>
      <c r="G292" t="s">
        <v>74</v>
      </c>
      <c r="H292" t="s">
        <v>74</v>
      </c>
      <c r="I292" t="s">
        <v>6161</v>
      </c>
      <c r="J292" t="s">
        <v>6162</v>
      </c>
      <c r="K292" t="s">
        <v>74</v>
      </c>
      <c r="L292" t="s">
        <v>74</v>
      </c>
      <c r="M292" t="s">
        <v>78</v>
      </c>
      <c r="N292" t="s">
        <v>79</v>
      </c>
      <c r="O292" t="s">
        <v>74</v>
      </c>
      <c r="P292" t="s">
        <v>74</v>
      </c>
      <c r="Q292" t="s">
        <v>74</v>
      </c>
      <c r="R292" t="s">
        <v>74</v>
      </c>
      <c r="S292" t="s">
        <v>74</v>
      </c>
      <c r="T292" t="s">
        <v>6163</v>
      </c>
      <c r="U292" t="s">
        <v>6164</v>
      </c>
      <c r="V292" t="s">
        <v>6165</v>
      </c>
      <c r="W292" t="s">
        <v>6166</v>
      </c>
      <c r="X292" t="s">
        <v>6167</v>
      </c>
      <c r="Y292" t="s">
        <v>6168</v>
      </c>
      <c r="Z292" t="s">
        <v>6169</v>
      </c>
      <c r="AA292" t="s">
        <v>6170</v>
      </c>
      <c r="AB292" t="s">
        <v>6171</v>
      </c>
      <c r="AC292" t="s">
        <v>6172</v>
      </c>
      <c r="AD292" t="s">
        <v>6173</v>
      </c>
      <c r="AE292" t="s">
        <v>6174</v>
      </c>
      <c r="AF292" t="s">
        <v>74</v>
      </c>
      <c r="AG292">
        <v>73</v>
      </c>
      <c r="AH292">
        <v>6</v>
      </c>
      <c r="AI292">
        <v>6</v>
      </c>
      <c r="AJ292">
        <v>1</v>
      </c>
      <c r="AK292">
        <v>25</v>
      </c>
      <c r="AL292" t="s">
        <v>1065</v>
      </c>
      <c r="AM292" t="s">
        <v>1066</v>
      </c>
      <c r="AN292" t="s">
        <v>1067</v>
      </c>
      <c r="AO292" t="s">
        <v>6175</v>
      </c>
      <c r="AP292" t="s">
        <v>6176</v>
      </c>
      <c r="AQ292" t="s">
        <v>74</v>
      </c>
      <c r="AR292" t="s">
        <v>6177</v>
      </c>
      <c r="AS292" t="s">
        <v>6178</v>
      </c>
      <c r="AT292" t="s">
        <v>3605</v>
      </c>
      <c r="AU292">
        <v>2022</v>
      </c>
      <c r="AV292">
        <v>79</v>
      </c>
      <c r="AW292">
        <v>9</v>
      </c>
      <c r="AX292" t="s">
        <v>74</v>
      </c>
      <c r="AY292" t="s">
        <v>74</v>
      </c>
      <c r="AZ292" t="s">
        <v>74</v>
      </c>
      <c r="BA292" t="s">
        <v>74</v>
      </c>
      <c r="BB292">
        <v>2453</v>
      </c>
      <c r="BC292">
        <v>2469</v>
      </c>
      <c r="BD292" t="s">
        <v>74</v>
      </c>
      <c r="BE292" t="s">
        <v>6179</v>
      </c>
      <c r="BF292" t="str">
        <f>HYPERLINK("http://dx.doi.org/10.1175/JAS-D-21-0206.1","http://dx.doi.org/10.1175/JAS-D-21-0206.1")</f>
        <v>http://dx.doi.org/10.1175/JAS-D-21-0206.1</v>
      </c>
      <c r="BG292" t="s">
        <v>74</v>
      </c>
      <c r="BH292" t="s">
        <v>74</v>
      </c>
      <c r="BI292">
        <v>17</v>
      </c>
      <c r="BJ292" t="s">
        <v>457</v>
      </c>
      <c r="BK292" t="s">
        <v>100</v>
      </c>
      <c r="BL292" t="s">
        <v>457</v>
      </c>
      <c r="BM292" t="s">
        <v>6180</v>
      </c>
      <c r="BN292" t="s">
        <v>74</v>
      </c>
      <c r="BO292" t="s">
        <v>74</v>
      </c>
      <c r="BP292" t="s">
        <v>74</v>
      </c>
      <c r="BQ292" t="s">
        <v>74</v>
      </c>
      <c r="BR292" t="s">
        <v>103</v>
      </c>
      <c r="BS292" t="s">
        <v>6181</v>
      </c>
      <c r="BT292" t="str">
        <f>HYPERLINK("https%3A%2F%2Fwww.webofscience.com%2Fwos%2Fwoscc%2Ffull-record%2FWOS:000860320200016","View Full Record in Web of Science")</f>
        <v>View Full Record in Web of Science</v>
      </c>
    </row>
    <row r="293" spans="1:72" x14ac:dyDescent="0.15">
      <c r="A293" t="s">
        <v>72</v>
      </c>
      <c r="B293" t="s">
        <v>6182</v>
      </c>
      <c r="C293" t="s">
        <v>74</v>
      </c>
      <c r="D293" t="s">
        <v>74</v>
      </c>
      <c r="E293" t="s">
        <v>74</v>
      </c>
      <c r="F293" t="s">
        <v>6183</v>
      </c>
      <c r="G293" t="s">
        <v>74</v>
      </c>
      <c r="H293" t="s">
        <v>74</v>
      </c>
      <c r="I293" t="s">
        <v>6184</v>
      </c>
      <c r="J293" t="s">
        <v>1839</v>
      </c>
      <c r="K293" t="s">
        <v>74</v>
      </c>
      <c r="L293" t="s">
        <v>74</v>
      </c>
      <c r="M293" t="s">
        <v>78</v>
      </c>
      <c r="N293" t="s">
        <v>165</v>
      </c>
      <c r="O293" t="s">
        <v>74</v>
      </c>
      <c r="P293" t="s">
        <v>74</v>
      </c>
      <c r="Q293" t="s">
        <v>74</v>
      </c>
      <c r="R293" t="s">
        <v>74</v>
      </c>
      <c r="S293" t="s">
        <v>74</v>
      </c>
      <c r="T293" t="s">
        <v>6185</v>
      </c>
      <c r="U293" t="s">
        <v>6186</v>
      </c>
      <c r="V293" t="s">
        <v>6187</v>
      </c>
      <c r="W293" t="s">
        <v>6188</v>
      </c>
      <c r="X293" t="s">
        <v>6189</v>
      </c>
      <c r="Y293" t="s">
        <v>6190</v>
      </c>
      <c r="Z293" t="s">
        <v>6191</v>
      </c>
      <c r="AA293" t="s">
        <v>74</v>
      </c>
      <c r="AB293" t="s">
        <v>6192</v>
      </c>
      <c r="AC293" t="s">
        <v>6193</v>
      </c>
      <c r="AD293" t="s">
        <v>6193</v>
      </c>
      <c r="AE293" t="s">
        <v>6194</v>
      </c>
      <c r="AF293" t="s">
        <v>74</v>
      </c>
      <c r="AG293">
        <v>134</v>
      </c>
      <c r="AH293">
        <v>1</v>
      </c>
      <c r="AI293">
        <v>1</v>
      </c>
      <c r="AJ293">
        <v>3</v>
      </c>
      <c r="AK293">
        <v>16</v>
      </c>
      <c r="AL293" t="s">
        <v>1065</v>
      </c>
      <c r="AM293" t="s">
        <v>1066</v>
      </c>
      <c r="AN293" t="s">
        <v>1067</v>
      </c>
      <c r="AO293" t="s">
        <v>1851</v>
      </c>
      <c r="AP293" t="s">
        <v>1852</v>
      </c>
      <c r="AQ293" t="s">
        <v>74</v>
      </c>
      <c r="AR293" t="s">
        <v>1853</v>
      </c>
      <c r="AS293" t="s">
        <v>1854</v>
      </c>
      <c r="AT293" t="s">
        <v>5933</v>
      </c>
      <c r="AU293">
        <v>2022</v>
      </c>
      <c r="AV293">
        <v>35</v>
      </c>
      <c r="AW293">
        <v>17</v>
      </c>
      <c r="AX293" t="s">
        <v>74</v>
      </c>
      <c r="AY293" t="s">
        <v>74</v>
      </c>
      <c r="AZ293" t="s">
        <v>74</v>
      </c>
      <c r="BA293" t="s">
        <v>74</v>
      </c>
      <c r="BB293">
        <v>5465</v>
      </c>
      <c r="BC293">
        <v>5482</v>
      </c>
      <c r="BD293" t="s">
        <v>74</v>
      </c>
      <c r="BE293" t="s">
        <v>6195</v>
      </c>
      <c r="BF293" t="str">
        <f>HYPERLINK("http://dx.doi.org/10.1175/JCLI-D-21-0671.1","http://dx.doi.org/10.1175/JCLI-D-21-0671.1")</f>
        <v>http://dx.doi.org/10.1175/JCLI-D-21-0671.1</v>
      </c>
      <c r="BG293" t="s">
        <v>74</v>
      </c>
      <c r="BH293" t="s">
        <v>74</v>
      </c>
      <c r="BI293">
        <v>18</v>
      </c>
      <c r="BJ293" t="s">
        <v>457</v>
      </c>
      <c r="BK293" t="s">
        <v>100</v>
      </c>
      <c r="BL293" t="s">
        <v>457</v>
      </c>
      <c r="BM293" t="s">
        <v>6196</v>
      </c>
      <c r="BN293" t="s">
        <v>74</v>
      </c>
      <c r="BO293" t="s">
        <v>3327</v>
      </c>
      <c r="BP293" t="s">
        <v>74</v>
      </c>
      <c r="BQ293" t="s">
        <v>74</v>
      </c>
      <c r="BR293" t="s">
        <v>103</v>
      </c>
      <c r="BS293" t="s">
        <v>6197</v>
      </c>
      <c r="BT293" t="str">
        <f>HYPERLINK("https%3A%2F%2Fwww.webofscience.com%2Fwos%2Fwoscc%2Ffull-record%2FWOS:000860701300001","View Full Record in Web of Science")</f>
        <v>View Full Record in Web of Science</v>
      </c>
    </row>
    <row r="294" spans="1:72" x14ac:dyDescent="0.15">
      <c r="A294" t="s">
        <v>72</v>
      </c>
      <c r="B294" t="s">
        <v>6198</v>
      </c>
      <c r="C294" t="s">
        <v>74</v>
      </c>
      <c r="D294" t="s">
        <v>74</v>
      </c>
      <c r="E294" t="s">
        <v>74</v>
      </c>
      <c r="F294" t="s">
        <v>6199</v>
      </c>
      <c r="G294" t="s">
        <v>74</v>
      </c>
      <c r="H294" t="s">
        <v>74</v>
      </c>
      <c r="I294" t="s">
        <v>6200</v>
      </c>
      <c r="J294" t="s">
        <v>1839</v>
      </c>
      <c r="K294" t="s">
        <v>74</v>
      </c>
      <c r="L294" t="s">
        <v>74</v>
      </c>
      <c r="M294" t="s">
        <v>78</v>
      </c>
      <c r="N294" t="s">
        <v>79</v>
      </c>
      <c r="O294" t="s">
        <v>74</v>
      </c>
      <c r="P294" t="s">
        <v>74</v>
      </c>
      <c r="Q294" t="s">
        <v>74</v>
      </c>
      <c r="R294" t="s">
        <v>74</v>
      </c>
      <c r="S294" t="s">
        <v>74</v>
      </c>
      <c r="T294" t="s">
        <v>6201</v>
      </c>
      <c r="U294" t="s">
        <v>6202</v>
      </c>
      <c r="V294" t="s">
        <v>6203</v>
      </c>
      <c r="W294" t="s">
        <v>6204</v>
      </c>
      <c r="X294" t="s">
        <v>6205</v>
      </c>
      <c r="Y294" t="s">
        <v>6206</v>
      </c>
      <c r="Z294" t="s">
        <v>6207</v>
      </c>
      <c r="AA294" t="s">
        <v>6208</v>
      </c>
      <c r="AB294" t="s">
        <v>6209</v>
      </c>
      <c r="AC294" t="s">
        <v>6210</v>
      </c>
      <c r="AD294" t="s">
        <v>6211</v>
      </c>
      <c r="AE294" t="s">
        <v>6212</v>
      </c>
      <c r="AF294" t="s">
        <v>74</v>
      </c>
      <c r="AG294">
        <v>73</v>
      </c>
      <c r="AH294">
        <v>5</v>
      </c>
      <c r="AI294">
        <v>5</v>
      </c>
      <c r="AJ294">
        <v>11</v>
      </c>
      <c r="AK294">
        <v>34</v>
      </c>
      <c r="AL294" t="s">
        <v>1065</v>
      </c>
      <c r="AM294" t="s">
        <v>1066</v>
      </c>
      <c r="AN294" t="s">
        <v>1067</v>
      </c>
      <c r="AO294" t="s">
        <v>1851</v>
      </c>
      <c r="AP294" t="s">
        <v>1852</v>
      </c>
      <c r="AQ294" t="s">
        <v>74</v>
      </c>
      <c r="AR294" t="s">
        <v>1853</v>
      </c>
      <c r="AS294" t="s">
        <v>1854</v>
      </c>
      <c r="AT294" t="s">
        <v>5933</v>
      </c>
      <c r="AU294">
        <v>2022</v>
      </c>
      <c r="AV294">
        <v>35</v>
      </c>
      <c r="AW294">
        <v>17</v>
      </c>
      <c r="AX294" t="s">
        <v>74</v>
      </c>
      <c r="AY294" t="s">
        <v>74</v>
      </c>
      <c r="AZ294" t="s">
        <v>74</v>
      </c>
      <c r="BA294" t="s">
        <v>74</v>
      </c>
      <c r="BB294">
        <v>5537</v>
      </c>
      <c r="BC294">
        <v>5553</v>
      </c>
      <c r="BD294" t="s">
        <v>74</v>
      </c>
      <c r="BE294" t="s">
        <v>6213</v>
      </c>
      <c r="BF294" t="str">
        <f>HYPERLINK("http://dx.doi.org/10.1175/JCLI-D-21-0786.1","http://dx.doi.org/10.1175/JCLI-D-21-0786.1")</f>
        <v>http://dx.doi.org/10.1175/JCLI-D-21-0786.1</v>
      </c>
      <c r="BG294" t="s">
        <v>74</v>
      </c>
      <c r="BH294" t="s">
        <v>74</v>
      </c>
      <c r="BI294">
        <v>17</v>
      </c>
      <c r="BJ294" t="s">
        <v>457</v>
      </c>
      <c r="BK294" t="s">
        <v>100</v>
      </c>
      <c r="BL294" t="s">
        <v>457</v>
      </c>
      <c r="BM294" t="s">
        <v>6196</v>
      </c>
      <c r="BN294" t="s">
        <v>74</v>
      </c>
      <c r="BO294" t="s">
        <v>3327</v>
      </c>
      <c r="BP294" t="s">
        <v>74</v>
      </c>
      <c r="BQ294" t="s">
        <v>74</v>
      </c>
      <c r="BR294" t="s">
        <v>103</v>
      </c>
      <c r="BS294" t="s">
        <v>6214</v>
      </c>
      <c r="BT294" t="str">
        <f>HYPERLINK("https%3A%2F%2Fwww.webofscience.com%2Fwos%2Fwoscc%2Ffull-record%2FWOS:000860701300005","View Full Record in Web of Science")</f>
        <v>View Full Record in Web of Science</v>
      </c>
    </row>
    <row r="295" spans="1:72" x14ac:dyDescent="0.15">
      <c r="A295" t="s">
        <v>72</v>
      </c>
      <c r="B295" t="s">
        <v>6215</v>
      </c>
      <c r="C295" t="s">
        <v>74</v>
      </c>
      <c r="D295" t="s">
        <v>74</v>
      </c>
      <c r="E295" t="s">
        <v>74</v>
      </c>
      <c r="F295" t="s">
        <v>6216</v>
      </c>
      <c r="G295" t="s">
        <v>74</v>
      </c>
      <c r="H295" t="s">
        <v>74</v>
      </c>
      <c r="I295" t="s">
        <v>6217</v>
      </c>
      <c r="J295" t="s">
        <v>1839</v>
      </c>
      <c r="K295" t="s">
        <v>74</v>
      </c>
      <c r="L295" t="s">
        <v>74</v>
      </c>
      <c r="M295" t="s">
        <v>78</v>
      </c>
      <c r="N295" t="s">
        <v>79</v>
      </c>
      <c r="O295" t="s">
        <v>74</v>
      </c>
      <c r="P295" t="s">
        <v>74</v>
      </c>
      <c r="Q295" t="s">
        <v>74</v>
      </c>
      <c r="R295" t="s">
        <v>74</v>
      </c>
      <c r="S295" t="s">
        <v>74</v>
      </c>
      <c r="T295" t="s">
        <v>6218</v>
      </c>
      <c r="U295" t="s">
        <v>6219</v>
      </c>
      <c r="V295" t="s">
        <v>6220</v>
      </c>
      <c r="W295" t="s">
        <v>6221</v>
      </c>
      <c r="X295" t="s">
        <v>6222</v>
      </c>
      <c r="Y295" t="s">
        <v>6223</v>
      </c>
      <c r="Z295" t="s">
        <v>6224</v>
      </c>
      <c r="AA295" t="s">
        <v>6225</v>
      </c>
      <c r="AB295" t="s">
        <v>74</v>
      </c>
      <c r="AC295" t="s">
        <v>6226</v>
      </c>
      <c r="AD295" t="s">
        <v>6227</v>
      </c>
      <c r="AE295" t="s">
        <v>6228</v>
      </c>
      <c r="AF295" t="s">
        <v>74</v>
      </c>
      <c r="AG295">
        <v>89</v>
      </c>
      <c r="AH295">
        <v>2</v>
      </c>
      <c r="AI295">
        <v>3</v>
      </c>
      <c r="AJ295">
        <v>5</v>
      </c>
      <c r="AK295">
        <v>16</v>
      </c>
      <c r="AL295" t="s">
        <v>1065</v>
      </c>
      <c r="AM295" t="s">
        <v>1066</v>
      </c>
      <c r="AN295" t="s">
        <v>1067</v>
      </c>
      <c r="AO295" t="s">
        <v>1851</v>
      </c>
      <c r="AP295" t="s">
        <v>1852</v>
      </c>
      <c r="AQ295" t="s">
        <v>74</v>
      </c>
      <c r="AR295" t="s">
        <v>1853</v>
      </c>
      <c r="AS295" t="s">
        <v>1854</v>
      </c>
      <c r="AT295" t="s">
        <v>5933</v>
      </c>
      <c r="AU295">
        <v>2022</v>
      </c>
      <c r="AV295">
        <v>35</v>
      </c>
      <c r="AW295">
        <v>17</v>
      </c>
      <c r="AX295" t="s">
        <v>74</v>
      </c>
      <c r="AY295" t="s">
        <v>74</v>
      </c>
      <c r="AZ295" t="s">
        <v>74</v>
      </c>
      <c r="BA295" t="s">
        <v>74</v>
      </c>
      <c r="BB295">
        <v>5687</v>
      </c>
      <c r="BC295">
        <v>5702</v>
      </c>
      <c r="BD295" t="s">
        <v>74</v>
      </c>
      <c r="BE295" t="s">
        <v>6229</v>
      </c>
      <c r="BF295" t="str">
        <f>HYPERLINK("http://dx.doi.org/10.1175/JCLI-D-21-0965.1","http://dx.doi.org/10.1175/JCLI-D-21-0965.1")</f>
        <v>http://dx.doi.org/10.1175/JCLI-D-21-0965.1</v>
      </c>
      <c r="BG295" t="s">
        <v>74</v>
      </c>
      <c r="BH295" t="s">
        <v>74</v>
      </c>
      <c r="BI295">
        <v>16</v>
      </c>
      <c r="BJ295" t="s">
        <v>457</v>
      </c>
      <c r="BK295" t="s">
        <v>100</v>
      </c>
      <c r="BL295" t="s">
        <v>457</v>
      </c>
      <c r="BM295" t="s">
        <v>6196</v>
      </c>
      <c r="BN295" t="s">
        <v>74</v>
      </c>
      <c r="BO295" t="s">
        <v>404</v>
      </c>
      <c r="BP295" t="s">
        <v>74</v>
      </c>
      <c r="BQ295" t="s">
        <v>74</v>
      </c>
      <c r="BR295" t="s">
        <v>103</v>
      </c>
      <c r="BS295" t="s">
        <v>6230</v>
      </c>
      <c r="BT295" t="str">
        <f>HYPERLINK("https%3A%2F%2Fwww.webofscience.com%2Fwos%2Fwoscc%2Ffull-record%2FWOS:000860701300014","View Full Record in Web of Science")</f>
        <v>View Full Record in Web of Science</v>
      </c>
    </row>
    <row r="296" spans="1:72" x14ac:dyDescent="0.15">
      <c r="A296" t="s">
        <v>72</v>
      </c>
      <c r="B296" t="s">
        <v>6231</v>
      </c>
      <c r="C296" t="s">
        <v>74</v>
      </c>
      <c r="D296" t="s">
        <v>74</v>
      </c>
      <c r="E296" t="s">
        <v>74</v>
      </c>
      <c r="F296" t="s">
        <v>6232</v>
      </c>
      <c r="G296" t="s">
        <v>74</v>
      </c>
      <c r="H296" t="s">
        <v>74</v>
      </c>
      <c r="I296" t="s">
        <v>6233</v>
      </c>
      <c r="J296" t="s">
        <v>1839</v>
      </c>
      <c r="K296" t="s">
        <v>74</v>
      </c>
      <c r="L296" t="s">
        <v>74</v>
      </c>
      <c r="M296" t="s">
        <v>78</v>
      </c>
      <c r="N296" t="s">
        <v>79</v>
      </c>
      <c r="O296" t="s">
        <v>74</v>
      </c>
      <c r="P296" t="s">
        <v>74</v>
      </c>
      <c r="Q296" t="s">
        <v>74</v>
      </c>
      <c r="R296" t="s">
        <v>74</v>
      </c>
      <c r="S296" t="s">
        <v>74</v>
      </c>
      <c r="T296" t="s">
        <v>6234</v>
      </c>
      <c r="U296" t="s">
        <v>6235</v>
      </c>
      <c r="V296" t="s">
        <v>6236</v>
      </c>
      <c r="W296" t="s">
        <v>6237</v>
      </c>
      <c r="X296" t="s">
        <v>6238</v>
      </c>
      <c r="Y296" t="s">
        <v>6239</v>
      </c>
      <c r="Z296" t="s">
        <v>6240</v>
      </c>
      <c r="AA296" t="s">
        <v>6241</v>
      </c>
      <c r="AB296" t="s">
        <v>6242</v>
      </c>
      <c r="AC296" t="s">
        <v>6243</v>
      </c>
      <c r="AD296" t="s">
        <v>6244</v>
      </c>
      <c r="AE296" t="s">
        <v>6245</v>
      </c>
      <c r="AF296" t="s">
        <v>74</v>
      </c>
      <c r="AG296">
        <v>94</v>
      </c>
      <c r="AH296">
        <v>4</v>
      </c>
      <c r="AI296">
        <v>4</v>
      </c>
      <c r="AJ296">
        <v>3</v>
      </c>
      <c r="AK296">
        <v>9</v>
      </c>
      <c r="AL296" t="s">
        <v>1065</v>
      </c>
      <c r="AM296" t="s">
        <v>1066</v>
      </c>
      <c r="AN296" t="s">
        <v>1067</v>
      </c>
      <c r="AO296" t="s">
        <v>1851</v>
      </c>
      <c r="AP296" t="s">
        <v>1852</v>
      </c>
      <c r="AQ296" t="s">
        <v>74</v>
      </c>
      <c r="AR296" t="s">
        <v>1853</v>
      </c>
      <c r="AS296" t="s">
        <v>1854</v>
      </c>
      <c r="AT296" t="s">
        <v>5933</v>
      </c>
      <c r="AU296">
        <v>2022</v>
      </c>
      <c r="AV296">
        <v>35</v>
      </c>
      <c r="AW296">
        <v>17</v>
      </c>
      <c r="AX296" t="s">
        <v>74</v>
      </c>
      <c r="AY296" t="s">
        <v>74</v>
      </c>
      <c r="AZ296" t="s">
        <v>74</v>
      </c>
      <c r="BA296" t="s">
        <v>74</v>
      </c>
      <c r="BB296">
        <v>5745</v>
      </c>
      <c r="BC296">
        <v>5758</v>
      </c>
      <c r="BD296" t="s">
        <v>74</v>
      </c>
      <c r="BE296" t="s">
        <v>6246</v>
      </c>
      <c r="BF296" t="str">
        <f>HYPERLINK("http://dx.doi.org/10.1175/JCLI-D-21-0713.1","http://dx.doi.org/10.1175/JCLI-D-21-0713.1")</f>
        <v>http://dx.doi.org/10.1175/JCLI-D-21-0713.1</v>
      </c>
      <c r="BG296" t="s">
        <v>74</v>
      </c>
      <c r="BH296" t="s">
        <v>74</v>
      </c>
      <c r="BI296">
        <v>14</v>
      </c>
      <c r="BJ296" t="s">
        <v>457</v>
      </c>
      <c r="BK296" t="s">
        <v>100</v>
      </c>
      <c r="BL296" t="s">
        <v>457</v>
      </c>
      <c r="BM296" t="s">
        <v>6196</v>
      </c>
      <c r="BN296" t="s">
        <v>74</v>
      </c>
      <c r="BO296" t="s">
        <v>74</v>
      </c>
      <c r="BP296" t="s">
        <v>74</v>
      </c>
      <c r="BQ296" t="s">
        <v>74</v>
      </c>
      <c r="BR296" t="s">
        <v>103</v>
      </c>
      <c r="BS296" t="s">
        <v>6247</v>
      </c>
      <c r="BT296" t="str">
        <f>HYPERLINK("https%3A%2F%2Fwww.webofscience.com%2Fwos%2Fwoscc%2Ffull-record%2FWOS:000860701300017","View Full Record in Web of Science")</f>
        <v>View Full Record in Web of Science</v>
      </c>
    </row>
    <row r="297" spans="1:72" x14ac:dyDescent="0.15">
      <c r="A297" t="s">
        <v>72</v>
      </c>
      <c r="B297" t="s">
        <v>6248</v>
      </c>
      <c r="C297" t="s">
        <v>74</v>
      </c>
      <c r="D297" t="s">
        <v>74</v>
      </c>
      <c r="E297" t="s">
        <v>74</v>
      </c>
      <c r="F297" t="s">
        <v>6249</v>
      </c>
      <c r="G297" t="s">
        <v>74</v>
      </c>
      <c r="H297" t="s">
        <v>74</v>
      </c>
      <c r="I297" t="s">
        <v>6250</v>
      </c>
      <c r="J297" t="s">
        <v>933</v>
      </c>
      <c r="K297" t="s">
        <v>74</v>
      </c>
      <c r="L297" t="s">
        <v>74</v>
      </c>
      <c r="M297" t="s">
        <v>78</v>
      </c>
      <c r="N297" t="s">
        <v>79</v>
      </c>
      <c r="O297" t="s">
        <v>74</v>
      </c>
      <c r="P297" t="s">
        <v>74</v>
      </c>
      <c r="Q297" t="s">
        <v>74</v>
      </c>
      <c r="R297" t="s">
        <v>74</v>
      </c>
      <c r="S297" t="s">
        <v>74</v>
      </c>
      <c r="T297" t="s">
        <v>6251</v>
      </c>
      <c r="U297" t="s">
        <v>6252</v>
      </c>
      <c r="V297" t="s">
        <v>6253</v>
      </c>
      <c r="W297" t="s">
        <v>6254</v>
      </c>
      <c r="X297" t="s">
        <v>3385</v>
      </c>
      <c r="Y297" t="s">
        <v>6255</v>
      </c>
      <c r="Z297" t="s">
        <v>6256</v>
      </c>
      <c r="AA297" t="s">
        <v>6257</v>
      </c>
      <c r="AB297" t="s">
        <v>6258</v>
      </c>
      <c r="AC297" t="s">
        <v>6259</v>
      </c>
      <c r="AD297" t="s">
        <v>6260</v>
      </c>
      <c r="AE297" t="s">
        <v>6261</v>
      </c>
      <c r="AF297" t="s">
        <v>74</v>
      </c>
      <c r="AG297">
        <v>54</v>
      </c>
      <c r="AH297">
        <v>4</v>
      </c>
      <c r="AI297">
        <v>4</v>
      </c>
      <c r="AJ297">
        <v>1</v>
      </c>
      <c r="AK297">
        <v>4</v>
      </c>
      <c r="AL297" t="s">
        <v>946</v>
      </c>
      <c r="AM297" t="s">
        <v>207</v>
      </c>
      <c r="AN297" t="s">
        <v>947</v>
      </c>
      <c r="AO297" t="s">
        <v>948</v>
      </c>
      <c r="AP297" t="s">
        <v>949</v>
      </c>
      <c r="AQ297" t="s">
        <v>74</v>
      </c>
      <c r="AR297" t="s">
        <v>950</v>
      </c>
      <c r="AS297" t="s">
        <v>951</v>
      </c>
      <c r="AT297" t="s">
        <v>3605</v>
      </c>
      <c r="AU297">
        <v>2022</v>
      </c>
      <c r="AV297">
        <v>127</v>
      </c>
      <c r="AW297">
        <v>9</v>
      </c>
      <c r="AX297" t="s">
        <v>74</v>
      </c>
      <c r="AY297" t="s">
        <v>74</v>
      </c>
      <c r="AZ297" t="s">
        <v>74</v>
      </c>
      <c r="BA297" t="s">
        <v>74</v>
      </c>
      <c r="BB297" t="s">
        <v>74</v>
      </c>
      <c r="BC297" t="s">
        <v>74</v>
      </c>
      <c r="BD297" t="s">
        <v>6262</v>
      </c>
      <c r="BE297" t="s">
        <v>6263</v>
      </c>
      <c r="BF297" t="str">
        <f>HYPERLINK("http://dx.doi.org/10.1029/2022JA030680","http://dx.doi.org/10.1029/2022JA030680")</f>
        <v>http://dx.doi.org/10.1029/2022JA030680</v>
      </c>
      <c r="BG297" t="s">
        <v>74</v>
      </c>
      <c r="BH297" t="s">
        <v>74</v>
      </c>
      <c r="BI297">
        <v>10</v>
      </c>
      <c r="BJ297" t="s">
        <v>954</v>
      </c>
      <c r="BK297" t="s">
        <v>100</v>
      </c>
      <c r="BL297" t="s">
        <v>954</v>
      </c>
      <c r="BM297" t="s">
        <v>6264</v>
      </c>
      <c r="BN297" t="s">
        <v>74</v>
      </c>
      <c r="BO297" t="s">
        <v>4217</v>
      </c>
      <c r="BP297" t="s">
        <v>74</v>
      </c>
      <c r="BQ297" t="s">
        <v>74</v>
      </c>
      <c r="BR297" t="s">
        <v>103</v>
      </c>
      <c r="BS297" t="s">
        <v>6265</v>
      </c>
      <c r="BT297" t="str">
        <f>HYPERLINK("https%3A%2F%2Fwww.webofscience.com%2Fwos%2Fwoscc%2Ffull-record%2FWOS:000860618700001","View Full Record in Web of Science")</f>
        <v>View Full Record in Web of Science</v>
      </c>
    </row>
    <row r="298" spans="1:72" x14ac:dyDescent="0.15">
      <c r="A298" t="s">
        <v>72</v>
      </c>
      <c r="B298" t="s">
        <v>6266</v>
      </c>
      <c r="C298" t="s">
        <v>74</v>
      </c>
      <c r="D298" t="s">
        <v>74</v>
      </c>
      <c r="E298" t="s">
        <v>74</v>
      </c>
      <c r="F298" t="s">
        <v>6267</v>
      </c>
      <c r="G298" t="s">
        <v>74</v>
      </c>
      <c r="H298" t="s">
        <v>74</v>
      </c>
      <c r="I298" t="s">
        <v>6268</v>
      </c>
      <c r="J298" t="s">
        <v>6269</v>
      </c>
      <c r="K298" t="s">
        <v>74</v>
      </c>
      <c r="L298" t="s">
        <v>74</v>
      </c>
      <c r="M298" t="s">
        <v>78</v>
      </c>
      <c r="N298" t="s">
        <v>79</v>
      </c>
      <c r="O298" t="s">
        <v>74</v>
      </c>
      <c r="P298" t="s">
        <v>74</v>
      </c>
      <c r="Q298" t="s">
        <v>74</v>
      </c>
      <c r="R298" t="s">
        <v>74</v>
      </c>
      <c r="S298" t="s">
        <v>74</v>
      </c>
      <c r="T298" t="s">
        <v>6270</v>
      </c>
      <c r="U298" t="s">
        <v>6271</v>
      </c>
      <c r="V298" t="s">
        <v>6272</v>
      </c>
      <c r="W298" t="s">
        <v>6273</v>
      </c>
      <c r="X298" t="s">
        <v>6274</v>
      </c>
      <c r="Y298" t="s">
        <v>6275</v>
      </c>
      <c r="Z298" t="s">
        <v>74</v>
      </c>
      <c r="AA298" t="s">
        <v>74</v>
      </c>
      <c r="AB298" t="s">
        <v>74</v>
      </c>
      <c r="AC298" t="s">
        <v>6276</v>
      </c>
      <c r="AD298" t="s">
        <v>6277</v>
      </c>
      <c r="AE298" t="s">
        <v>6278</v>
      </c>
      <c r="AF298" t="s">
        <v>74</v>
      </c>
      <c r="AG298">
        <v>28</v>
      </c>
      <c r="AH298">
        <v>1</v>
      </c>
      <c r="AI298">
        <v>1</v>
      </c>
      <c r="AJ298">
        <v>0</v>
      </c>
      <c r="AK298">
        <v>10</v>
      </c>
      <c r="AL298" t="s">
        <v>6279</v>
      </c>
      <c r="AM298" t="s">
        <v>6280</v>
      </c>
      <c r="AN298" t="s">
        <v>6281</v>
      </c>
      <c r="AO298" t="s">
        <v>6282</v>
      </c>
      <c r="AP298" t="s">
        <v>74</v>
      </c>
      <c r="AQ298" t="s">
        <v>74</v>
      </c>
      <c r="AR298" t="s">
        <v>6283</v>
      </c>
      <c r="AS298" t="s">
        <v>6284</v>
      </c>
      <c r="AT298" t="s">
        <v>3605</v>
      </c>
      <c r="AU298">
        <v>2022</v>
      </c>
      <c r="AV298">
        <v>32</v>
      </c>
      <c r="AW298">
        <v>3</v>
      </c>
      <c r="AX298" t="s">
        <v>74</v>
      </c>
      <c r="AY298" t="s">
        <v>74</v>
      </c>
      <c r="AZ298" t="s">
        <v>74</v>
      </c>
      <c r="BA298" t="s">
        <v>74</v>
      </c>
      <c r="BB298">
        <v>348</v>
      </c>
      <c r="BC298">
        <v>355</v>
      </c>
      <c r="BD298" t="s">
        <v>74</v>
      </c>
      <c r="BE298" t="s">
        <v>6285</v>
      </c>
      <c r="BF298" t="str">
        <f>HYPERLINK("http://dx.doi.org/10.17736/ijope.2022.ak47","http://dx.doi.org/10.17736/ijope.2022.ak47")</f>
        <v>http://dx.doi.org/10.17736/ijope.2022.ak47</v>
      </c>
      <c r="BG298" t="s">
        <v>74</v>
      </c>
      <c r="BH298" t="s">
        <v>74</v>
      </c>
      <c r="BI298">
        <v>8</v>
      </c>
      <c r="BJ298" t="s">
        <v>6286</v>
      </c>
      <c r="BK298" t="s">
        <v>100</v>
      </c>
      <c r="BL298" t="s">
        <v>402</v>
      </c>
      <c r="BM298" t="s">
        <v>6287</v>
      </c>
      <c r="BN298" t="s">
        <v>74</v>
      </c>
      <c r="BO298" t="s">
        <v>74</v>
      </c>
      <c r="BP298" t="s">
        <v>74</v>
      </c>
      <c r="BQ298" t="s">
        <v>74</v>
      </c>
      <c r="BR298" t="s">
        <v>103</v>
      </c>
      <c r="BS298" t="s">
        <v>6288</v>
      </c>
      <c r="BT298" t="str">
        <f>HYPERLINK("https%3A%2F%2Fwww.webofscience.com%2Fwos%2Fwoscc%2Ffull-record%2FWOS:000861018900001","View Full Record in Web of Science")</f>
        <v>View Full Record in Web of Science</v>
      </c>
    </row>
    <row r="299" spans="1:72" x14ac:dyDescent="0.15">
      <c r="A299" t="s">
        <v>72</v>
      </c>
      <c r="B299" t="s">
        <v>6289</v>
      </c>
      <c r="C299" t="s">
        <v>74</v>
      </c>
      <c r="D299" t="s">
        <v>74</v>
      </c>
      <c r="E299" t="s">
        <v>74</v>
      </c>
      <c r="F299" t="s">
        <v>6290</v>
      </c>
      <c r="G299" t="s">
        <v>74</v>
      </c>
      <c r="H299" t="s">
        <v>74</v>
      </c>
      <c r="I299" t="s">
        <v>6291</v>
      </c>
      <c r="J299" t="s">
        <v>3747</v>
      </c>
      <c r="K299" t="s">
        <v>74</v>
      </c>
      <c r="L299" t="s">
        <v>74</v>
      </c>
      <c r="M299" t="s">
        <v>78</v>
      </c>
      <c r="N299" t="s">
        <v>79</v>
      </c>
      <c r="O299" t="s">
        <v>74</v>
      </c>
      <c r="P299" t="s">
        <v>74</v>
      </c>
      <c r="Q299" t="s">
        <v>74</v>
      </c>
      <c r="R299" t="s">
        <v>74</v>
      </c>
      <c r="S299" t="s">
        <v>74</v>
      </c>
      <c r="T299" t="s">
        <v>6292</v>
      </c>
      <c r="U299" t="s">
        <v>6293</v>
      </c>
      <c r="V299" t="s">
        <v>6294</v>
      </c>
      <c r="W299" t="s">
        <v>6295</v>
      </c>
      <c r="X299" t="s">
        <v>6296</v>
      </c>
      <c r="Y299" t="s">
        <v>6297</v>
      </c>
      <c r="Z299" t="s">
        <v>6298</v>
      </c>
      <c r="AA299" t="s">
        <v>74</v>
      </c>
      <c r="AB299" t="s">
        <v>74</v>
      </c>
      <c r="AC299" t="s">
        <v>6299</v>
      </c>
      <c r="AD299" t="s">
        <v>6300</v>
      </c>
      <c r="AE299" t="s">
        <v>6301</v>
      </c>
      <c r="AF299" t="s">
        <v>74</v>
      </c>
      <c r="AG299">
        <v>63</v>
      </c>
      <c r="AH299">
        <v>4</v>
      </c>
      <c r="AI299">
        <v>4</v>
      </c>
      <c r="AJ299">
        <v>7</v>
      </c>
      <c r="AK299">
        <v>39</v>
      </c>
      <c r="AL299" t="s">
        <v>501</v>
      </c>
      <c r="AM299" t="s">
        <v>502</v>
      </c>
      <c r="AN299" t="s">
        <v>503</v>
      </c>
      <c r="AO299" t="s">
        <v>3759</v>
      </c>
      <c r="AP299" t="s">
        <v>3760</v>
      </c>
      <c r="AQ299" t="s">
        <v>74</v>
      </c>
      <c r="AR299" t="s">
        <v>3761</v>
      </c>
      <c r="AS299" t="s">
        <v>3762</v>
      </c>
      <c r="AT299" t="s">
        <v>5781</v>
      </c>
      <c r="AU299">
        <v>2022</v>
      </c>
      <c r="AV299">
        <v>851</v>
      </c>
      <c r="AW299" t="s">
        <v>74</v>
      </c>
      <c r="AX299">
        <v>2</v>
      </c>
      <c r="AY299" t="s">
        <v>74</v>
      </c>
      <c r="AZ299" t="s">
        <v>74</v>
      </c>
      <c r="BA299" t="s">
        <v>74</v>
      </c>
      <c r="BB299" t="s">
        <v>74</v>
      </c>
      <c r="BC299" t="s">
        <v>74</v>
      </c>
      <c r="BD299">
        <v>158373</v>
      </c>
      <c r="BE299" t="s">
        <v>6302</v>
      </c>
      <c r="BF299" t="str">
        <f>HYPERLINK("http://dx.doi.org/10.1016/j.scitotenv.2022.158373","http://dx.doi.org/10.1016/j.scitotenv.2022.158373")</f>
        <v>http://dx.doi.org/10.1016/j.scitotenv.2022.158373</v>
      </c>
      <c r="BG299" t="s">
        <v>74</v>
      </c>
      <c r="BH299" t="s">
        <v>2143</v>
      </c>
      <c r="BI299">
        <v>10</v>
      </c>
      <c r="BJ299" t="s">
        <v>2040</v>
      </c>
      <c r="BK299" t="s">
        <v>100</v>
      </c>
      <c r="BL299" t="s">
        <v>2041</v>
      </c>
      <c r="BM299" t="s">
        <v>6303</v>
      </c>
      <c r="BN299">
        <v>36041604</v>
      </c>
      <c r="BO299" t="s">
        <v>74</v>
      </c>
      <c r="BP299" t="s">
        <v>74</v>
      </c>
      <c r="BQ299" t="s">
        <v>74</v>
      </c>
      <c r="BR299" t="s">
        <v>103</v>
      </c>
      <c r="BS299" t="s">
        <v>6304</v>
      </c>
      <c r="BT299" t="str">
        <f>HYPERLINK("https%3A%2F%2Fwww.webofscience.com%2Fwos%2Fwoscc%2Ffull-record%2FWOS:000860595200005","View Full Record in Web of Science")</f>
        <v>View Full Record in Web of Science</v>
      </c>
    </row>
    <row r="300" spans="1:72" x14ac:dyDescent="0.15">
      <c r="A300" t="s">
        <v>72</v>
      </c>
      <c r="B300" t="s">
        <v>6305</v>
      </c>
      <c r="C300" t="s">
        <v>74</v>
      </c>
      <c r="D300" t="s">
        <v>74</v>
      </c>
      <c r="E300" t="s">
        <v>74</v>
      </c>
      <c r="F300" t="s">
        <v>6306</v>
      </c>
      <c r="G300" t="s">
        <v>74</v>
      </c>
      <c r="H300" t="s">
        <v>74</v>
      </c>
      <c r="I300" t="s">
        <v>6307</v>
      </c>
      <c r="J300" t="s">
        <v>790</v>
      </c>
      <c r="K300" t="s">
        <v>74</v>
      </c>
      <c r="L300" t="s">
        <v>74</v>
      </c>
      <c r="M300" t="s">
        <v>78</v>
      </c>
      <c r="N300" t="s">
        <v>79</v>
      </c>
      <c r="O300" t="s">
        <v>74</v>
      </c>
      <c r="P300" t="s">
        <v>74</v>
      </c>
      <c r="Q300" t="s">
        <v>74</v>
      </c>
      <c r="R300" t="s">
        <v>74</v>
      </c>
      <c r="S300" t="s">
        <v>74</v>
      </c>
      <c r="T300" t="s">
        <v>6308</v>
      </c>
      <c r="U300" t="s">
        <v>6309</v>
      </c>
      <c r="V300" t="s">
        <v>6310</v>
      </c>
      <c r="W300" t="s">
        <v>6311</v>
      </c>
      <c r="X300" t="s">
        <v>6312</v>
      </c>
      <c r="Y300" t="s">
        <v>6313</v>
      </c>
      <c r="Z300" t="s">
        <v>2946</v>
      </c>
      <c r="AA300" t="s">
        <v>6314</v>
      </c>
      <c r="AB300" t="s">
        <v>6315</v>
      </c>
      <c r="AC300" t="s">
        <v>6316</v>
      </c>
      <c r="AD300" t="s">
        <v>6317</v>
      </c>
      <c r="AE300" t="s">
        <v>6318</v>
      </c>
      <c r="AF300" t="s">
        <v>74</v>
      </c>
      <c r="AG300">
        <v>51</v>
      </c>
      <c r="AH300">
        <v>5</v>
      </c>
      <c r="AI300">
        <v>5</v>
      </c>
      <c r="AJ300">
        <v>1</v>
      </c>
      <c r="AK300">
        <v>9</v>
      </c>
      <c r="AL300" t="s">
        <v>754</v>
      </c>
      <c r="AM300" t="s">
        <v>755</v>
      </c>
      <c r="AN300" t="s">
        <v>756</v>
      </c>
      <c r="AO300" t="s">
        <v>74</v>
      </c>
      <c r="AP300" t="s">
        <v>803</v>
      </c>
      <c r="AQ300" t="s">
        <v>74</v>
      </c>
      <c r="AR300" t="s">
        <v>790</v>
      </c>
      <c r="AS300" t="s">
        <v>804</v>
      </c>
      <c r="AT300" t="s">
        <v>3605</v>
      </c>
      <c r="AU300">
        <v>2022</v>
      </c>
      <c r="AV300">
        <v>10</v>
      </c>
      <c r="AW300">
        <v>9</v>
      </c>
      <c r="AX300" t="s">
        <v>74</v>
      </c>
      <c r="AY300" t="s">
        <v>74</v>
      </c>
      <c r="AZ300" t="s">
        <v>74</v>
      </c>
      <c r="BA300" t="s">
        <v>74</v>
      </c>
      <c r="BB300" t="s">
        <v>74</v>
      </c>
      <c r="BC300" t="s">
        <v>74</v>
      </c>
      <c r="BD300">
        <v>1753</v>
      </c>
      <c r="BE300" t="s">
        <v>6319</v>
      </c>
      <c r="BF300" t="str">
        <f>HYPERLINK("http://dx.doi.org/10.3390/microorganisms10091753","http://dx.doi.org/10.3390/microorganisms10091753")</f>
        <v>http://dx.doi.org/10.3390/microorganisms10091753</v>
      </c>
      <c r="BG300" t="s">
        <v>74</v>
      </c>
      <c r="BH300" t="s">
        <v>74</v>
      </c>
      <c r="BI300">
        <v>16</v>
      </c>
      <c r="BJ300" t="s">
        <v>214</v>
      </c>
      <c r="BK300" t="s">
        <v>100</v>
      </c>
      <c r="BL300" t="s">
        <v>214</v>
      </c>
      <c r="BM300" t="s">
        <v>6320</v>
      </c>
      <c r="BN300">
        <v>36144355</v>
      </c>
      <c r="BO300" t="s">
        <v>132</v>
      </c>
      <c r="BP300" t="s">
        <v>74</v>
      </c>
      <c r="BQ300" t="s">
        <v>74</v>
      </c>
      <c r="BR300" t="s">
        <v>103</v>
      </c>
      <c r="BS300" t="s">
        <v>6321</v>
      </c>
      <c r="BT300" t="str">
        <f>HYPERLINK("https%3A%2F%2Fwww.webofscience.com%2Fwos%2Fwoscc%2Ffull-record%2FWOS:000859635400001","View Full Record in Web of Science")</f>
        <v>View Full Record in Web of Science</v>
      </c>
    </row>
    <row r="301" spans="1:72" x14ac:dyDescent="0.15">
      <c r="A301" t="s">
        <v>72</v>
      </c>
      <c r="B301" t="s">
        <v>6322</v>
      </c>
      <c r="C301" t="s">
        <v>74</v>
      </c>
      <c r="D301" t="s">
        <v>74</v>
      </c>
      <c r="E301" t="s">
        <v>74</v>
      </c>
      <c r="F301" t="s">
        <v>6323</v>
      </c>
      <c r="G301" t="s">
        <v>74</v>
      </c>
      <c r="H301" t="s">
        <v>74</v>
      </c>
      <c r="I301" t="s">
        <v>6324</v>
      </c>
      <c r="J301" t="s">
        <v>6325</v>
      </c>
      <c r="K301" t="s">
        <v>74</v>
      </c>
      <c r="L301" t="s">
        <v>74</v>
      </c>
      <c r="M301" t="s">
        <v>78</v>
      </c>
      <c r="N301" t="s">
        <v>79</v>
      </c>
      <c r="O301" t="s">
        <v>74</v>
      </c>
      <c r="P301" t="s">
        <v>74</v>
      </c>
      <c r="Q301" t="s">
        <v>74</v>
      </c>
      <c r="R301" t="s">
        <v>74</v>
      </c>
      <c r="S301" t="s">
        <v>74</v>
      </c>
      <c r="T301" t="s">
        <v>6326</v>
      </c>
      <c r="U301" t="s">
        <v>6327</v>
      </c>
      <c r="V301" t="s">
        <v>6328</v>
      </c>
      <c r="W301" t="s">
        <v>6329</v>
      </c>
      <c r="X301" t="s">
        <v>2577</v>
      </c>
      <c r="Y301" t="s">
        <v>6330</v>
      </c>
      <c r="Z301" t="s">
        <v>6331</v>
      </c>
      <c r="AA301" t="s">
        <v>74</v>
      </c>
      <c r="AB301" t="s">
        <v>6332</v>
      </c>
      <c r="AC301" t="s">
        <v>6333</v>
      </c>
      <c r="AD301" t="s">
        <v>6334</v>
      </c>
      <c r="AE301" t="s">
        <v>6335</v>
      </c>
      <c r="AF301" t="s">
        <v>74</v>
      </c>
      <c r="AG301">
        <v>34</v>
      </c>
      <c r="AH301">
        <v>5</v>
      </c>
      <c r="AI301">
        <v>5</v>
      </c>
      <c r="AJ301">
        <v>2</v>
      </c>
      <c r="AK301">
        <v>13</v>
      </c>
      <c r="AL301" t="s">
        <v>754</v>
      </c>
      <c r="AM301" t="s">
        <v>755</v>
      </c>
      <c r="AN301" t="s">
        <v>756</v>
      </c>
      <c r="AO301" t="s">
        <v>74</v>
      </c>
      <c r="AP301" t="s">
        <v>6336</v>
      </c>
      <c r="AQ301" t="s">
        <v>74</v>
      </c>
      <c r="AR301" t="s">
        <v>6337</v>
      </c>
      <c r="AS301" t="s">
        <v>6338</v>
      </c>
      <c r="AT301" t="s">
        <v>3605</v>
      </c>
      <c r="AU301">
        <v>2022</v>
      </c>
      <c r="AV301">
        <v>6</v>
      </c>
      <c r="AW301">
        <v>9</v>
      </c>
      <c r="AX301" t="s">
        <v>74</v>
      </c>
      <c r="AY301" t="s">
        <v>74</v>
      </c>
      <c r="AZ301" t="s">
        <v>74</v>
      </c>
      <c r="BA301" t="s">
        <v>74</v>
      </c>
      <c r="BB301" t="s">
        <v>74</v>
      </c>
      <c r="BC301" t="s">
        <v>74</v>
      </c>
      <c r="BD301">
        <v>255</v>
      </c>
      <c r="BE301" t="s">
        <v>6339</v>
      </c>
      <c r="BF301" t="str">
        <f>HYPERLINK("http://dx.doi.org/10.3390/drones6090255","http://dx.doi.org/10.3390/drones6090255")</f>
        <v>http://dx.doi.org/10.3390/drones6090255</v>
      </c>
      <c r="BG301" t="s">
        <v>74</v>
      </c>
      <c r="BH301" t="s">
        <v>74</v>
      </c>
      <c r="BI301">
        <v>11</v>
      </c>
      <c r="BJ301" t="s">
        <v>6340</v>
      </c>
      <c r="BK301" t="s">
        <v>100</v>
      </c>
      <c r="BL301" t="s">
        <v>6340</v>
      </c>
      <c r="BM301" t="s">
        <v>6341</v>
      </c>
      <c r="BN301" t="s">
        <v>74</v>
      </c>
      <c r="BO301" t="s">
        <v>132</v>
      </c>
      <c r="BP301" t="s">
        <v>74</v>
      </c>
      <c r="BQ301" t="s">
        <v>74</v>
      </c>
      <c r="BR301" t="s">
        <v>103</v>
      </c>
      <c r="BS301" t="s">
        <v>6342</v>
      </c>
      <c r="BT301" t="str">
        <f>HYPERLINK("https%3A%2F%2Fwww.webofscience.com%2Fwos%2Fwoscc%2Ffull-record%2FWOS:000859448300001","View Full Record in Web of Science")</f>
        <v>View Full Record in Web of Science</v>
      </c>
    </row>
    <row r="302" spans="1:72" x14ac:dyDescent="0.15">
      <c r="A302" t="s">
        <v>72</v>
      </c>
      <c r="B302" t="s">
        <v>6343</v>
      </c>
      <c r="C302" t="s">
        <v>74</v>
      </c>
      <c r="D302" t="s">
        <v>74</v>
      </c>
      <c r="E302" t="s">
        <v>74</v>
      </c>
      <c r="F302" t="s">
        <v>6344</v>
      </c>
      <c r="G302" t="s">
        <v>74</v>
      </c>
      <c r="H302" t="s">
        <v>74</v>
      </c>
      <c r="I302" t="s">
        <v>6345</v>
      </c>
      <c r="J302" t="s">
        <v>6346</v>
      </c>
      <c r="K302" t="s">
        <v>74</v>
      </c>
      <c r="L302" t="s">
        <v>74</v>
      </c>
      <c r="M302" t="s">
        <v>78</v>
      </c>
      <c r="N302" t="s">
        <v>79</v>
      </c>
      <c r="O302" t="s">
        <v>74</v>
      </c>
      <c r="P302" t="s">
        <v>74</v>
      </c>
      <c r="Q302" t="s">
        <v>74</v>
      </c>
      <c r="R302" t="s">
        <v>74</v>
      </c>
      <c r="S302" t="s">
        <v>74</v>
      </c>
      <c r="T302" t="s">
        <v>74</v>
      </c>
      <c r="U302" t="s">
        <v>6347</v>
      </c>
      <c r="V302" t="s">
        <v>6348</v>
      </c>
      <c r="W302" t="s">
        <v>6349</v>
      </c>
      <c r="X302" t="s">
        <v>6350</v>
      </c>
      <c r="Y302" t="s">
        <v>6351</v>
      </c>
      <c r="Z302" t="s">
        <v>6352</v>
      </c>
      <c r="AA302" t="s">
        <v>6353</v>
      </c>
      <c r="AB302" t="s">
        <v>6354</v>
      </c>
      <c r="AC302" t="s">
        <v>6355</v>
      </c>
      <c r="AD302" t="s">
        <v>6356</v>
      </c>
      <c r="AE302" t="s">
        <v>6357</v>
      </c>
      <c r="AF302" t="s">
        <v>74</v>
      </c>
      <c r="AG302">
        <v>107</v>
      </c>
      <c r="AH302">
        <v>1</v>
      </c>
      <c r="AI302">
        <v>1</v>
      </c>
      <c r="AJ302">
        <v>2</v>
      </c>
      <c r="AK302">
        <v>16</v>
      </c>
      <c r="AL302" t="s">
        <v>946</v>
      </c>
      <c r="AM302" t="s">
        <v>207</v>
      </c>
      <c r="AN302" t="s">
        <v>947</v>
      </c>
      <c r="AO302" t="s">
        <v>6358</v>
      </c>
      <c r="AP302" t="s">
        <v>6359</v>
      </c>
      <c r="AQ302" t="s">
        <v>74</v>
      </c>
      <c r="AR302" t="s">
        <v>6360</v>
      </c>
      <c r="AS302" t="s">
        <v>6361</v>
      </c>
      <c r="AT302" t="s">
        <v>3605</v>
      </c>
      <c r="AU302">
        <v>2022</v>
      </c>
      <c r="AV302">
        <v>37</v>
      </c>
      <c r="AW302">
        <v>9</v>
      </c>
      <c r="AX302" t="s">
        <v>74</v>
      </c>
      <c r="AY302" t="s">
        <v>74</v>
      </c>
      <c r="AZ302" t="s">
        <v>74</v>
      </c>
      <c r="BA302" t="s">
        <v>74</v>
      </c>
      <c r="BB302" t="s">
        <v>74</v>
      </c>
      <c r="BC302" t="s">
        <v>74</v>
      </c>
      <c r="BD302" t="s">
        <v>6362</v>
      </c>
      <c r="BE302" t="s">
        <v>6363</v>
      </c>
      <c r="BF302" t="str">
        <f>HYPERLINK("http://dx.doi.org/10.1029/2022PA004414","http://dx.doi.org/10.1029/2022PA004414")</f>
        <v>http://dx.doi.org/10.1029/2022PA004414</v>
      </c>
      <c r="BG302" t="s">
        <v>74</v>
      </c>
      <c r="BH302" t="s">
        <v>74</v>
      </c>
      <c r="BI302">
        <v>21</v>
      </c>
      <c r="BJ302" t="s">
        <v>6364</v>
      </c>
      <c r="BK302" t="s">
        <v>100</v>
      </c>
      <c r="BL302" t="s">
        <v>6365</v>
      </c>
      <c r="BM302" t="s">
        <v>6366</v>
      </c>
      <c r="BN302" t="s">
        <v>74</v>
      </c>
      <c r="BO302" t="s">
        <v>6367</v>
      </c>
      <c r="BP302" t="s">
        <v>74</v>
      </c>
      <c r="BQ302" t="s">
        <v>74</v>
      </c>
      <c r="BR302" t="s">
        <v>103</v>
      </c>
      <c r="BS302" t="s">
        <v>6368</v>
      </c>
      <c r="BT302" t="str">
        <f>HYPERLINK("https%3A%2F%2Fwww.webofscience.com%2Fwos%2Fwoscc%2Ffull-record%2FWOS:000859923900001","View Full Record in Web of Science")</f>
        <v>View Full Record in Web of Science</v>
      </c>
    </row>
    <row r="303" spans="1:72" x14ac:dyDescent="0.15">
      <c r="A303" t="s">
        <v>72</v>
      </c>
      <c r="B303" t="s">
        <v>6369</v>
      </c>
      <c r="C303" t="s">
        <v>74</v>
      </c>
      <c r="D303" t="s">
        <v>74</v>
      </c>
      <c r="E303" t="s">
        <v>74</v>
      </c>
      <c r="F303" t="s">
        <v>6370</v>
      </c>
      <c r="G303" t="s">
        <v>74</v>
      </c>
      <c r="H303" t="s">
        <v>74</v>
      </c>
      <c r="I303" t="s">
        <v>6371</v>
      </c>
      <c r="J303" t="s">
        <v>6372</v>
      </c>
      <c r="K303" t="s">
        <v>74</v>
      </c>
      <c r="L303" t="s">
        <v>74</v>
      </c>
      <c r="M303" t="s">
        <v>78</v>
      </c>
      <c r="N303" t="s">
        <v>79</v>
      </c>
      <c r="O303" t="s">
        <v>74</v>
      </c>
      <c r="P303" t="s">
        <v>74</v>
      </c>
      <c r="Q303" t="s">
        <v>74</v>
      </c>
      <c r="R303" t="s">
        <v>74</v>
      </c>
      <c r="S303" t="s">
        <v>74</v>
      </c>
      <c r="T303" t="s">
        <v>6373</v>
      </c>
      <c r="U303" t="s">
        <v>6374</v>
      </c>
      <c r="V303" t="s">
        <v>6375</v>
      </c>
      <c r="W303" t="s">
        <v>6376</v>
      </c>
      <c r="X303" t="s">
        <v>6377</v>
      </c>
      <c r="Y303" t="s">
        <v>6378</v>
      </c>
      <c r="Z303" t="s">
        <v>6379</v>
      </c>
      <c r="AA303" t="s">
        <v>6380</v>
      </c>
      <c r="AB303" t="s">
        <v>6381</v>
      </c>
      <c r="AC303" t="s">
        <v>6382</v>
      </c>
      <c r="AD303" t="s">
        <v>6383</v>
      </c>
      <c r="AE303" t="s">
        <v>6384</v>
      </c>
      <c r="AF303" t="s">
        <v>74</v>
      </c>
      <c r="AG303">
        <v>47</v>
      </c>
      <c r="AH303">
        <v>5</v>
      </c>
      <c r="AI303">
        <v>5</v>
      </c>
      <c r="AJ303">
        <v>1</v>
      </c>
      <c r="AK303">
        <v>10</v>
      </c>
      <c r="AL303" t="s">
        <v>754</v>
      </c>
      <c r="AM303" t="s">
        <v>755</v>
      </c>
      <c r="AN303" t="s">
        <v>756</v>
      </c>
      <c r="AO303" t="s">
        <v>74</v>
      </c>
      <c r="AP303" t="s">
        <v>6385</v>
      </c>
      <c r="AQ303" t="s">
        <v>74</v>
      </c>
      <c r="AR303" t="s">
        <v>6386</v>
      </c>
      <c r="AS303" t="s">
        <v>6387</v>
      </c>
      <c r="AT303" t="s">
        <v>3605</v>
      </c>
      <c r="AU303">
        <v>2022</v>
      </c>
      <c r="AV303">
        <v>12</v>
      </c>
      <c r="AW303">
        <v>18</v>
      </c>
      <c r="AX303" t="s">
        <v>74</v>
      </c>
      <c r="AY303" t="s">
        <v>74</v>
      </c>
      <c r="AZ303" t="s">
        <v>74</v>
      </c>
      <c r="BA303" t="s">
        <v>74</v>
      </c>
      <c r="BB303" t="s">
        <v>74</v>
      </c>
      <c r="BC303" t="s">
        <v>74</v>
      </c>
      <c r="BD303">
        <v>9248</v>
      </c>
      <c r="BE303" t="s">
        <v>6388</v>
      </c>
      <c r="BF303" t="str">
        <f>HYPERLINK("http://dx.doi.org/10.3390/app12189248","http://dx.doi.org/10.3390/app12189248")</f>
        <v>http://dx.doi.org/10.3390/app12189248</v>
      </c>
      <c r="BG303" t="s">
        <v>74</v>
      </c>
      <c r="BH303" t="s">
        <v>74</v>
      </c>
      <c r="BI303">
        <v>11</v>
      </c>
      <c r="BJ303" t="s">
        <v>6389</v>
      </c>
      <c r="BK303" t="s">
        <v>100</v>
      </c>
      <c r="BL303" t="s">
        <v>6390</v>
      </c>
      <c r="BM303" t="s">
        <v>6391</v>
      </c>
      <c r="BN303" t="s">
        <v>74</v>
      </c>
      <c r="BO303" t="s">
        <v>266</v>
      </c>
      <c r="BP303" t="s">
        <v>74</v>
      </c>
      <c r="BQ303" t="s">
        <v>74</v>
      </c>
      <c r="BR303" t="s">
        <v>103</v>
      </c>
      <c r="BS303" t="s">
        <v>6392</v>
      </c>
      <c r="BT303" t="str">
        <f>HYPERLINK("https%3A%2F%2Fwww.webofscience.com%2Fwos%2Fwoscc%2Ffull-record%2FWOS:000858538300001","View Full Record in Web of Science")</f>
        <v>View Full Record in Web of Science</v>
      </c>
    </row>
    <row r="304" spans="1:72" x14ac:dyDescent="0.15">
      <c r="A304" t="s">
        <v>72</v>
      </c>
      <c r="B304" t="s">
        <v>6393</v>
      </c>
      <c r="C304" t="s">
        <v>74</v>
      </c>
      <c r="D304" t="s">
        <v>74</v>
      </c>
      <c r="E304" t="s">
        <v>74</v>
      </c>
      <c r="F304" t="s">
        <v>6394</v>
      </c>
      <c r="G304" t="s">
        <v>74</v>
      </c>
      <c r="H304" t="s">
        <v>74</v>
      </c>
      <c r="I304" t="s">
        <v>6395</v>
      </c>
      <c r="J304" t="s">
        <v>6396</v>
      </c>
      <c r="K304" t="s">
        <v>74</v>
      </c>
      <c r="L304" t="s">
        <v>74</v>
      </c>
      <c r="M304" t="s">
        <v>78</v>
      </c>
      <c r="N304" t="s">
        <v>79</v>
      </c>
      <c r="O304" t="s">
        <v>74</v>
      </c>
      <c r="P304" t="s">
        <v>74</v>
      </c>
      <c r="Q304" t="s">
        <v>74</v>
      </c>
      <c r="R304" t="s">
        <v>74</v>
      </c>
      <c r="S304" t="s">
        <v>74</v>
      </c>
      <c r="T304" t="s">
        <v>74</v>
      </c>
      <c r="U304" t="s">
        <v>6397</v>
      </c>
      <c r="V304" t="s">
        <v>6398</v>
      </c>
      <c r="W304" t="s">
        <v>6399</v>
      </c>
      <c r="X304" t="s">
        <v>6400</v>
      </c>
      <c r="Y304" t="s">
        <v>6401</v>
      </c>
      <c r="Z304" t="s">
        <v>6402</v>
      </c>
      <c r="AA304" t="s">
        <v>6403</v>
      </c>
      <c r="AB304" t="s">
        <v>6404</v>
      </c>
      <c r="AC304" t="s">
        <v>6405</v>
      </c>
      <c r="AD304" t="s">
        <v>6406</v>
      </c>
      <c r="AE304" t="s">
        <v>6407</v>
      </c>
      <c r="AF304" t="s">
        <v>74</v>
      </c>
      <c r="AG304">
        <v>132</v>
      </c>
      <c r="AH304">
        <v>5</v>
      </c>
      <c r="AI304">
        <v>5</v>
      </c>
      <c r="AJ304">
        <v>1</v>
      </c>
      <c r="AK304">
        <v>14</v>
      </c>
      <c r="AL304" t="s">
        <v>946</v>
      </c>
      <c r="AM304" t="s">
        <v>207</v>
      </c>
      <c r="AN304" t="s">
        <v>947</v>
      </c>
      <c r="AO304" t="s">
        <v>6408</v>
      </c>
      <c r="AP304" t="s">
        <v>6409</v>
      </c>
      <c r="AQ304" t="s">
        <v>74</v>
      </c>
      <c r="AR304" t="s">
        <v>6410</v>
      </c>
      <c r="AS304" t="s">
        <v>6411</v>
      </c>
      <c r="AT304" t="s">
        <v>3605</v>
      </c>
      <c r="AU304">
        <v>2022</v>
      </c>
      <c r="AV304">
        <v>36</v>
      </c>
      <c r="AW304">
        <v>9</v>
      </c>
      <c r="AX304" t="s">
        <v>74</v>
      </c>
      <c r="AY304" t="s">
        <v>74</v>
      </c>
      <c r="AZ304" t="s">
        <v>74</v>
      </c>
      <c r="BA304" t="s">
        <v>74</v>
      </c>
      <c r="BB304" t="s">
        <v>74</v>
      </c>
      <c r="BC304" t="s">
        <v>74</v>
      </c>
      <c r="BD304" t="s">
        <v>6412</v>
      </c>
      <c r="BE304" t="s">
        <v>6413</v>
      </c>
      <c r="BF304" t="str">
        <f>HYPERLINK("http://dx.doi.org/10.1029/2022GB007316","http://dx.doi.org/10.1029/2022GB007316")</f>
        <v>http://dx.doi.org/10.1029/2022GB007316</v>
      </c>
      <c r="BG304" t="s">
        <v>74</v>
      </c>
      <c r="BH304" t="s">
        <v>74</v>
      </c>
      <c r="BI304">
        <v>25</v>
      </c>
      <c r="BJ304" t="s">
        <v>1010</v>
      </c>
      <c r="BK304" t="s">
        <v>100</v>
      </c>
      <c r="BL304" t="s">
        <v>1011</v>
      </c>
      <c r="BM304" t="s">
        <v>6414</v>
      </c>
      <c r="BN304" t="s">
        <v>74</v>
      </c>
      <c r="BO304" t="s">
        <v>6367</v>
      </c>
      <c r="BP304" t="s">
        <v>74</v>
      </c>
      <c r="BQ304" t="s">
        <v>74</v>
      </c>
      <c r="BR304" t="s">
        <v>103</v>
      </c>
      <c r="BS304" t="s">
        <v>6415</v>
      </c>
      <c r="BT304" t="str">
        <f>HYPERLINK("https%3A%2F%2Fwww.webofscience.com%2Fwos%2Fwoscc%2Ffull-record%2FWOS:000859750900001","View Full Record in Web of Science")</f>
        <v>View Full Record in Web of Science</v>
      </c>
    </row>
    <row r="305" spans="1:72" x14ac:dyDescent="0.15">
      <c r="A305" t="s">
        <v>72</v>
      </c>
      <c r="B305" t="s">
        <v>6416</v>
      </c>
      <c r="C305" t="s">
        <v>74</v>
      </c>
      <c r="D305" t="s">
        <v>74</v>
      </c>
      <c r="E305" t="s">
        <v>74</v>
      </c>
      <c r="F305" t="s">
        <v>6417</v>
      </c>
      <c r="G305" t="s">
        <v>74</v>
      </c>
      <c r="H305" t="s">
        <v>74</v>
      </c>
      <c r="I305" t="s">
        <v>6418</v>
      </c>
      <c r="J305" t="s">
        <v>1385</v>
      </c>
      <c r="K305" t="s">
        <v>74</v>
      </c>
      <c r="L305" t="s">
        <v>74</v>
      </c>
      <c r="M305" t="s">
        <v>78</v>
      </c>
      <c r="N305" t="s">
        <v>79</v>
      </c>
      <c r="O305" t="s">
        <v>74</v>
      </c>
      <c r="P305" t="s">
        <v>74</v>
      </c>
      <c r="Q305" t="s">
        <v>74</v>
      </c>
      <c r="R305" t="s">
        <v>74</v>
      </c>
      <c r="S305" t="s">
        <v>74</v>
      </c>
      <c r="T305" t="s">
        <v>6419</v>
      </c>
      <c r="U305" t="s">
        <v>6420</v>
      </c>
      <c r="V305" t="s">
        <v>6421</v>
      </c>
      <c r="W305" t="s">
        <v>6422</v>
      </c>
      <c r="X305" t="s">
        <v>6423</v>
      </c>
      <c r="Y305" t="s">
        <v>6424</v>
      </c>
      <c r="Z305" t="s">
        <v>6425</v>
      </c>
      <c r="AA305" t="s">
        <v>74</v>
      </c>
      <c r="AB305" t="s">
        <v>6426</v>
      </c>
      <c r="AC305" t="s">
        <v>6427</v>
      </c>
      <c r="AD305" t="s">
        <v>6428</v>
      </c>
      <c r="AE305" t="s">
        <v>6429</v>
      </c>
      <c r="AF305" t="s">
        <v>74</v>
      </c>
      <c r="AG305">
        <v>153</v>
      </c>
      <c r="AH305">
        <v>4</v>
      </c>
      <c r="AI305">
        <v>4</v>
      </c>
      <c r="AJ305">
        <v>7</v>
      </c>
      <c r="AK305">
        <v>14</v>
      </c>
      <c r="AL305" t="s">
        <v>946</v>
      </c>
      <c r="AM305" t="s">
        <v>207</v>
      </c>
      <c r="AN305" t="s">
        <v>947</v>
      </c>
      <c r="AO305" t="s">
        <v>1398</v>
      </c>
      <c r="AP305" t="s">
        <v>1399</v>
      </c>
      <c r="AQ305" t="s">
        <v>74</v>
      </c>
      <c r="AR305" t="s">
        <v>1400</v>
      </c>
      <c r="AS305" t="s">
        <v>1401</v>
      </c>
      <c r="AT305" t="s">
        <v>3605</v>
      </c>
      <c r="AU305">
        <v>2022</v>
      </c>
      <c r="AV305">
        <v>127</v>
      </c>
      <c r="AW305">
        <v>9</v>
      </c>
      <c r="AX305" t="s">
        <v>74</v>
      </c>
      <c r="AY305" t="s">
        <v>74</v>
      </c>
      <c r="AZ305" t="s">
        <v>74</v>
      </c>
      <c r="BA305" t="s">
        <v>74</v>
      </c>
      <c r="BB305" t="s">
        <v>74</v>
      </c>
      <c r="BC305" t="s">
        <v>74</v>
      </c>
      <c r="BD305" t="s">
        <v>6430</v>
      </c>
      <c r="BE305" t="s">
        <v>6431</v>
      </c>
      <c r="BF305" t="str">
        <f>HYPERLINK("http://dx.doi.org/10.1029/2022JC018971","http://dx.doi.org/10.1029/2022JC018971")</f>
        <v>http://dx.doi.org/10.1029/2022JC018971</v>
      </c>
      <c r="BG305" t="s">
        <v>74</v>
      </c>
      <c r="BH305" t="s">
        <v>74</v>
      </c>
      <c r="BI305">
        <v>26</v>
      </c>
      <c r="BJ305" t="s">
        <v>674</v>
      </c>
      <c r="BK305" t="s">
        <v>100</v>
      </c>
      <c r="BL305" t="s">
        <v>674</v>
      </c>
      <c r="BM305" t="s">
        <v>6432</v>
      </c>
      <c r="BN305" t="s">
        <v>74</v>
      </c>
      <c r="BO305" t="s">
        <v>831</v>
      </c>
      <c r="BP305" t="s">
        <v>74</v>
      </c>
      <c r="BQ305" t="s">
        <v>74</v>
      </c>
      <c r="BR305" t="s">
        <v>103</v>
      </c>
      <c r="BS305" t="s">
        <v>6433</v>
      </c>
      <c r="BT305" t="str">
        <f>HYPERLINK("https%3A%2F%2Fwww.webofscience.com%2Fwos%2Fwoscc%2Ffull-record%2FWOS:000859713600001","View Full Record in Web of Science")</f>
        <v>View Full Record in Web of Science</v>
      </c>
    </row>
    <row r="306" spans="1:72" x14ac:dyDescent="0.15">
      <c r="A306" t="s">
        <v>72</v>
      </c>
      <c r="B306" t="s">
        <v>6434</v>
      </c>
      <c r="C306" t="s">
        <v>74</v>
      </c>
      <c r="D306" t="s">
        <v>74</v>
      </c>
      <c r="E306" t="s">
        <v>74</v>
      </c>
      <c r="F306" t="s">
        <v>6435</v>
      </c>
      <c r="G306" t="s">
        <v>74</v>
      </c>
      <c r="H306" t="s">
        <v>74</v>
      </c>
      <c r="I306" t="s">
        <v>6436</v>
      </c>
      <c r="J306" t="s">
        <v>6437</v>
      </c>
      <c r="K306" t="s">
        <v>74</v>
      </c>
      <c r="L306" t="s">
        <v>74</v>
      </c>
      <c r="M306" t="s">
        <v>78</v>
      </c>
      <c r="N306" t="s">
        <v>79</v>
      </c>
      <c r="O306" t="s">
        <v>74</v>
      </c>
      <c r="P306" t="s">
        <v>74</v>
      </c>
      <c r="Q306" t="s">
        <v>74</v>
      </c>
      <c r="R306" t="s">
        <v>74</v>
      </c>
      <c r="S306" t="s">
        <v>74</v>
      </c>
      <c r="T306" t="s">
        <v>6438</v>
      </c>
      <c r="U306" t="s">
        <v>6439</v>
      </c>
      <c r="V306" t="s">
        <v>6440</v>
      </c>
      <c r="W306" t="s">
        <v>6441</v>
      </c>
      <c r="X306" t="s">
        <v>6442</v>
      </c>
      <c r="Y306" t="s">
        <v>6443</v>
      </c>
      <c r="Z306" t="s">
        <v>5160</v>
      </c>
      <c r="AA306" t="s">
        <v>6444</v>
      </c>
      <c r="AB306" t="s">
        <v>6445</v>
      </c>
      <c r="AC306" t="s">
        <v>6446</v>
      </c>
      <c r="AD306" t="s">
        <v>6447</v>
      </c>
      <c r="AE306" t="s">
        <v>6448</v>
      </c>
      <c r="AF306" t="s">
        <v>74</v>
      </c>
      <c r="AG306">
        <v>48</v>
      </c>
      <c r="AH306">
        <v>1</v>
      </c>
      <c r="AI306">
        <v>1</v>
      </c>
      <c r="AJ306">
        <v>2</v>
      </c>
      <c r="AK306">
        <v>6</v>
      </c>
      <c r="AL306" t="s">
        <v>754</v>
      </c>
      <c r="AM306" t="s">
        <v>755</v>
      </c>
      <c r="AN306" t="s">
        <v>756</v>
      </c>
      <c r="AO306" t="s">
        <v>74</v>
      </c>
      <c r="AP306" t="s">
        <v>6449</v>
      </c>
      <c r="AQ306" t="s">
        <v>74</v>
      </c>
      <c r="AR306" t="s">
        <v>6450</v>
      </c>
      <c r="AS306" t="s">
        <v>6451</v>
      </c>
      <c r="AT306" t="s">
        <v>3605</v>
      </c>
      <c r="AU306">
        <v>2022</v>
      </c>
      <c r="AV306">
        <v>6</v>
      </c>
      <c r="AW306">
        <v>3</v>
      </c>
      <c r="AX306" t="s">
        <v>74</v>
      </c>
      <c r="AY306" t="s">
        <v>74</v>
      </c>
      <c r="AZ306" t="s">
        <v>74</v>
      </c>
      <c r="BA306" t="s">
        <v>74</v>
      </c>
      <c r="BB306" t="s">
        <v>74</v>
      </c>
      <c r="BC306" t="s">
        <v>74</v>
      </c>
      <c r="BD306">
        <v>68</v>
      </c>
      <c r="BE306" t="s">
        <v>6452</v>
      </c>
      <c r="BF306" t="str">
        <f>HYPERLINK("http://dx.doi.org/10.3390/soilsystems6030068","http://dx.doi.org/10.3390/soilsystems6030068")</f>
        <v>http://dx.doi.org/10.3390/soilsystems6030068</v>
      </c>
      <c r="BG306" t="s">
        <v>74</v>
      </c>
      <c r="BH306" t="s">
        <v>74</v>
      </c>
      <c r="BI306">
        <v>16</v>
      </c>
      <c r="BJ306" t="s">
        <v>3003</v>
      </c>
      <c r="BK306" t="s">
        <v>215</v>
      </c>
      <c r="BL306" t="s">
        <v>3004</v>
      </c>
      <c r="BM306" t="s">
        <v>6453</v>
      </c>
      <c r="BN306" t="s">
        <v>74</v>
      </c>
      <c r="BO306" t="s">
        <v>266</v>
      </c>
      <c r="BP306" t="s">
        <v>74</v>
      </c>
      <c r="BQ306" t="s">
        <v>74</v>
      </c>
      <c r="BR306" t="s">
        <v>103</v>
      </c>
      <c r="BS306" t="s">
        <v>6454</v>
      </c>
      <c r="BT306" t="str">
        <f>HYPERLINK("https%3A%2F%2Fwww.webofscience.com%2Fwos%2Fwoscc%2Ffull-record%2FWOS:000858902500001","View Full Record in Web of Science")</f>
        <v>View Full Record in Web of Science</v>
      </c>
    </row>
    <row r="307" spans="1:72" x14ac:dyDescent="0.15">
      <c r="A307" t="s">
        <v>72</v>
      </c>
      <c r="B307" t="s">
        <v>6455</v>
      </c>
      <c r="C307" t="s">
        <v>74</v>
      </c>
      <c r="D307" t="s">
        <v>74</v>
      </c>
      <c r="E307" t="s">
        <v>74</v>
      </c>
      <c r="F307" t="s">
        <v>6456</v>
      </c>
      <c r="G307" t="s">
        <v>74</v>
      </c>
      <c r="H307" t="s">
        <v>74</v>
      </c>
      <c r="I307" t="s">
        <v>6457</v>
      </c>
      <c r="J307" t="s">
        <v>1112</v>
      </c>
      <c r="K307" t="s">
        <v>74</v>
      </c>
      <c r="L307" t="s">
        <v>74</v>
      </c>
      <c r="M307" t="s">
        <v>78</v>
      </c>
      <c r="N307" t="s">
        <v>79</v>
      </c>
      <c r="O307" t="s">
        <v>74</v>
      </c>
      <c r="P307" t="s">
        <v>74</v>
      </c>
      <c r="Q307" t="s">
        <v>74</v>
      </c>
      <c r="R307" t="s">
        <v>74</v>
      </c>
      <c r="S307" t="s">
        <v>74</v>
      </c>
      <c r="T307" t="s">
        <v>6458</v>
      </c>
      <c r="U307" t="s">
        <v>6459</v>
      </c>
      <c r="V307" t="s">
        <v>6460</v>
      </c>
      <c r="W307" t="s">
        <v>6461</v>
      </c>
      <c r="X307" t="s">
        <v>6462</v>
      </c>
      <c r="Y307" t="s">
        <v>6463</v>
      </c>
      <c r="Z307" t="s">
        <v>6464</v>
      </c>
      <c r="AA307" t="s">
        <v>6465</v>
      </c>
      <c r="AB307" t="s">
        <v>6466</v>
      </c>
      <c r="AC307" t="s">
        <v>6467</v>
      </c>
      <c r="AD307" t="s">
        <v>6468</v>
      </c>
      <c r="AE307" t="s">
        <v>6469</v>
      </c>
      <c r="AF307" t="s">
        <v>74</v>
      </c>
      <c r="AG307">
        <v>42</v>
      </c>
      <c r="AH307">
        <v>1</v>
      </c>
      <c r="AI307">
        <v>1</v>
      </c>
      <c r="AJ307">
        <v>2</v>
      </c>
      <c r="AK307">
        <v>8</v>
      </c>
      <c r="AL307" t="s">
        <v>754</v>
      </c>
      <c r="AM307" t="s">
        <v>755</v>
      </c>
      <c r="AN307" t="s">
        <v>756</v>
      </c>
      <c r="AO307" t="s">
        <v>74</v>
      </c>
      <c r="AP307" t="s">
        <v>1125</v>
      </c>
      <c r="AQ307" t="s">
        <v>74</v>
      </c>
      <c r="AR307" t="s">
        <v>1126</v>
      </c>
      <c r="AS307" t="s">
        <v>1127</v>
      </c>
      <c r="AT307" t="s">
        <v>3605</v>
      </c>
      <c r="AU307">
        <v>2022</v>
      </c>
      <c r="AV307">
        <v>13</v>
      </c>
      <c r="AW307">
        <v>9</v>
      </c>
      <c r="AX307" t="s">
        <v>74</v>
      </c>
      <c r="AY307" t="s">
        <v>74</v>
      </c>
      <c r="AZ307" t="s">
        <v>74</v>
      </c>
      <c r="BA307" t="s">
        <v>74</v>
      </c>
      <c r="BB307" t="s">
        <v>74</v>
      </c>
      <c r="BC307" t="s">
        <v>74</v>
      </c>
      <c r="BD307">
        <v>1475</v>
      </c>
      <c r="BE307" t="s">
        <v>6470</v>
      </c>
      <c r="BF307" t="str">
        <f>HYPERLINK("http://dx.doi.org/10.3390/atmos13091475","http://dx.doi.org/10.3390/atmos13091475")</f>
        <v>http://dx.doi.org/10.3390/atmos13091475</v>
      </c>
      <c r="BG307" t="s">
        <v>74</v>
      </c>
      <c r="BH307" t="s">
        <v>74</v>
      </c>
      <c r="BI307">
        <v>15</v>
      </c>
      <c r="BJ307" t="s">
        <v>1129</v>
      </c>
      <c r="BK307" t="s">
        <v>100</v>
      </c>
      <c r="BL307" t="s">
        <v>1130</v>
      </c>
      <c r="BM307" t="s">
        <v>6471</v>
      </c>
      <c r="BN307" t="s">
        <v>74</v>
      </c>
      <c r="BO307" t="s">
        <v>266</v>
      </c>
      <c r="BP307" t="s">
        <v>74</v>
      </c>
      <c r="BQ307" t="s">
        <v>74</v>
      </c>
      <c r="BR307" t="s">
        <v>103</v>
      </c>
      <c r="BS307" t="s">
        <v>6472</v>
      </c>
      <c r="BT307" t="str">
        <f>HYPERLINK("https%3A%2F%2Fwww.webofscience.com%2Fwos%2Fwoscc%2Ffull-record%2FWOS:000858492700001","View Full Record in Web of Science")</f>
        <v>View Full Record in Web of Science</v>
      </c>
    </row>
    <row r="308" spans="1:72" x14ac:dyDescent="0.15">
      <c r="A308" t="s">
        <v>72</v>
      </c>
      <c r="B308" t="s">
        <v>6473</v>
      </c>
      <c r="C308" t="s">
        <v>74</v>
      </c>
      <c r="D308" t="s">
        <v>74</v>
      </c>
      <c r="E308" t="s">
        <v>74</v>
      </c>
      <c r="F308" t="s">
        <v>6474</v>
      </c>
      <c r="G308" t="s">
        <v>74</v>
      </c>
      <c r="H308" t="s">
        <v>74</v>
      </c>
      <c r="I308" t="s">
        <v>6475</v>
      </c>
      <c r="J308" t="s">
        <v>6139</v>
      </c>
      <c r="K308" t="s">
        <v>74</v>
      </c>
      <c r="L308" t="s">
        <v>74</v>
      </c>
      <c r="M308" t="s">
        <v>78</v>
      </c>
      <c r="N308" t="s">
        <v>79</v>
      </c>
      <c r="O308" t="s">
        <v>74</v>
      </c>
      <c r="P308" t="s">
        <v>74</v>
      </c>
      <c r="Q308" t="s">
        <v>74</v>
      </c>
      <c r="R308" t="s">
        <v>74</v>
      </c>
      <c r="S308" t="s">
        <v>74</v>
      </c>
      <c r="T308" t="s">
        <v>74</v>
      </c>
      <c r="U308" t="s">
        <v>6476</v>
      </c>
      <c r="V308" t="s">
        <v>6477</v>
      </c>
      <c r="W308" t="s">
        <v>6478</v>
      </c>
      <c r="X308" t="s">
        <v>6479</v>
      </c>
      <c r="Y308" t="s">
        <v>6480</v>
      </c>
      <c r="Z308" t="s">
        <v>6481</v>
      </c>
      <c r="AA308" t="s">
        <v>6482</v>
      </c>
      <c r="AB308" t="s">
        <v>6483</v>
      </c>
      <c r="AC308" t="s">
        <v>6484</v>
      </c>
      <c r="AD308" t="s">
        <v>6485</v>
      </c>
      <c r="AE308" t="s">
        <v>6486</v>
      </c>
      <c r="AF308" t="s">
        <v>74</v>
      </c>
      <c r="AG308">
        <v>65</v>
      </c>
      <c r="AH308">
        <v>3</v>
      </c>
      <c r="AI308">
        <v>3</v>
      </c>
      <c r="AJ308">
        <v>0</v>
      </c>
      <c r="AK308">
        <v>6</v>
      </c>
      <c r="AL308" t="s">
        <v>946</v>
      </c>
      <c r="AM308" t="s">
        <v>207</v>
      </c>
      <c r="AN308" t="s">
        <v>947</v>
      </c>
      <c r="AO308" t="s">
        <v>74</v>
      </c>
      <c r="AP308" t="s">
        <v>6150</v>
      </c>
      <c r="AQ308" t="s">
        <v>74</v>
      </c>
      <c r="AR308" t="s">
        <v>6151</v>
      </c>
      <c r="AS308" t="s">
        <v>6152</v>
      </c>
      <c r="AT308" t="s">
        <v>3605</v>
      </c>
      <c r="AU308">
        <v>2022</v>
      </c>
      <c r="AV308">
        <v>9</v>
      </c>
      <c r="AW308">
        <v>9</v>
      </c>
      <c r="AX308" t="s">
        <v>74</v>
      </c>
      <c r="AY308" t="s">
        <v>74</v>
      </c>
      <c r="AZ308" t="s">
        <v>74</v>
      </c>
      <c r="BA308" t="s">
        <v>74</v>
      </c>
      <c r="BB308" t="s">
        <v>74</v>
      </c>
      <c r="BC308" t="s">
        <v>74</v>
      </c>
      <c r="BD308" t="s">
        <v>6487</v>
      </c>
      <c r="BE308" t="s">
        <v>6488</v>
      </c>
      <c r="BF308" t="str">
        <f>HYPERLINK("http://dx.doi.org/10.1029/2021EA002185","http://dx.doi.org/10.1029/2021EA002185")</f>
        <v>http://dx.doi.org/10.1029/2021EA002185</v>
      </c>
      <c r="BG308" t="s">
        <v>74</v>
      </c>
      <c r="BH308" t="s">
        <v>74</v>
      </c>
      <c r="BI308">
        <v>12</v>
      </c>
      <c r="BJ308" t="s">
        <v>6155</v>
      </c>
      <c r="BK308" t="s">
        <v>100</v>
      </c>
      <c r="BL308" t="s">
        <v>6156</v>
      </c>
      <c r="BM308" t="s">
        <v>6489</v>
      </c>
      <c r="BN308" t="s">
        <v>74</v>
      </c>
      <c r="BO308" t="s">
        <v>132</v>
      </c>
      <c r="BP308" t="s">
        <v>74</v>
      </c>
      <c r="BQ308" t="s">
        <v>74</v>
      </c>
      <c r="BR308" t="s">
        <v>103</v>
      </c>
      <c r="BS308" t="s">
        <v>6490</v>
      </c>
      <c r="BT308" t="str">
        <f>HYPERLINK("https%3A%2F%2Fwww.webofscience.com%2Fwos%2Fwoscc%2Ffull-record%2FWOS:000859024700001","View Full Record in Web of Science")</f>
        <v>View Full Record in Web of Science</v>
      </c>
    </row>
    <row r="309" spans="1:72" x14ac:dyDescent="0.15">
      <c r="A309" t="s">
        <v>72</v>
      </c>
      <c r="B309" t="s">
        <v>6491</v>
      </c>
      <c r="C309" t="s">
        <v>74</v>
      </c>
      <c r="D309" t="s">
        <v>74</v>
      </c>
      <c r="E309" t="s">
        <v>74</v>
      </c>
      <c r="F309" t="s">
        <v>6492</v>
      </c>
      <c r="G309" t="s">
        <v>74</v>
      </c>
      <c r="H309" t="s">
        <v>74</v>
      </c>
      <c r="I309" t="s">
        <v>6493</v>
      </c>
      <c r="J309" t="s">
        <v>1361</v>
      </c>
      <c r="K309" t="s">
        <v>74</v>
      </c>
      <c r="L309" t="s">
        <v>74</v>
      </c>
      <c r="M309" t="s">
        <v>78</v>
      </c>
      <c r="N309" t="s">
        <v>79</v>
      </c>
      <c r="O309" t="s">
        <v>74</v>
      </c>
      <c r="P309" t="s">
        <v>74</v>
      </c>
      <c r="Q309" t="s">
        <v>74</v>
      </c>
      <c r="R309" t="s">
        <v>74</v>
      </c>
      <c r="S309" t="s">
        <v>74</v>
      </c>
      <c r="T309" t="s">
        <v>6494</v>
      </c>
      <c r="U309" t="s">
        <v>6495</v>
      </c>
      <c r="V309" t="s">
        <v>6496</v>
      </c>
      <c r="W309" t="s">
        <v>6497</v>
      </c>
      <c r="X309" t="s">
        <v>6498</v>
      </c>
      <c r="Y309" t="s">
        <v>6499</v>
      </c>
      <c r="Z309" t="s">
        <v>6500</v>
      </c>
      <c r="AA309" t="s">
        <v>74</v>
      </c>
      <c r="AB309" t="s">
        <v>6501</v>
      </c>
      <c r="AC309" t="s">
        <v>6502</v>
      </c>
      <c r="AD309" t="s">
        <v>6503</v>
      </c>
      <c r="AE309" t="s">
        <v>6504</v>
      </c>
      <c r="AF309" t="s">
        <v>74</v>
      </c>
      <c r="AG309">
        <v>80</v>
      </c>
      <c r="AH309">
        <v>2</v>
      </c>
      <c r="AI309">
        <v>4</v>
      </c>
      <c r="AJ309">
        <v>2</v>
      </c>
      <c r="AK309">
        <v>9</v>
      </c>
      <c r="AL309" t="s">
        <v>946</v>
      </c>
      <c r="AM309" t="s">
        <v>207</v>
      </c>
      <c r="AN309" t="s">
        <v>947</v>
      </c>
      <c r="AO309" t="s">
        <v>74</v>
      </c>
      <c r="AP309" t="s">
        <v>1374</v>
      </c>
      <c r="AQ309" t="s">
        <v>74</v>
      </c>
      <c r="AR309" t="s">
        <v>1375</v>
      </c>
      <c r="AS309" t="s">
        <v>1376</v>
      </c>
      <c r="AT309" t="s">
        <v>3605</v>
      </c>
      <c r="AU309">
        <v>2022</v>
      </c>
      <c r="AV309">
        <v>23</v>
      </c>
      <c r="AW309">
        <v>9</v>
      </c>
      <c r="AX309" t="s">
        <v>74</v>
      </c>
      <c r="AY309" t="s">
        <v>74</v>
      </c>
      <c r="AZ309" t="s">
        <v>74</v>
      </c>
      <c r="BA309" t="s">
        <v>74</v>
      </c>
      <c r="BB309" t="s">
        <v>74</v>
      </c>
      <c r="BC309" t="s">
        <v>74</v>
      </c>
      <c r="BD309" t="s">
        <v>6505</v>
      </c>
      <c r="BE309" t="s">
        <v>6506</v>
      </c>
      <c r="BF309" t="str">
        <f>HYPERLINK("http://dx.doi.org/10.1029/2022GC010350","http://dx.doi.org/10.1029/2022GC010350")</f>
        <v>http://dx.doi.org/10.1029/2022GC010350</v>
      </c>
      <c r="BG309" t="s">
        <v>74</v>
      </c>
      <c r="BH309" t="s">
        <v>74</v>
      </c>
      <c r="BI309">
        <v>16</v>
      </c>
      <c r="BJ309" t="s">
        <v>1379</v>
      </c>
      <c r="BK309" t="s">
        <v>100</v>
      </c>
      <c r="BL309" t="s">
        <v>1379</v>
      </c>
      <c r="BM309" t="s">
        <v>6507</v>
      </c>
      <c r="BN309" t="s">
        <v>74</v>
      </c>
      <c r="BO309" t="s">
        <v>132</v>
      </c>
      <c r="BP309" t="s">
        <v>74</v>
      </c>
      <c r="BQ309" t="s">
        <v>74</v>
      </c>
      <c r="BR309" t="s">
        <v>103</v>
      </c>
      <c r="BS309" t="s">
        <v>6508</v>
      </c>
      <c r="BT309" t="str">
        <f>HYPERLINK("https%3A%2F%2Fwww.webofscience.com%2Fwos%2Fwoscc%2Ffull-record%2FWOS:000859037100001","View Full Record in Web of Science")</f>
        <v>View Full Record in Web of Science</v>
      </c>
    </row>
    <row r="310" spans="1:72" x14ac:dyDescent="0.15">
      <c r="A310" t="s">
        <v>72</v>
      </c>
      <c r="B310" t="s">
        <v>6509</v>
      </c>
      <c r="C310" t="s">
        <v>74</v>
      </c>
      <c r="D310" t="s">
        <v>74</v>
      </c>
      <c r="E310" t="s">
        <v>74</v>
      </c>
      <c r="F310" t="s">
        <v>6510</v>
      </c>
      <c r="G310" t="s">
        <v>74</v>
      </c>
      <c r="H310" t="s">
        <v>74</v>
      </c>
      <c r="I310" t="s">
        <v>6511</v>
      </c>
      <c r="J310" t="s">
        <v>6512</v>
      </c>
      <c r="K310" t="s">
        <v>74</v>
      </c>
      <c r="L310" t="s">
        <v>74</v>
      </c>
      <c r="M310" t="s">
        <v>78</v>
      </c>
      <c r="N310" t="s">
        <v>79</v>
      </c>
      <c r="O310" t="s">
        <v>74</v>
      </c>
      <c r="P310" t="s">
        <v>74</v>
      </c>
      <c r="Q310" t="s">
        <v>74</v>
      </c>
      <c r="R310" t="s">
        <v>74</v>
      </c>
      <c r="S310" t="s">
        <v>74</v>
      </c>
      <c r="T310" t="s">
        <v>6513</v>
      </c>
      <c r="U310" t="s">
        <v>6514</v>
      </c>
      <c r="V310" t="s">
        <v>6515</v>
      </c>
      <c r="W310" t="s">
        <v>6516</v>
      </c>
      <c r="X310" t="s">
        <v>3385</v>
      </c>
      <c r="Y310" t="s">
        <v>6517</v>
      </c>
      <c r="Z310" t="s">
        <v>6518</v>
      </c>
      <c r="AA310" t="s">
        <v>6519</v>
      </c>
      <c r="AB310" t="s">
        <v>6520</v>
      </c>
      <c r="AC310" t="s">
        <v>6521</v>
      </c>
      <c r="AD310" t="s">
        <v>6522</v>
      </c>
      <c r="AE310" t="s">
        <v>6523</v>
      </c>
      <c r="AF310" t="s">
        <v>74</v>
      </c>
      <c r="AG310">
        <v>33</v>
      </c>
      <c r="AH310">
        <v>1</v>
      </c>
      <c r="AI310">
        <v>1</v>
      </c>
      <c r="AJ310">
        <v>2</v>
      </c>
      <c r="AK310">
        <v>4</v>
      </c>
      <c r="AL310" t="s">
        <v>754</v>
      </c>
      <c r="AM310" t="s">
        <v>755</v>
      </c>
      <c r="AN310" t="s">
        <v>756</v>
      </c>
      <c r="AO310" t="s">
        <v>74</v>
      </c>
      <c r="AP310" t="s">
        <v>6524</v>
      </c>
      <c r="AQ310" t="s">
        <v>74</v>
      </c>
      <c r="AR310" t="s">
        <v>6512</v>
      </c>
      <c r="AS310" t="s">
        <v>6525</v>
      </c>
      <c r="AT310" t="s">
        <v>3605</v>
      </c>
      <c r="AU310">
        <v>2022</v>
      </c>
      <c r="AV310">
        <v>12</v>
      </c>
      <c r="AW310">
        <v>9</v>
      </c>
      <c r="AX310" t="s">
        <v>74</v>
      </c>
      <c r="AY310" t="s">
        <v>74</v>
      </c>
      <c r="AZ310" t="s">
        <v>74</v>
      </c>
      <c r="BA310" t="s">
        <v>74</v>
      </c>
      <c r="BB310" t="s">
        <v>74</v>
      </c>
      <c r="BC310" t="s">
        <v>74</v>
      </c>
      <c r="BD310">
        <v>344</v>
      </c>
      <c r="BE310" t="s">
        <v>6526</v>
      </c>
      <c r="BF310" t="str">
        <f>HYPERLINK("http://dx.doi.org/10.3390/geosciences12090344","http://dx.doi.org/10.3390/geosciences12090344")</f>
        <v>http://dx.doi.org/10.3390/geosciences12090344</v>
      </c>
      <c r="BG310" t="s">
        <v>74</v>
      </c>
      <c r="BH310" t="s">
        <v>74</v>
      </c>
      <c r="BI310">
        <v>12</v>
      </c>
      <c r="BJ310" t="s">
        <v>129</v>
      </c>
      <c r="BK310" t="s">
        <v>215</v>
      </c>
      <c r="BL310" t="s">
        <v>130</v>
      </c>
      <c r="BM310" t="s">
        <v>6527</v>
      </c>
      <c r="BN310" t="s">
        <v>74</v>
      </c>
      <c r="BO310" t="s">
        <v>483</v>
      </c>
      <c r="BP310" t="s">
        <v>74</v>
      </c>
      <c r="BQ310" t="s">
        <v>74</v>
      </c>
      <c r="BR310" t="s">
        <v>103</v>
      </c>
      <c r="BS310" t="s">
        <v>6528</v>
      </c>
      <c r="BT310" t="str">
        <f>HYPERLINK("https%3A%2F%2Fwww.webofscience.com%2Fwos%2Fwoscc%2Ffull-record%2FWOS:000858253600001","View Full Record in Web of Science")</f>
        <v>View Full Record in Web of Science</v>
      </c>
    </row>
    <row r="311" spans="1:72" x14ac:dyDescent="0.15">
      <c r="A311" t="s">
        <v>72</v>
      </c>
      <c r="B311" t="s">
        <v>6529</v>
      </c>
      <c r="C311" t="s">
        <v>74</v>
      </c>
      <c r="D311" t="s">
        <v>74</v>
      </c>
      <c r="E311" t="s">
        <v>74</v>
      </c>
      <c r="F311" t="s">
        <v>6530</v>
      </c>
      <c r="G311" t="s">
        <v>74</v>
      </c>
      <c r="H311" t="s">
        <v>74</v>
      </c>
      <c r="I311" t="s">
        <v>6531</v>
      </c>
      <c r="J311" t="s">
        <v>6396</v>
      </c>
      <c r="K311" t="s">
        <v>74</v>
      </c>
      <c r="L311" t="s">
        <v>74</v>
      </c>
      <c r="M311" t="s">
        <v>78</v>
      </c>
      <c r="N311" t="s">
        <v>79</v>
      </c>
      <c r="O311" t="s">
        <v>74</v>
      </c>
      <c r="P311" t="s">
        <v>74</v>
      </c>
      <c r="Q311" t="s">
        <v>74</v>
      </c>
      <c r="R311" t="s">
        <v>74</v>
      </c>
      <c r="S311" t="s">
        <v>74</v>
      </c>
      <c r="T311" t="s">
        <v>74</v>
      </c>
      <c r="U311" t="s">
        <v>6532</v>
      </c>
      <c r="V311" t="s">
        <v>6533</v>
      </c>
      <c r="W311" t="s">
        <v>6534</v>
      </c>
      <c r="X311" t="s">
        <v>6535</v>
      </c>
      <c r="Y311" t="s">
        <v>6536</v>
      </c>
      <c r="Z311" t="s">
        <v>6537</v>
      </c>
      <c r="AA311" t="s">
        <v>6538</v>
      </c>
      <c r="AB311" t="s">
        <v>6539</v>
      </c>
      <c r="AC311" t="s">
        <v>6540</v>
      </c>
      <c r="AD311" t="s">
        <v>6541</v>
      </c>
      <c r="AE311" t="s">
        <v>6542</v>
      </c>
      <c r="AF311" t="s">
        <v>74</v>
      </c>
      <c r="AG311">
        <v>101</v>
      </c>
      <c r="AH311">
        <v>3</v>
      </c>
      <c r="AI311">
        <v>3</v>
      </c>
      <c r="AJ311">
        <v>1</v>
      </c>
      <c r="AK311">
        <v>11</v>
      </c>
      <c r="AL311" t="s">
        <v>946</v>
      </c>
      <c r="AM311" t="s">
        <v>207</v>
      </c>
      <c r="AN311" t="s">
        <v>947</v>
      </c>
      <c r="AO311" t="s">
        <v>6408</v>
      </c>
      <c r="AP311" t="s">
        <v>6409</v>
      </c>
      <c r="AQ311" t="s">
        <v>74</v>
      </c>
      <c r="AR311" t="s">
        <v>6410</v>
      </c>
      <c r="AS311" t="s">
        <v>6411</v>
      </c>
      <c r="AT311" t="s">
        <v>3605</v>
      </c>
      <c r="AU311">
        <v>2022</v>
      </c>
      <c r="AV311">
        <v>36</v>
      </c>
      <c r="AW311">
        <v>9</v>
      </c>
      <c r="AX311" t="s">
        <v>74</v>
      </c>
      <c r="AY311" t="s">
        <v>74</v>
      </c>
      <c r="AZ311" t="s">
        <v>74</v>
      </c>
      <c r="BA311" t="s">
        <v>74</v>
      </c>
      <c r="BB311" t="s">
        <v>74</v>
      </c>
      <c r="BC311" t="s">
        <v>74</v>
      </c>
      <c r="BD311" t="s">
        <v>6543</v>
      </c>
      <c r="BE311" t="s">
        <v>6544</v>
      </c>
      <c r="BF311" t="str">
        <f>HYPERLINK("http://dx.doi.org/10.1029/2022GB007391","http://dx.doi.org/10.1029/2022GB007391")</f>
        <v>http://dx.doi.org/10.1029/2022GB007391</v>
      </c>
      <c r="BG311" t="s">
        <v>74</v>
      </c>
      <c r="BH311" t="s">
        <v>74</v>
      </c>
      <c r="BI311">
        <v>24</v>
      </c>
      <c r="BJ311" t="s">
        <v>1010</v>
      </c>
      <c r="BK311" t="s">
        <v>100</v>
      </c>
      <c r="BL311" t="s">
        <v>1011</v>
      </c>
      <c r="BM311" t="s">
        <v>6545</v>
      </c>
      <c r="BN311" t="s">
        <v>74</v>
      </c>
      <c r="BO311" t="s">
        <v>3327</v>
      </c>
      <c r="BP311" t="s">
        <v>74</v>
      </c>
      <c r="BQ311" t="s">
        <v>74</v>
      </c>
      <c r="BR311" t="s">
        <v>103</v>
      </c>
      <c r="BS311" t="s">
        <v>6546</v>
      </c>
      <c r="BT311" t="str">
        <f>HYPERLINK("https%3A%2F%2Fwww.webofscience.com%2Fwos%2Fwoscc%2Ffull-record%2FWOS:000858985100001","View Full Record in Web of Science")</f>
        <v>View Full Record in Web of Science</v>
      </c>
    </row>
    <row r="312" spans="1:72" x14ac:dyDescent="0.15">
      <c r="A312" t="s">
        <v>72</v>
      </c>
      <c r="B312" t="s">
        <v>6547</v>
      </c>
      <c r="C312" t="s">
        <v>74</v>
      </c>
      <c r="D312" t="s">
        <v>74</v>
      </c>
      <c r="E312" t="s">
        <v>74</v>
      </c>
      <c r="F312" t="s">
        <v>6548</v>
      </c>
      <c r="G312" t="s">
        <v>74</v>
      </c>
      <c r="H312" t="s">
        <v>74</v>
      </c>
      <c r="I312" t="s">
        <v>6549</v>
      </c>
      <c r="J312" t="s">
        <v>993</v>
      </c>
      <c r="K312" t="s">
        <v>74</v>
      </c>
      <c r="L312" t="s">
        <v>74</v>
      </c>
      <c r="M312" t="s">
        <v>78</v>
      </c>
      <c r="N312" t="s">
        <v>79</v>
      </c>
      <c r="O312" t="s">
        <v>74</v>
      </c>
      <c r="P312" t="s">
        <v>74</v>
      </c>
      <c r="Q312" t="s">
        <v>74</v>
      </c>
      <c r="R312" t="s">
        <v>74</v>
      </c>
      <c r="S312" t="s">
        <v>74</v>
      </c>
      <c r="T312" t="s">
        <v>6550</v>
      </c>
      <c r="U312" t="s">
        <v>6551</v>
      </c>
      <c r="V312" t="s">
        <v>6552</v>
      </c>
      <c r="W312" t="s">
        <v>6553</v>
      </c>
      <c r="X312" t="s">
        <v>6554</v>
      </c>
      <c r="Y312" t="s">
        <v>6555</v>
      </c>
      <c r="Z312" t="s">
        <v>6556</v>
      </c>
      <c r="AA312" t="s">
        <v>6557</v>
      </c>
      <c r="AB312" t="s">
        <v>6558</v>
      </c>
      <c r="AC312" t="s">
        <v>6559</v>
      </c>
      <c r="AD312" t="s">
        <v>6560</v>
      </c>
      <c r="AE312" t="s">
        <v>6561</v>
      </c>
      <c r="AF312" t="s">
        <v>74</v>
      </c>
      <c r="AG312">
        <v>150</v>
      </c>
      <c r="AH312">
        <v>14</v>
      </c>
      <c r="AI312">
        <v>14</v>
      </c>
      <c r="AJ312">
        <v>12</v>
      </c>
      <c r="AK312">
        <v>56</v>
      </c>
      <c r="AL312" t="s">
        <v>946</v>
      </c>
      <c r="AM312" t="s">
        <v>207</v>
      </c>
      <c r="AN312" t="s">
        <v>947</v>
      </c>
      <c r="AO312" t="s">
        <v>74</v>
      </c>
      <c r="AP312" t="s">
        <v>1006</v>
      </c>
      <c r="AQ312" t="s">
        <v>74</v>
      </c>
      <c r="AR312" t="s">
        <v>993</v>
      </c>
      <c r="AS312" t="s">
        <v>1007</v>
      </c>
      <c r="AT312" t="s">
        <v>3605</v>
      </c>
      <c r="AU312">
        <v>2022</v>
      </c>
      <c r="AV312">
        <v>10</v>
      </c>
      <c r="AW312">
        <v>9</v>
      </c>
      <c r="AX312" t="s">
        <v>74</v>
      </c>
      <c r="AY312" t="s">
        <v>74</v>
      </c>
      <c r="AZ312" t="s">
        <v>74</v>
      </c>
      <c r="BA312" t="s">
        <v>74</v>
      </c>
      <c r="BB312" t="s">
        <v>74</v>
      </c>
      <c r="BC312" t="s">
        <v>74</v>
      </c>
      <c r="BD312" t="s">
        <v>6562</v>
      </c>
      <c r="BE312" t="s">
        <v>6563</v>
      </c>
      <c r="BF312" t="str">
        <f>HYPERLINK("http://dx.doi.org/10.1029/2022EF002776","http://dx.doi.org/10.1029/2022EF002776")</f>
        <v>http://dx.doi.org/10.1029/2022EF002776</v>
      </c>
      <c r="BG312" t="s">
        <v>74</v>
      </c>
      <c r="BH312" t="s">
        <v>74</v>
      </c>
      <c r="BI312">
        <v>19</v>
      </c>
      <c r="BJ312" t="s">
        <v>1010</v>
      </c>
      <c r="BK312" t="s">
        <v>100</v>
      </c>
      <c r="BL312" t="s">
        <v>1011</v>
      </c>
      <c r="BM312" t="s">
        <v>6564</v>
      </c>
      <c r="BN312" t="s">
        <v>74</v>
      </c>
      <c r="BO312" t="s">
        <v>483</v>
      </c>
      <c r="BP312" t="s">
        <v>74</v>
      </c>
      <c r="BQ312" t="s">
        <v>74</v>
      </c>
      <c r="BR312" t="s">
        <v>103</v>
      </c>
      <c r="BS312" t="s">
        <v>6565</v>
      </c>
      <c r="BT312" t="str">
        <f>HYPERLINK("https%3A%2F%2Fwww.webofscience.com%2Fwos%2Fwoscc%2Ffull-record%2FWOS:000859018700001","View Full Record in Web of Science")</f>
        <v>View Full Record in Web of Science</v>
      </c>
    </row>
    <row r="313" spans="1:72" x14ac:dyDescent="0.15">
      <c r="A313" t="s">
        <v>72</v>
      </c>
      <c r="B313" t="s">
        <v>6566</v>
      </c>
      <c r="C313" t="s">
        <v>74</v>
      </c>
      <c r="D313" t="s">
        <v>74</v>
      </c>
      <c r="E313" t="s">
        <v>74</v>
      </c>
      <c r="F313" t="s">
        <v>6567</v>
      </c>
      <c r="G313" t="s">
        <v>74</v>
      </c>
      <c r="H313" t="s">
        <v>74</v>
      </c>
      <c r="I313" t="s">
        <v>6568</v>
      </c>
      <c r="J313" t="s">
        <v>6569</v>
      </c>
      <c r="K313" t="s">
        <v>74</v>
      </c>
      <c r="L313" t="s">
        <v>74</v>
      </c>
      <c r="M313" t="s">
        <v>78</v>
      </c>
      <c r="N313" t="s">
        <v>79</v>
      </c>
      <c r="O313" t="s">
        <v>74</v>
      </c>
      <c r="P313" t="s">
        <v>74</v>
      </c>
      <c r="Q313" t="s">
        <v>74</v>
      </c>
      <c r="R313" t="s">
        <v>74</v>
      </c>
      <c r="S313" t="s">
        <v>74</v>
      </c>
      <c r="T313" t="s">
        <v>6570</v>
      </c>
      <c r="U313" t="s">
        <v>6571</v>
      </c>
      <c r="V313" t="s">
        <v>6572</v>
      </c>
      <c r="W313" t="s">
        <v>6573</v>
      </c>
      <c r="X313" t="s">
        <v>6574</v>
      </c>
      <c r="Y313" t="s">
        <v>6575</v>
      </c>
      <c r="Z313" t="s">
        <v>6576</v>
      </c>
      <c r="AA313" t="s">
        <v>6577</v>
      </c>
      <c r="AB313" t="s">
        <v>6578</v>
      </c>
      <c r="AC313" t="s">
        <v>6579</v>
      </c>
      <c r="AD313" t="s">
        <v>6580</v>
      </c>
      <c r="AE313" t="s">
        <v>6581</v>
      </c>
      <c r="AF313" t="s">
        <v>74</v>
      </c>
      <c r="AG313">
        <v>120</v>
      </c>
      <c r="AH313">
        <v>0</v>
      </c>
      <c r="AI313">
        <v>0</v>
      </c>
      <c r="AJ313">
        <v>0</v>
      </c>
      <c r="AK313">
        <v>2</v>
      </c>
      <c r="AL313" t="s">
        <v>231</v>
      </c>
      <c r="AM313" t="s">
        <v>232</v>
      </c>
      <c r="AN313" t="s">
        <v>233</v>
      </c>
      <c r="AO313" t="s">
        <v>6582</v>
      </c>
      <c r="AP313" t="s">
        <v>74</v>
      </c>
      <c r="AQ313" t="s">
        <v>74</v>
      </c>
      <c r="AR313" t="s">
        <v>6583</v>
      </c>
      <c r="AS313" t="s">
        <v>6584</v>
      </c>
      <c r="AT313" t="s">
        <v>3605</v>
      </c>
      <c r="AU313">
        <v>2022</v>
      </c>
      <c r="AV313">
        <v>12</v>
      </c>
      <c r="AW313">
        <v>9</v>
      </c>
      <c r="AX313" t="s">
        <v>74</v>
      </c>
      <c r="AY313" t="s">
        <v>74</v>
      </c>
      <c r="AZ313" t="s">
        <v>74</v>
      </c>
      <c r="BA313" t="s">
        <v>74</v>
      </c>
      <c r="BB313" t="s">
        <v>74</v>
      </c>
      <c r="BC313" t="s">
        <v>74</v>
      </c>
      <c r="BD313" t="s">
        <v>6585</v>
      </c>
      <c r="BE313" t="s">
        <v>6586</v>
      </c>
      <c r="BF313" t="str">
        <f>HYPERLINK("http://dx.doi.org/10.1002/ece3.9333","http://dx.doi.org/10.1002/ece3.9333")</f>
        <v>http://dx.doi.org/10.1002/ece3.9333</v>
      </c>
      <c r="BG313" t="s">
        <v>74</v>
      </c>
      <c r="BH313" t="s">
        <v>74</v>
      </c>
      <c r="BI313">
        <v>41</v>
      </c>
      <c r="BJ313" t="s">
        <v>327</v>
      </c>
      <c r="BK313" t="s">
        <v>100</v>
      </c>
      <c r="BL313" t="s">
        <v>328</v>
      </c>
      <c r="BM313" t="s">
        <v>6587</v>
      </c>
      <c r="BN313">
        <v>36188511</v>
      </c>
      <c r="BO313" t="s">
        <v>159</v>
      </c>
      <c r="BP313" t="s">
        <v>74</v>
      </c>
      <c r="BQ313" t="s">
        <v>74</v>
      </c>
      <c r="BR313" t="s">
        <v>103</v>
      </c>
      <c r="BS313" t="s">
        <v>6588</v>
      </c>
      <c r="BT313" t="str">
        <f>HYPERLINK("https%3A%2F%2Fwww.webofscience.com%2Fwos%2Fwoscc%2Ffull-record%2FWOS:000857995800001","View Full Record in Web of Science")</f>
        <v>View Full Record in Web of Science</v>
      </c>
    </row>
    <row r="314" spans="1:72" x14ac:dyDescent="0.15">
      <c r="A314" t="s">
        <v>72</v>
      </c>
      <c r="B314" t="s">
        <v>6589</v>
      </c>
      <c r="C314" t="s">
        <v>74</v>
      </c>
      <c r="D314" t="s">
        <v>74</v>
      </c>
      <c r="E314" t="s">
        <v>74</v>
      </c>
      <c r="F314" t="s">
        <v>6590</v>
      </c>
      <c r="G314" t="s">
        <v>74</v>
      </c>
      <c r="H314" t="s">
        <v>74</v>
      </c>
      <c r="I314" t="s">
        <v>6591</v>
      </c>
      <c r="J314" t="s">
        <v>1497</v>
      </c>
      <c r="K314" t="s">
        <v>74</v>
      </c>
      <c r="L314" t="s">
        <v>74</v>
      </c>
      <c r="M314" t="s">
        <v>78</v>
      </c>
      <c r="N314" t="s">
        <v>79</v>
      </c>
      <c r="O314" t="s">
        <v>74</v>
      </c>
      <c r="P314" t="s">
        <v>74</v>
      </c>
      <c r="Q314" t="s">
        <v>74</v>
      </c>
      <c r="R314" t="s">
        <v>74</v>
      </c>
      <c r="S314" t="s">
        <v>74</v>
      </c>
      <c r="T314" t="s">
        <v>6592</v>
      </c>
      <c r="U314" t="s">
        <v>6593</v>
      </c>
      <c r="V314" t="s">
        <v>6594</v>
      </c>
      <c r="W314" t="s">
        <v>6595</v>
      </c>
      <c r="X314" t="s">
        <v>6596</v>
      </c>
      <c r="Y314" t="s">
        <v>6597</v>
      </c>
      <c r="Z314" t="s">
        <v>6598</v>
      </c>
      <c r="AA314" t="s">
        <v>74</v>
      </c>
      <c r="AB314" t="s">
        <v>6599</v>
      </c>
      <c r="AC314" t="s">
        <v>6600</v>
      </c>
      <c r="AD314" t="s">
        <v>6601</v>
      </c>
      <c r="AE314" t="s">
        <v>6602</v>
      </c>
      <c r="AF314" t="s">
        <v>74</v>
      </c>
      <c r="AG314">
        <v>41</v>
      </c>
      <c r="AH314">
        <v>2</v>
      </c>
      <c r="AI314">
        <v>2</v>
      </c>
      <c r="AJ314">
        <v>3</v>
      </c>
      <c r="AK314">
        <v>14</v>
      </c>
      <c r="AL314" t="s">
        <v>754</v>
      </c>
      <c r="AM314" t="s">
        <v>755</v>
      </c>
      <c r="AN314" t="s">
        <v>756</v>
      </c>
      <c r="AO314" t="s">
        <v>74</v>
      </c>
      <c r="AP314" t="s">
        <v>1510</v>
      </c>
      <c r="AQ314" t="s">
        <v>74</v>
      </c>
      <c r="AR314" t="s">
        <v>1511</v>
      </c>
      <c r="AS314" t="s">
        <v>1512</v>
      </c>
      <c r="AT314" t="s">
        <v>3605</v>
      </c>
      <c r="AU314">
        <v>2022</v>
      </c>
      <c r="AV314">
        <v>23</v>
      </c>
      <c r="AW314">
        <v>18</v>
      </c>
      <c r="AX314" t="s">
        <v>74</v>
      </c>
      <c r="AY314" t="s">
        <v>74</v>
      </c>
      <c r="AZ314" t="s">
        <v>74</v>
      </c>
      <c r="BA314" t="s">
        <v>74</v>
      </c>
      <c r="BB314" t="s">
        <v>74</v>
      </c>
      <c r="BC314" t="s">
        <v>74</v>
      </c>
      <c r="BD314">
        <v>10884</v>
      </c>
      <c r="BE314" t="s">
        <v>6603</v>
      </c>
      <c r="BF314" t="str">
        <f>HYPERLINK("http://dx.doi.org/10.3390/ijms231810884","http://dx.doi.org/10.3390/ijms231810884")</f>
        <v>http://dx.doi.org/10.3390/ijms231810884</v>
      </c>
      <c r="BG314" t="s">
        <v>74</v>
      </c>
      <c r="BH314" t="s">
        <v>74</v>
      </c>
      <c r="BI314">
        <v>12</v>
      </c>
      <c r="BJ314" t="s">
        <v>1514</v>
      </c>
      <c r="BK314" t="s">
        <v>100</v>
      </c>
      <c r="BL314" t="s">
        <v>1515</v>
      </c>
      <c r="BM314" t="s">
        <v>6604</v>
      </c>
      <c r="BN314">
        <v>36142798</v>
      </c>
      <c r="BO314" t="s">
        <v>159</v>
      </c>
      <c r="BP314" t="s">
        <v>74</v>
      </c>
      <c r="BQ314" t="s">
        <v>74</v>
      </c>
      <c r="BR314" t="s">
        <v>103</v>
      </c>
      <c r="BS314" t="s">
        <v>6605</v>
      </c>
      <c r="BT314" t="str">
        <f>HYPERLINK("https%3A%2F%2Fwww.webofscience.com%2Fwos%2Fwoscc%2Ffull-record%2FWOS:000858217800001","View Full Record in Web of Science")</f>
        <v>View Full Record in Web of Science</v>
      </c>
    </row>
    <row r="315" spans="1:72" x14ac:dyDescent="0.15">
      <c r="A315" t="s">
        <v>72</v>
      </c>
      <c r="B315" t="s">
        <v>6606</v>
      </c>
      <c r="C315" t="s">
        <v>74</v>
      </c>
      <c r="D315" t="s">
        <v>74</v>
      </c>
      <c r="E315" t="s">
        <v>74</v>
      </c>
      <c r="F315" t="s">
        <v>6607</v>
      </c>
      <c r="G315" t="s">
        <v>74</v>
      </c>
      <c r="H315" t="s">
        <v>74</v>
      </c>
      <c r="I315" t="s">
        <v>6608</v>
      </c>
      <c r="J315" t="s">
        <v>6609</v>
      </c>
      <c r="K315" t="s">
        <v>74</v>
      </c>
      <c r="L315" t="s">
        <v>74</v>
      </c>
      <c r="M315" t="s">
        <v>78</v>
      </c>
      <c r="N315" t="s">
        <v>79</v>
      </c>
      <c r="O315" t="s">
        <v>74</v>
      </c>
      <c r="P315" t="s">
        <v>74</v>
      </c>
      <c r="Q315" t="s">
        <v>74</v>
      </c>
      <c r="R315" t="s">
        <v>74</v>
      </c>
      <c r="S315" t="s">
        <v>74</v>
      </c>
      <c r="T315" t="s">
        <v>6610</v>
      </c>
      <c r="U315" t="s">
        <v>6611</v>
      </c>
      <c r="V315" t="s">
        <v>6612</v>
      </c>
      <c r="W315" t="s">
        <v>6613</v>
      </c>
      <c r="X315" t="s">
        <v>6614</v>
      </c>
      <c r="Y315" t="s">
        <v>6615</v>
      </c>
      <c r="Z315" t="s">
        <v>6616</v>
      </c>
      <c r="AA315" t="s">
        <v>6617</v>
      </c>
      <c r="AB315" t="s">
        <v>6618</v>
      </c>
      <c r="AC315" t="s">
        <v>6619</v>
      </c>
      <c r="AD315" t="s">
        <v>6620</v>
      </c>
      <c r="AE315" t="s">
        <v>6621</v>
      </c>
      <c r="AF315" t="s">
        <v>74</v>
      </c>
      <c r="AG315">
        <v>98</v>
      </c>
      <c r="AH315">
        <v>9</v>
      </c>
      <c r="AI315">
        <v>9</v>
      </c>
      <c r="AJ315">
        <v>0</v>
      </c>
      <c r="AK315">
        <v>8</v>
      </c>
      <c r="AL315" t="s">
        <v>754</v>
      </c>
      <c r="AM315" t="s">
        <v>755</v>
      </c>
      <c r="AN315" t="s">
        <v>756</v>
      </c>
      <c r="AO315" t="s">
        <v>74</v>
      </c>
      <c r="AP315" t="s">
        <v>6622</v>
      </c>
      <c r="AQ315" t="s">
        <v>74</v>
      </c>
      <c r="AR315" t="s">
        <v>6623</v>
      </c>
      <c r="AS315" t="s">
        <v>6624</v>
      </c>
      <c r="AT315" t="s">
        <v>3605</v>
      </c>
      <c r="AU315">
        <v>2022</v>
      </c>
      <c r="AV315">
        <v>8</v>
      </c>
      <c r="AW315">
        <v>9</v>
      </c>
      <c r="AX315" t="s">
        <v>74</v>
      </c>
      <c r="AY315" t="s">
        <v>74</v>
      </c>
      <c r="AZ315" t="s">
        <v>74</v>
      </c>
      <c r="BA315" t="s">
        <v>74</v>
      </c>
      <c r="BB315" t="s">
        <v>74</v>
      </c>
      <c r="BC315" t="s">
        <v>74</v>
      </c>
      <c r="BD315">
        <v>979</v>
      </c>
      <c r="BE315" t="s">
        <v>6625</v>
      </c>
      <c r="BF315" t="str">
        <f>HYPERLINK("http://dx.doi.org/10.3390/jof8090979","http://dx.doi.org/10.3390/jof8090979")</f>
        <v>http://dx.doi.org/10.3390/jof8090979</v>
      </c>
      <c r="BG315" t="s">
        <v>74</v>
      </c>
      <c r="BH315" t="s">
        <v>74</v>
      </c>
      <c r="BI315">
        <v>23</v>
      </c>
      <c r="BJ315" t="s">
        <v>6626</v>
      </c>
      <c r="BK315" t="s">
        <v>100</v>
      </c>
      <c r="BL315" t="s">
        <v>6626</v>
      </c>
      <c r="BM315" t="s">
        <v>6627</v>
      </c>
      <c r="BN315">
        <v>36135704</v>
      </c>
      <c r="BO315" t="s">
        <v>132</v>
      </c>
      <c r="BP315" t="s">
        <v>74</v>
      </c>
      <c r="BQ315" t="s">
        <v>74</v>
      </c>
      <c r="BR315" t="s">
        <v>103</v>
      </c>
      <c r="BS315" t="s">
        <v>6628</v>
      </c>
      <c r="BT315" t="str">
        <f>HYPERLINK("https%3A%2F%2Fwww.webofscience.com%2Fwos%2Fwoscc%2Ffull-record%2FWOS:000858251300001","View Full Record in Web of Science")</f>
        <v>View Full Record in Web of Science</v>
      </c>
    </row>
    <row r="316" spans="1:72" x14ac:dyDescent="0.15">
      <c r="A316" t="s">
        <v>72</v>
      </c>
      <c r="B316" t="s">
        <v>6629</v>
      </c>
      <c r="C316" t="s">
        <v>74</v>
      </c>
      <c r="D316" t="s">
        <v>74</v>
      </c>
      <c r="E316" t="s">
        <v>74</v>
      </c>
      <c r="F316" t="s">
        <v>6630</v>
      </c>
      <c r="G316" t="s">
        <v>74</v>
      </c>
      <c r="H316" t="s">
        <v>74</v>
      </c>
      <c r="I316" t="s">
        <v>6631</v>
      </c>
      <c r="J316" t="s">
        <v>6632</v>
      </c>
      <c r="K316" t="s">
        <v>74</v>
      </c>
      <c r="L316" t="s">
        <v>74</v>
      </c>
      <c r="M316" t="s">
        <v>78</v>
      </c>
      <c r="N316" t="s">
        <v>79</v>
      </c>
      <c r="O316" t="s">
        <v>74</v>
      </c>
      <c r="P316" t="s">
        <v>74</v>
      </c>
      <c r="Q316" t="s">
        <v>74</v>
      </c>
      <c r="R316" t="s">
        <v>74</v>
      </c>
      <c r="S316" t="s">
        <v>74</v>
      </c>
      <c r="T316" t="s">
        <v>6633</v>
      </c>
      <c r="U316" t="s">
        <v>6634</v>
      </c>
      <c r="V316" t="s">
        <v>6635</v>
      </c>
      <c r="W316" t="s">
        <v>6636</v>
      </c>
      <c r="X316" t="s">
        <v>6637</v>
      </c>
      <c r="Y316" t="s">
        <v>6638</v>
      </c>
      <c r="Z316" t="s">
        <v>6639</v>
      </c>
      <c r="AA316" t="s">
        <v>74</v>
      </c>
      <c r="AB316" t="s">
        <v>74</v>
      </c>
      <c r="AC316" t="s">
        <v>6640</v>
      </c>
      <c r="AD316" t="s">
        <v>6641</v>
      </c>
      <c r="AE316" t="s">
        <v>6642</v>
      </c>
      <c r="AF316" t="s">
        <v>74</v>
      </c>
      <c r="AG316">
        <v>42</v>
      </c>
      <c r="AH316">
        <v>0</v>
      </c>
      <c r="AI316">
        <v>0</v>
      </c>
      <c r="AJ316">
        <v>10</v>
      </c>
      <c r="AK316">
        <v>31</v>
      </c>
      <c r="AL316" t="s">
        <v>754</v>
      </c>
      <c r="AM316" t="s">
        <v>755</v>
      </c>
      <c r="AN316" t="s">
        <v>756</v>
      </c>
      <c r="AO316" t="s">
        <v>74</v>
      </c>
      <c r="AP316" t="s">
        <v>6643</v>
      </c>
      <c r="AQ316" t="s">
        <v>74</v>
      </c>
      <c r="AR316" t="s">
        <v>6644</v>
      </c>
      <c r="AS316" t="s">
        <v>6645</v>
      </c>
      <c r="AT316" t="s">
        <v>3605</v>
      </c>
      <c r="AU316">
        <v>2022</v>
      </c>
      <c r="AV316">
        <v>10</v>
      </c>
      <c r="AW316">
        <v>9</v>
      </c>
      <c r="AX316" t="s">
        <v>74</v>
      </c>
      <c r="AY316" t="s">
        <v>74</v>
      </c>
      <c r="AZ316" t="s">
        <v>74</v>
      </c>
      <c r="BA316" t="s">
        <v>74</v>
      </c>
      <c r="BB316" t="s">
        <v>74</v>
      </c>
      <c r="BC316" t="s">
        <v>74</v>
      </c>
      <c r="BD316">
        <v>1163</v>
      </c>
      <c r="BE316" t="s">
        <v>6646</v>
      </c>
      <c r="BF316" t="str">
        <f>HYPERLINK("http://dx.doi.org/10.3390/jmse10091163","http://dx.doi.org/10.3390/jmse10091163")</f>
        <v>http://dx.doi.org/10.3390/jmse10091163</v>
      </c>
      <c r="BG316" t="s">
        <v>74</v>
      </c>
      <c r="BH316" t="s">
        <v>74</v>
      </c>
      <c r="BI316">
        <v>18</v>
      </c>
      <c r="BJ316" t="s">
        <v>6647</v>
      </c>
      <c r="BK316" t="s">
        <v>100</v>
      </c>
      <c r="BL316" t="s">
        <v>6053</v>
      </c>
      <c r="BM316" t="s">
        <v>6648</v>
      </c>
      <c r="BN316" t="s">
        <v>74</v>
      </c>
      <c r="BO316" t="s">
        <v>266</v>
      </c>
      <c r="BP316" t="s">
        <v>74</v>
      </c>
      <c r="BQ316" t="s">
        <v>74</v>
      </c>
      <c r="BR316" t="s">
        <v>103</v>
      </c>
      <c r="BS316" t="s">
        <v>6649</v>
      </c>
      <c r="BT316" t="str">
        <f>HYPERLINK("https%3A%2F%2Fwww.webofscience.com%2Fwos%2Fwoscc%2Ffull-record%2FWOS:000857500000001","View Full Record in Web of Science")</f>
        <v>View Full Record in Web of Science</v>
      </c>
    </row>
    <row r="317" spans="1:72" x14ac:dyDescent="0.15">
      <c r="A317" t="s">
        <v>72</v>
      </c>
      <c r="B317" t="s">
        <v>6650</v>
      </c>
      <c r="C317" t="s">
        <v>74</v>
      </c>
      <c r="D317" t="s">
        <v>74</v>
      </c>
      <c r="E317" t="s">
        <v>74</v>
      </c>
      <c r="F317" t="s">
        <v>6651</v>
      </c>
      <c r="G317" t="s">
        <v>74</v>
      </c>
      <c r="H317" t="s">
        <v>74</v>
      </c>
      <c r="I317" t="s">
        <v>6652</v>
      </c>
      <c r="J317" t="s">
        <v>1112</v>
      </c>
      <c r="K317" t="s">
        <v>74</v>
      </c>
      <c r="L317" t="s">
        <v>74</v>
      </c>
      <c r="M317" t="s">
        <v>78</v>
      </c>
      <c r="N317" t="s">
        <v>79</v>
      </c>
      <c r="O317" t="s">
        <v>74</v>
      </c>
      <c r="P317" t="s">
        <v>74</v>
      </c>
      <c r="Q317" t="s">
        <v>74</v>
      </c>
      <c r="R317" t="s">
        <v>74</v>
      </c>
      <c r="S317" t="s">
        <v>74</v>
      </c>
      <c r="T317" t="s">
        <v>6653</v>
      </c>
      <c r="U317" t="s">
        <v>6654</v>
      </c>
      <c r="V317" t="s">
        <v>6655</v>
      </c>
      <c r="W317" t="s">
        <v>6656</v>
      </c>
      <c r="X317" t="s">
        <v>6657</v>
      </c>
      <c r="Y317" t="s">
        <v>6658</v>
      </c>
      <c r="Z317" t="s">
        <v>6659</v>
      </c>
      <c r="AA317" t="s">
        <v>74</v>
      </c>
      <c r="AB317" t="s">
        <v>74</v>
      </c>
      <c r="AC317" t="s">
        <v>6660</v>
      </c>
      <c r="AD317" t="s">
        <v>6660</v>
      </c>
      <c r="AE317" t="s">
        <v>6661</v>
      </c>
      <c r="AF317" t="s">
        <v>74</v>
      </c>
      <c r="AG317">
        <v>88</v>
      </c>
      <c r="AH317">
        <v>6</v>
      </c>
      <c r="AI317">
        <v>6</v>
      </c>
      <c r="AJ317">
        <v>0</v>
      </c>
      <c r="AK317">
        <v>3</v>
      </c>
      <c r="AL317" t="s">
        <v>754</v>
      </c>
      <c r="AM317" t="s">
        <v>755</v>
      </c>
      <c r="AN317" t="s">
        <v>756</v>
      </c>
      <c r="AO317" t="s">
        <v>74</v>
      </c>
      <c r="AP317" t="s">
        <v>1125</v>
      </c>
      <c r="AQ317" t="s">
        <v>74</v>
      </c>
      <c r="AR317" t="s">
        <v>1126</v>
      </c>
      <c r="AS317" t="s">
        <v>1127</v>
      </c>
      <c r="AT317" t="s">
        <v>3605</v>
      </c>
      <c r="AU317">
        <v>2022</v>
      </c>
      <c r="AV317">
        <v>13</v>
      </c>
      <c r="AW317">
        <v>9</v>
      </c>
      <c r="AX317" t="s">
        <v>74</v>
      </c>
      <c r="AY317" t="s">
        <v>74</v>
      </c>
      <c r="AZ317" t="s">
        <v>74</v>
      </c>
      <c r="BA317" t="s">
        <v>74</v>
      </c>
      <c r="BB317" t="s">
        <v>74</v>
      </c>
      <c r="BC317" t="s">
        <v>74</v>
      </c>
      <c r="BD317">
        <v>1354</v>
      </c>
      <c r="BE317" t="s">
        <v>6662</v>
      </c>
      <c r="BF317" t="str">
        <f>HYPERLINK("http://dx.doi.org/10.3390/atmos13091354","http://dx.doi.org/10.3390/atmos13091354")</f>
        <v>http://dx.doi.org/10.3390/atmos13091354</v>
      </c>
      <c r="BG317" t="s">
        <v>74</v>
      </c>
      <c r="BH317" t="s">
        <v>74</v>
      </c>
      <c r="BI317">
        <v>14</v>
      </c>
      <c r="BJ317" t="s">
        <v>1129</v>
      </c>
      <c r="BK317" t="s">
        <v>100</v>
      </c>
      <c r="BL317" t="s">
        <v>1130</v>
      </c>
      <c r="BM317" t="s">
        <v>6663</v>
      </c>
      <c r="BN317" t="s">
        <v>74</v>
      </c>
      <c r="BO317" t="s">
        <v>3262</v>
      </c>
      <c r="BP317" t="s">
        <v>74</v>
      </c>
      <c r="BQ317" t="s">
        <v>74</v>
      </c>
      <c r="BR317" t="s">
        <v>103</v>
      </c>
      <c r="BS317" t="s">
        <v>6664</v>
      </c>
      <c r="BT317" t="str">
        <f>HYPERLINK("https%3A%2F%2Fwww.webofscience.com%2Fwos%2Fwoscc%2Ffull-record%2FWOS:000857385600001","View Full Record in Web of Science")</f>
        <v>View Full Record in Web of Science</v>
      </c>
    </row>
    <row r="318" spans="1:72" x14ac:dyDescent="0.15">
      <c r="A318" t="s">
        <v>72</v>
      </c>
      <c r="B318" t="s">
        <v>6665</v>
      </c>
      <c r="C318" t="s">
        <v>74</v>
      </c>
      <c r="D318" t="s">
        <v>74</v>
      </c>
      <c r="E318" t="s">
        <v>74</v>
      </c>
      <c r="F318" t="s">
        <v>6666</v>
      </c>
      <c r="G318" t="s">
        <v>74</v>
      </c>
      <c r="H318" t="s">
        <v>74</v>
      </c>
      <c r="I318" t="s">
        <v>6667</v>
      </c>
      <c r="J318" t="s">
        <v>1112</v>
      </c>
      <c r="K318" t="s">
        <v>74</v>
      </c>
      <c r="L318" t="s">
        <v>74</v>
      </c>
      <c r="M318" t="s">
        <v>78</v>
      </c>
      <c r="N318" t="s">
        <v>165</v>
      </c>
      <c r="O318" t="s">
        <v>74</v>
      </c>
      <c r="P318" t="s">
        <v>74</v>
      </c>
      <c r="Q318" t="s">
        <v>74</v>
      </c>
      <c r="R318" t="s">
        <v>74</v>
      </c>
      <c r="S318" t="s">
        <v>74</v>
      </c>
      <c r="T318" t="s">
        <v>6668</v>
      </c>
      <c r="U318" t="s">
        <v>6669</v>
      </c>
      <c r="V318" t="s">
        <v>6670</v>
      </c>
      <c r="W318" t="s">
        <v>6671</v>
      </c>
      <c r="X318" t="s">
        <v>6672</v>
      </c>
      <c r="Y318" t="s">
        <v>6673</v>
      </c>
      <c r="Z318" t="s">
        <v>6674</v>
      </c>
      <c r="AA318" t="s">
        <v>74</v>
      </c>
      <c r="AB318" t="s">
        <v>6675</v>
      </c>
      <c r="AC318" t="s">
        <v>6676</v>
      </c>
      <c r="AD318" t="s">
        <v>6676</v>
      </c>
      <c r="AE318" t="s">
        <v>6677</v>
      </c>
      <c r="AF318" t="s">
        <v>74</v>
      </c>
      <c r="AG318">
        <v>46</v>
      </c>
      <c r="AH318">
        <v>0</v>
      </c>
      <c r="AI318">
        <v>0</v>
      </c>
      <c r="AJ318">
        <v>0</v>
      </c>
      <c r="AK318">
        <v>16</v>
      </c>
      <c r="AL318" t="s">
        <v>754</v>
      </c>
      <c r="AM318" t="s">
        <v>755</v>
      </c>
      <c r="AN318" t="s">
        <v>756</v>
      </c>
      <c r="AO318" t="s">
        <v>74</v>
      </c>
      <c r="AP318" t="s">
        <v>1125</v>
      </c>
      <c r="AQ318" t="s">
        <v>74</v>
      </c>
      <c r="AR318" t="s">
        <v>1126</v>
      </c>
      <c r="AS318" t="s">
        <v>1127</v>
      </c>
      <c r="AT318" t="s">
        <v>3605</v>
      </c>
      <c r="AU318">
        <v>2022</v>
      </c>
      <c r="AV318">
        <v>13</v>
      </c>
      <c r="AW318">
        <v>9</v>
      </c>
      <c r="AX318" t="s">
        <v>74</v>
      </c>
      <c r="AY318" t="s">
        <v>74</v>
      </c>
      <c r="AZ318" t="s">
        <v>74</v>
      </c>
      <c r="BA318" t="s">
        <v>74</v>
      </c>
      <c r="BB318" t="s">
        <v>74</v>
      </c>
      <c r="BC318" t="s">
        <v>74</v>
      </c>
      <c r="BD318">
        <v>1514</v>
      </c>
      <c r="BE318" t="s">
        <v>6678</v>
      </c>
      <c r="BF318" t="str">
        <f>HYPERLINK("http://dx.doi.org/10.3390/atmos13091514","http://dx.doi.org/10.3390/atmos13091514")</f>
        <v>http://dx.doi.org/10.3390/atmos13091514</v>
      </c>
      <c r="BG318" t="s">
        <v>74</v>
      </c>
      <c r="BH318" t="s">
        <v>74</v>
      </c>
      <c r="BI318">
        <v>11</v>
      </c>
      <c r="BJ318" t="s">
        <v>1129</v>
      </c>
      <c r="BK318" t="s">
        <v>100</v>
      </c>
      <c r="BL318" t="s">
        <v>1130</v>
      </c>
      <c r="BM318" t="s">
        <v>6679</v>
      </c>
      <c r="BN318" t="s">
        <v>74</v>
      </c>
      <c r="BO318" t="s">
        <v>266</v>
      </c>
      <c r="BP318" t="s">
        <v>74</v>
      </c>
      <c r="BQ318" t="s">
        <v>74</v>
      </c>
      <c r="BR318" t="s">
        <v>103</v>
      </c>
      <c r="BS318" t="s">
        <v>6680</v>
      </c>
      <c r="BT318" t="str">
        <f>HYPERLINK("https%3A%2F%2Fwww.webofscience.com%2Fwos%2Fwoscc%2Ffull-record%2FWOS:000857374600001","View Full Record in Web of Science")</f>
        <v>View Full Record in Web of Science</v>
      </c>
    </row>
    <row r="319" spans="1:72" x14ac:dyDescent="0.15">
      <c r="A319" t="s">
        <v>72</v>
      </c>
      <c r="B319" t="s">
        <v>6681</v>
      </c>
      <c r="C319" t="s">
        <v>74</v>
      </c>
      <c r="D319" t="s">
        <v>74</v>
      </c>
      <c r="E319" t="s">
        <v>74</v>
      </c>
      <c r="F319" t="s">
        <v>6682</v>
      </c>
      <c r="G319" t="s">
        <v>74</v>
      </c>
      <c r="H319" t="s">
        <v>74</v>
      </c>
      <c r="I319" t="s">
        <v>6683</v>
      </c>
      <c r="J319" t="s">
        <v>889</v>
      </c>
      <c r="K319" t="s">
        <v>74</v>
      </c>
      <c r="L319" t="s">
        <v>74</v>
      </c>
      <c r="M319" t="s">
        <v>78</v>
      </c>
      <c r="N319" t="s">
        <v>79</v>
      </c>
      <c r="O319" t="s">
        <v>74</v>
      </c>
      <c r="P319" t="s">
        <v>74</v>
      </c>
      <c r="Q319" t="s">
        <v>74</v>
      </c>
      <c r="R319" t="s">
        <v>74</v>
      </c>
      <c r="S319" t="s">
        <v>74</v>
      </c>
      <c r="T319" t="s">
        <v>6684</v>
      </c>
      <c r="U319" t="s">
        <v>6685</v>
      </c>
      <c r="V319" t="s">
        <v>6686</v>
      </c>
      <c r="W319" t="s">
        <v>6687</v>
      </c>
      <c r="X319" t="s">
        <v>6688</v>
      </c>
      <c r="Y319" t="s">
        <v>6689</v>
      </c>
      <c r="Z319" t="s">
        <v>6690</v>
      </c>
      <c r="AA319" t="s">
        <v>6691</v>
      </c>
      <c r="AB319" t="s">
        <v>6692</v>
      </c>
      <c r="AC319" t="s">
        <v>6693</v>
      </c>
      <c r="AD319" t="s">
        <v>6694</v>
      </c>
      <c r="AE319" t="s">
        <v>6695</v>
      </c>
      <c r="AF319" t="s">
        <v>74</v>
      </c>
      <c r="AG319">
        <v>170</v>
      </c>
      <c r="AH319">
        <v>1</v>
      </c>
      <c r="AI319">
        <v>1</v>
      </c>
      <c r="AJ319">
        <v>2</v>
      </c>
      <c r="AK319">
        <v>14</v>
      </c>
      <c r="AL319" t="s">
        <v>754</v>
      </c>
      <c r="AM319" t="s">
        <v>755</v>
      </c>
      <c r="AN319" t="s">
        <v>756</v>
      </c>
      <c r="AO319" t="s">
        <v>74</v>
      </c>
      <c r="AP319" t="s">
        <v>899</v>
      </c>
      <c r="AQ319" t="s">
        <v>74</v>
      </c>
      <c r="AR319" t="s">
        <v>900</v>
      </c>
      <c r="AS319" t="s">
        <v>901</v>
      </c>
      <c r="AT319" t="s">
        <v>3605</v>
      </c>
      <c r="AU319">
        <v>2022</v>
      </c>
      <c r="AV319">
        <v>20</v>
      </c>
      <c r="AW319">
        <v>9</v>
      </c>
      <c r="AX319" t="s">
        <v>74</v>
      </c>
      <c r="AY319" t="s">
        <v>74</v>
      </c>
      <c r="AZ319" t="s">
        <v>74</v>
      </c>
      <c r="BA319" t="s">
        <v>74</v>
      </c>
      <c r="BB319" t="s">
        <v>74</v>
      </c>
      <c r="BC319" t="s">
        <v>74</v>
      </c>
      <c r="BD319">
        <v>543</v>
      </c>
      <c r="BE319" t="s">
        <v>6696</v>
      </c>
      <c r="BF319" t="str">
        <f>HYPERLINK("http://dx.doi.org/10.3390/md20090543","http://dx.doi.org/10.3390/md20090543")</f>
        <v>http://dx.doi.org/10.3390/md20090543</v>
      </c>
      <c r="BG319" t="s">
        <v>74</v>
      </c>
      <c r="BH319" t="s">
        <v>74</v>
      </c>
      <c r="BI319">
        <v>20</v>
      </c>
      <c r="BJ319" t="s">
        <v>903</v>
      </c>
      <c r="BK319" t="s">
        <v>100</v>
      </c>
      <c r="BL319" t="s">
        <v>904</v>
      </c>
      <c r="BM319" t="s">
        <v>6697</v>
      </c>
      <c r="BN319">
        <v>36135732</v>
      </c>
      <c r="BO319" t="s">
        <v>132</v>
      </c>
      <c r="BP319" t="s">
        <v>74</v>
      </c>
      <c r="BQ319" t="s">
        <v>74</v>
      </c>
      <c r="BR319" t="s">
        <v>103</v>
      </c>
      <c r="BS319" t="s">
        <v>6698</v>
      </c>
      <c r="BT319" t="str">
        <f>HYPERLINK("https%3A%2F%2Fwww.webofscience.com%2Fwos%2Fwoscc%2Ffull-record%2FWOS:000857742100001","View Full Record in Web of Science")</f>
        <v>View Full Record in Web of Science</v>
      </c>
    </row>
    <row r="320" spans="1:72" x14ac:dyDescent="0.15">
      <c r="A320" t="s">
        <v>72</v>
      </c>
      <c r="B320" t="s">
        <v>6699</v>
      </c>
      <c r="C320" t="s">
        <v>74</v>
      </c>
      <c r="D320" t="s">
        <v>74</v>
      </c>
      <c r="E320" t="s">
        <v>74</v>
      </c>
      <c r="F320" t="s">
        <v>6700</v>
      </c>
      <c r="G320" t="s">
        <v>74</v>
      </c>
      <c r="H320" t="s">
        <v>74</v>
      </c>
      <c r="I320" t="s">
        <v>6701</v>
      </c>
      <c r="J320" t="s">
        <v>889</v>
      </c>
      <c r="K320" t="s">
        <v>74</v>
      </c>
      <c r="L320" t="s">
        <v>74</v>
      </c>
      <c r="M320" t="s">
        <v>78</v>
      </c>
      <c r="N320" t="s">
        <v>79</v>
      </c>
      <c r="O320" t="s">
        <v>74</v>
      </c>
      <c r="P320" t="s">
        <v>74</v>
      </c>
      <c r="Q320" t="s">
        <v>74</v>
      </c>
      <c r="R320" t="s">
        <v>74</v>
      </c>
      <c r="S320" t="s">
        <v>74</v>
      </c>
      <c r="T320" t="s">
        <v>6702</v>
      </c>
      <c r="U320" t="s">
        <v>6703</v>
      </c>
      <c r="V320" t="s">
        <v>6704</v>
      </c>
      <c r="W320" t="s">
        <v>6705</v>
      </c>
      <c r="X320" t="s">
        <v>6706</v>
      </c>
      <c r="Y320" t="s">
        <v>6707</v>
      </c>
      <c r="Z320" t="s">
        <v>6708</v>
      </c>
      <c r="AA320" t="s">
        <v>74</v>
      </c>
      <c r="AB320" t="s">
        <v>6709</v>
      </c>
      <c r="AC320" t="s">
        <v>6710</v>
      </c>
      <c r="AD320" t="s">
        <v>6711</v>
      </c>
      <c r="AE320" t="s">
        <v>6712</v>
      </c>
      <c r="AF320" t="s">
        <v>74</v>
      </c>
      <c r="AG320">
        <v>44</v>
      </c>
      <c r="AH320">
        <v>11</v>
      </c>
      <c r="AI320">
        <v>12</v>
      </c>
      <c r="AJ320">
        <v>1</v>
      </c>
      <c r="AK320">
        <v>7</v>
      </c>
      <c r="AL320" t="s">
        <v>754</v>
      </c>
      <c r="AM320" t="s">
        <v>755</v>
      </c>
      <c r="AN320" t="s">
        <v>756</v>
      </c>
      <c r="AO320" t="s">
        <v>74</v>
      </c>
      <c r="AP320" t="s">
        <v>899</v>
      </c>
      <c r="AQ320" t="s">
        <v>74</v>
      </c>
      <c r="AR320" t="s">
        <v>900</v>
      </c>
      <c r="AS320" t="s">
        <v>901</v>
      </c>
      <c r="AT320" t="s">
        <v>3605</v>
      </c>
      <c r="AU320">
        <v>2022</v>
      </c>
      <c r="AV320">
        <v>20</v>
      </c>
      <c r="AW320">
        <v>9</v>
      </c>
      <c r="AX320" t="s">
        <v>74</v>
      </c>
      <c r="AY320" t="s">
        <v>74</v>
      </c>
      <c r="AZ320" t="s">
        <v>74</v>
      </c>
      <c r="BA320" t="s">
        <v>74</v>
      </c>
      <c r="BB320" t="s">
        <v>74</v>
      </c>
      <c r="BC320" t="s">
        <v>74</v>
      </c>
      <c r="BD320">
        <v>558</v>
      </c>
      <c r="BE320" t="s">
        <v>6713</v>
      </c>
      <c r="BF320" t="str">
        <f>HYPERLINK("http://dx.doi.org/10.3390/md20090558","http://dx.doi.org/10.3390/md20090558")</f>
        <v>http://dx.doi.org/10.3390/md20090558</v>
      </c>
      <c r="BG320" t="s">
        <v>74</v>
      </c>
      <c r="BH320" t="s">
        <v>74</v>
      </c>
      <c r="BI320">
        <v>13</v>
      </c>
      <c r="BJ320" t="s">
        <v>903</v>
      </c>
      <c r="BK320" t="s">
        <v>100</v>
      </c>
      <c r="BL320" t="s">
        <v>904</v>
      </c>
      <c r="BM320" t="s">
        <v>6714</v>
      </c>
      <c r="BN320">
        <v>36135747</v>
      </c>
      <c r="BO320" t="s">
        <v>159</v>
      </c>
      <c r="BP320" t="s">
        <v>74</v>
      </c>
      <c r="BQ320" t="s">
        <v>74</v>
      </c>
      <c r="BR320" t="s">
        <v>103</v>
      </c>
      <c r="BS320" t="s">
        <v>6715</v>
      </c>
      <c r="BT320" t="str">
        <f>HYPERLINK("https%3A%2F%2Fwww.webofscience.com%2Fwos%2Fwoscc%2Ffull-record%2FWOS:000857079200001","View Full Record in Web of Science")</f>
        <v>View Full Record in Web of Science</v>
      </c>
    </row>
    <row r="321" spans="1:72" x14ac:dyDescent="0.15">
      <c r="A321" t="s">
        <v>72</v>
      </c>
      <c r="B321" t="s">
        <v>6716</v>
      </c>
      <c r="C321" t="s">
        <v>74</v>
      </c>
      <c r="D321" t="s">
        <v>74</v>
      </c>
      <c r="E321" t="s">
        <v>74</v>
      </c>
      <c r="F321" t="s">
        <v>6717</v>
      </c>
      <c r="G321" t="s">
        <v>74</v>
      </c>
      <c r="H321" t="s">
        <v>74</v>
      </c>
      <c r="I321" t="s">
        <v>6718</v>
      </c>
      <c r="J321" t="s">
        <v>889</v>
      </c>
      <c r="K321" t="s">
        <v>74</v>
      </c>
      <c r="L321" t="s">
        <v>74</v>
      </c>
      <c r="M321" t="s">
        <v>78</v>
      </c>
      <c r="N321" t="s">
        <v>79</v>
      </c>
      <c r="O321" t="s">
        <v>74</v>
      </c>
      <c r="P321" t="s">
        <v>74</v>
      </c>
      <c r="Q321" t="s">
        <v>74</v>
      </c>
      <c r="R321" t="s">
        <v>74</v>
      </c>
      <c r="S321" t="s">
        <v>74</v>
      </c>
      <c r="T321" t="s">
        <v>6719</v>
      </c>
      <c r="U321" t="s">
        <v>6720</v>
      </c>
      <c r="V321" t="s">
        <v>6721</v>
      </c>
      <c r="W321" t="s">
        <v>6722</v>
      </c>
      <c r="X321" t="s">
        <v>6723</v>
      </c>
      <c r="Y321" t="s">
        <v>6724</v>
      </c>
      <c r="Z321" t="s">
        <v>6725</v>
      </c>
      <c r="AA321" t="s">
        <v>6726</v>
      </c>
      <c r="AB321" t="s">
        <v>6727</v>
      </c>
      <c r="AC321" t="s">
        <v>6728</v>
      </c>
      <c r="AD321" t="s">
        <v>6729</v>
      </c>
      <c r="AE321" t="s">
        <v>6730</v>
      </c>
      <c r="AF321" t="s">
        <v>74</v>
      </c>
      <c r="AG321">
        <v>49</v>
      </c>
      <c r="AH321">
        <v>7</v>
      </c>
      <c r="AI321">
        <v>7</v>
      </c>
      <c r="AJ321">
        <v>1</v>
      </c>
      <c r="AK321">
        <v>7</v>
      </c>
      <c r="AL321" t="s">
        <v>754</v>
      </c>
      <c r="AM321" t="s">
        <v>755</v>
      </c>
      <c r="AN321" t="s">
        <v>756</v>
      </c>
      <c r="AO321" t="s">
        <v>74</v>
      </c>
      <c r="AP321" t="s">
        <v>899</v>
      </c>
      <c r="AQ321" t="s">
        <v>74</v>
      </c>
      <c r="AR321" t="s">
        <v>900</v>
      </c>
      <c r="AS321" t="s">
        <v>901</v>
      </c>
      <c r="AT321" t="s">
        <v>3605</v>
      </c>
      <c r="AU321">
        <v>2022</v>
      </c>
      <c r="AV321">
        <v>20</v>
      </c>
      <c r="AW321">
        <v>9</v>
      </c>
      <c r="AX321" t="s">
        <v>74</v>
      </c>
      <c r="AY321" t="s">
        <v>74</v>
      </c>
      <c r="AZ321" t="s">
        <v>74</v>
      </c>
      <c r="BA321" t="s">
        <v>74</v>
      </c>
      <c r="BB321" t="s">
        <v>74</v>
      </c>
      <c r="BC321" t="s">
        <v>74</v>
      </c>
      <c r="BD321">
        <v>562</v>
      </c>
      <c r="BE321" t="s">
        <v>6731</v>
      </c>
      <c r="BF321" t="str">
        <f>HYPERLINK("http://dx.doi.org/10.3390/md20090562","http://dx.doi.org/10.3390/md20090562")</f>
        <v>http://dx.doi.org/10.3390/md20090562</v>
      </c>
      <c r="BG321" t="s">
        <v>74</v>
      </c>
      <c r="BH321" t="s">
        <v>74</v>
      </c>
      <c r="BI321">
        <v>16</v>
      </c>
      <c r="BJ321" t="s">
        <v>903</v>
      </c>
      <c r="BK321" t="s">
        <v>100</v>
      </c>
      <c r="BL321" t="s">
        <v>904</v>
      </c>
      <c r="BM321" t="s">
        <v>6732</v>
      </c>
      <c r="BN321">
        <v>36135751</v>
      </c>
      <c r="BO321" t="s">
        <v>132</v>
      </c>
      <c r="BP321" t="s">
        <v>74</v>
      </c>
      <c r="BQ321" t="s">
        <v>74</v>
      </c>
      <c r="BR321" t="s">
        <v>103</v>
      </c>
      <c r="BS321" t="s">
        <v>6733</v>
      </c>
      <c r="BT321" t="str">
        <f>HYPERLINK("https%3A%2F%2Fwww.webofscience.com%2Fwos%2Fwoscc%2Ffull-record%2FWOS:000856713200001","View Full Record in Web of Science")</f>
        <v>View Full Record in Web of Science</v>
      </c>
    </row>
    <row r="322" spans="1:72" x14ac:dyDescent="0.15">
      <c r="A322" t="s">
        <v>72</v>
      </c>
      <c r="B322" t="s">
        <v>6734</v>
      </c>
      <c r="C322" t="s">
        <v>74</v>
      </c>
      <c r="D322" t="s">
        <v>74</v>
      </c>
      <c r="E322" t="s">
        <v>74</v>
      </c>
      <c r="F322" t="s">
        <v>6735</v>
      </c>
      <c r="G322" t="s">
        <v>74</v>
      </c>
      <c r="H322" t="s">
        <v>74</v>
      </c>
      <c r="I322" t="s">
        <v>6736</v>
      </c>
      <c r="J322" t="s">
        <v>889</v>
      </c>
      <c r="K322" t="s">
        <v>74</v>
      </c>
      <c r="L322" t="s">
        <v>74</v>
      </c>
      <c r="M322" t="s">
        <v>78</v>
      </c>
      <c r="N322" t="s">
        <v>79</v>
      </c>
      <c r="O322" t="s">
        <v>74</v>
      </c>
      <c r="P322" t="s">
        <v>74</v>
      </c>
      <c r="Q322" t="s">
        <v>74</v>
      </c>
      <c r="R322" t="s">
        <v>74</v>
      </c>
      <c r="S322" t="s">
        <v>74</v>
      </c>
      <c r="T322" t="s">
        <v>6737</v>
      </c>
      <c r="U322" t="s">
        <v>6738</v>
      </c>
      <c r="V322" t="s">
        <v>6739</v>
      </c>
      <c r="W322" t="s">
        <v>6740</v>
      </c>
      <c r="X322" t="s">
        <v>6741</v>
      </c>
      <c r="Y322" t="s">
        <v>6742</v>
      </c>
      <c r="Z322" t="s">
        <v>2168</v>
      </c>
      <c r="AA322" t="s">
        <v>6743</v>
      </c>
      <c r="AB322" t="s">
        <v>6744</v>
      </c>
      <c r="AC322" t="s">
        <v>6745</v>
      </c>
      <c r="AD322" t="s">
        <v>6746</v>
      </c>
      <c r="AE322" t="s">
        <v>6747</v>
      </c>
      <c r="AF322" t="s">
        <v>74</v>
      </c>
      <c r="AG322">
        <v>28</v>
      </c>
      <c r="AH322">
        <v>2</v>
      </c>
      <c r="AI322">
        <v>2</v>
      </c>
      <c r="AJ322">
        <v>0</v>
      </c>
      <c r="AK322">
        <v>4</v>
      </c>
      <c r="AL322" t="s">
        <v>754</v>
      </c>
      <c r="AM322" t="s">
        <v>755</v>
      </c>
      <c r="AN322" t="s">
        <v>756</v>
      </c>
      <c r="AO322" t="s">
        <v>74</v>
      </c>
      <c r="AP322" t="s">
        <v>899</v>
      </c>
      <c r="AQ322" t="s">
        <v>74</v>
      </c>
      <c r="AR322" t="s">
        <v>900</v>
      </c>
      <c r="AS322" t="s">
        <v>901</v>
      </c>
      <c r="AT322" t="s">
        <v>3605</v>
      </c>
      <c r="AU322">
        <v>2022</v>
      </c>
      <c r="AV322">
        <v>20</v>
      </c>
      <c r="AW322">
        <v>9</v>
      </c>
      <c r="AX322" t="s">
        <v>74</v>
      </c>
      <c r="AY322" t="s">
        <v>74</v>
      </c>
      <c r="AZ322" t="s">
        <v>74</v>
      </c>
      <c r="BA322" t="s">
        <v>74</v>
      </c>
      <c r="BB322" t="s">
        <v>74</v>
      </c>
      <c r="BC322" t="s">
        <v>74</v>
      </c>
      <c r="BD322">
        <v>576</v>
      </c>
      <c r="BE322" t="s">
        <v>6748</v>
      </c>
      <c r="BF322" t="str">
        <f>HYPERLINK("http://dx.doi.org/10.3390/md20090576","http://dx.doi.org/10.3390/md20090576")</f>
        <v>http://dx.doi.org/10.3390/md20090576</v>
      </c>
      <c r="BG322" t="s">
        <v>74</v>
      </c>
      <c r="BH322" t="s">
        <v>74</v>
      </c>
      <c r="BI322">
        <v>12</v>
      </c>
      <c r="BJ322" t="s">
        <v>903</v>
      </c>
      <c r="BK322" t="s">
        <v>100</v>
      </c>
      <c r="BL322" t="s">
        <v>904</v>
      </c>
      <c r="BM322" t="s">
        <v>6749</v>
      </c>
      <c r="BN322">
        <v>36135765</v>
      </c>
      <c r="BO322" t="s">
        <v>159</v>
      </c>
      <c r="BP322" t="s">
        <v>74</v>
      </c>
      <c r="BQ322" t="s">
        <v>74</v>
      </c>
      <c r="BR322" t="s">
        <v>103</v>
      </c>
      <c r="BS322" t="s">
        <v>6750</v>
      </c>
      <c r="BT322" t="str">
        <f>HYPERLINK("https%3A%2F%2Fwww.webofscience.com%2Fwos%2Fwoscc%2Ffull-record%2FWOS:000856783100001","View Full Record in Web of Science")</f>
        <v>View Full Record in Web of Science</v>
      </c>
    </row>
    <row r="323" spans="1:72" x14ac:dyDescent="0.15">
      <c r="A323" t="s">
        <v>72</v>
      </c>
      <c r="B323" t="s">
        <v>6751</v>
      </c>
      <c r="C323" t="s">
        <v>74</v>
      </c>
      <c r="D323" t="s">
        <v>74</v>
      </c>
      <c r="E323" t="s">
        <v>74</v>
      </c>
      <c r="F323" t="s">
        <v>6752</v>
      </c>
      <c r="G323" t="s">
        <v>74</v>
      </c>
      <c r="H323" t="s">
        <v>74</v>
      </c>
      <c r="I323" t="s">
        <v>6753</v>
      </c>
      <c r="J323" t="s">
        <v>1226</v>
      </c>
      <c r="K323" t="s">
        <v>74</v>
      </c>
      <c r="L323" t="s">
        <v>74</v>
      </c>
      <c r="M323" t="s">
        <v>78</v>
      </c>
      <c r="N323" t="s">
        <v>79</v>
      </c>
      <c r="O323" t="s">
        <v>74</v>
      </c>
      <c r="P323" t="s">
        <v>74</v>
      </c>
      <c r="Q323" t="s">
        <v>74</v>
      </c>
      <c r="R323" t="s">
        <v>74</v>
      </c>
      <c r="S323" t="s">
        <v>74</v>
      </c>
      <c r="T323" t="s">
        <v>6754</v>
      </c>
      <c r="U323" t="s">
        <v>6755</v>
      </c>
      <c r="V323" t="s">
        <v>6756</v>
      </c>
      <c r="W323" t="s">
        <v>6757</v>
      </c>
      <c r="X323" t="s">
        <v>6758</v>
      </c>
      <c r="Y323" t="s">
        <v>6759</v>
      </c>
      <c r="Z323" t="s">
        <v>6760</v>
      </c>
      <c r="AA323" t="s">
        <v>6761</v>
      </c>
      <c r="AB323" t="s">
        <v>6762</v>
      </c>
      <c r="AC323" t="s">
        <v>6763</v>
      </c>
      <c r="AD323" t="s">
        <v>6764</v>
      </c>
      <c r="AE323" t="s">
        <v>6765</v>
      </c>
      <c r="AF323" t="s">
        <v>74</v>
      </c>
      <c r="AG323">
        <v>49</v>
      </c>
      <c r="AH323">
        <v>2</v>
      </c>
      <c r="AI323">
        <v>2</v>
      </c>
      <c r="AJ323">
        <v>1</v>
      </c>
      <c r="AK323">
        <v>15</v>
      </c>
      <c r="AL323" t="s">
        <v>754</v>
      </c>
      <c r="AM323" t="s">
        <v>755</v>
      </c>
      <c r="AN323" t="s">
        <v>756</v>
      </c>
      <c r="AO323" t="s">
        <v>74</v>
      </c>
      <c r="AP323" t="s">
        <v>1238</v>
      </c>
      <c r="AQ323" t="s">
        <v>74</v>
      </c>
      <c r="AR323" t="s">
        <v>1239</v>
      </c>
      <c r="AS323" t="s">
        <v>1240</v>
      </c>
      <c r="AT323" t="s">
        <v>3605</v>
      </c>
      <c r="AU323">
        <v>2022</v>
      </c>
      <c r="AV323">
        <v>14</v>
      </c>
      <c r="AW323">
        <v>18</v>
      </c>
      <c r="AX323" t="s">
        <v>74</v>
      </c>
      <c r="AY323" t="s">
        <v>74</v>
      </c>
      <c r="AZ323" t="s">
        <v>74</v>
      </c>
      <c r="BA323" t="s">
        <v>74</v>
      </c>
      <c r="BB323" t="s">
        <v>74</v>
      </c>
      <c r="BC323" t="s">
        <v>74</v>
      </c>
      <c r="BD323">
        <v>4507</v>
      </c>
      <c r="BE323" t="s">
        <v>6766</v>
      </c>
      <c r="BF323" t="str">
        <f>HYPERLINK("http://dx.doi.org/10.3390/rs14184507","http://dx.doi.org/10.3390/rs14184507")</f>
        <v>http://dx.doi.org/10.3390/rs14184507</v>
      </c>
      <c r="BG323" t="s">
        <v>74</v>
      </c>
      <c r="BH323" t="s">
        <v>74</v>
      </c>
      <c r="BI323">
        <v>14</v>
      </c>
      <c r="BJ323" t="s">
        <v>1242</v>
      </c>
      <c r="BK323" t="s">
        <v>100</v>
      </c>
      <c r="BL323" t="s">
        <v>1243</v>
      </c>
      <c r="BM323" t="s">
        <v>6767</v>
      </c>
      <c r="BN323" t="s">
        <v>74</v>
      </c>
      <c r="BO323" t="s">
        <v>266</v>
      </c>
      <c r="BP323" t="s">
        <v>74</v>
      </c>
      <c r="BQ323" t="s">
        <v>74</v>
      </c>
      <c r="BR323" t="s">
        <v>103</v>
      </c>
      <c r="BS323" t="s">
        <v>6768</v>
      </c>
      <c r="BT323" t="str">
        <f>HYPERLINK("https%3A%2F%2Fwww.webofscience.com%2Fwos%2Fwoscc%2Ffull-record%2FWOS:000856879100001","View Full Record in Web of Science")</f>
        <v>View Full Record in Web of Science</v>
      </c>
    </row>
    <row r="324" spans="1:72" x14ac:dyDescent="0.15">
      <c r="A324" t="s">
        <v>72</v>
      </c>
      <c r="B324" t="s">
        <v>6769</v>
      </c>
      <c r="C324" t="s">
        <v>74</v>
      </c>
      <c r="D324" t="s">
        <v>74</v>
      </c>
      <c r="E324" t="s">
        <v>74</v>
      </c>
      <c r="F324" t="s">
        <v>6770</v>
      </c>
      <c r="G324" t="s">
        <v>74</v>
      </c>
      <c r="H324" t="s">
        <v>74</v>
      </c>
      <c r="I324" t="s">
        <v>6771</v>
      </c>
      <c r="J324" t="s">
        <v>247</v>
      </c>
      <c r="K324" t="s">
        <v>74</v>
      </c>
      <c r="L324" t="s">
        <v>74</v>
      </c>
      <c r="M324" t="s">
        <v>78</v>
      </c>
      <c r="N324" t="s">
        <v>79</v>
      </c>
      <c r="O324" t="s">
        <v>74</v>
      </c>
      <c r="P324" t="s">
        <v>74</v>
      </c>
      <c r="Q324" t="s">
        <v>74</v>
      </c>
      <c r="R324" t="s">
        <v>74</v>
      </c>
      <c r="S324" t="s">
        <v>74</v>
      </c>
      <c r="T324" t="s">
        <v>6772</v>
      </c>
      <c r="U324" t="s">
        <v>6773</v>
      </c>
      <c r="V324" t="s">
        <v>6774</v>
      </c>
      <c r="W324" t="s">
        <v>6775</v>
      </c>
      <c r="X324" t="s">
        <v>6776</v>
      </c>
      <c r="Y324" t="s">
        <v>6777</v>
      </c>
      <c r="Z324" t="s">
        <v>6778</v>
      </c>
      <c r="AA324" t="s">
        <v>6779</v>
      </c>
      <c r="AB324" t="s">
        <v>6780</v>
      </c>
      <c r="AC324" t="s">
        <v>6781</v>
      </c>
      <c r="AD324" t="s">
        <v>6782</v>
      </c>
      <c r="AE324" t="s">
        <v>6783</v>
      </c>
      <c r="AF324" t="s">
        <v>74</v>
      </c>
      <c r="AG324">
        <v>130</v>
      </c>
      <c r="AH324">
        <v>1</v>
      </c>
      <c r="AI324">
        <v>1</v>
      </c>
      <c r="AJ324">
        <v>2</v>
      </c>
      <c r="AK324">
        <v>16</v>
      </c>
      <c r="AL324" t="s">
        <v>121</v>
      </c>
      <c r="AM324" t="s">
        <v>122</v>
      </c>
      <c r="AN324" t="s">
        <v>123</v>
      </c>
      <c r="AO324" t="s">
        <v>74</v>
      </c>
      <c r="AP324" t="s">
        <v>258</v>
      </c>
      <c r="AQ324" t="s">
        <v>74</v>
      </c>
      <c r="AR324" t="s">
        <v>259</v>
      </c>
      <c r="AS324" t="s">
        <v>260</v>
      </c>
      <c r="AT324" t="s">
        <v>5933</v>
      </c>
      <c r="AU324">
        <v>2022</v>
      </c>
      <c r="AV324">
        <v>9</v>
      </c>
      <c r="AW324" t="s">
        <v>74</v>
      </c>
      <c r="AX324" t="s">
        <v>74</v>
      </c>
      <c r="AY324" t="s">
        <v>74</v>
      </c>
      <c r="AZ324" t="s">
        <v>74</v>
      </c>
      <c r="BA324" t="s">
        <v>74</v>
      </c>
      <c r="BB324" t="s">
        <v>74</v>
      </c>
      <c r="BC324" t="s">
        <v>74</v>
      </c>
      <c r="BD324">
        <v>954059</v>
      </c>
      <c r="BE324" t="s">
        <v>6784</v>
      </c>
      <c r="BF324" t="str">
        <f>HYPERLINK("http://dx.doi.org/10.3389/fmars.2022.954059","http://dx.doi.org/10.3389/fmars.2022.954059")</f>
        <v>http://dx.doi.org/10.3389/fmars.2022.954059</v>
      </c>
      <c r="BG324" t="s">
        <v>74</v>
      </c>
      <c r="BH324" t="s">
        <v>74</v>
      </c>
      <c r="BI324">
        <v>19</v>
      </c>
      <c r="BJ324" t="s">
        <v>263</v>
      </c>
      <c r="BK324" t="s">
        <v>100</v>
      </c>
      <c r="BL324" t="s">
        <v>264</v>
      </c>
      <c r="BM324" t="s">
        <v>6785</v>
      </c>
      <c r="BN324" t="s">
        <v>74</v>
      </c>
      <c r="BO324" t="s">
        <v>266</v>
      </c>
      <c r="BP324" t="s">
        <v>74</v>
      </c>
      <c r="BQ324" t="s">
        <v>74</v>
      </c>
      <c r="BR324" t="s">
        <v>103</v>
      </c>
      <c r="BS324" t="s">
        <v>6786</v>
      </c>
      <c r="BT324" t="str">
        <f>HYPERLINK("https%3A%2F%2Fwww.webofscience.com%2Fwos%2Fwoscc%2Ffull-record%2FWOS:000855691000001","View Full Record in Web of Science")</f>
        <v>View Full Record in Web of Science</v>
      </c>
    </row>
    <row r="325" spans="1:72" x14ac:dyDescent="0.15">
      <c r="A325" t="s">
        <v>72</v>
      </c>
      <c r="B325" t="s">
        <v>6787</v>
      </c>
      <c r="C325" t="s">
        <v>74</v>
      </c>
      <c r="D325" t="s">
        <v>74</v>
      </c>
      <c r="E325" t="s">
        <v>74</v>
      </c>
      <c r="F325" t="s">
        <v>6788</v>
      </c>
      <c r="G325" t="s">
        <v>74</v>
      </c>
      <c r="H325" t="s">
        <v>74</v>
      </c>
      <c r="I325" t="s">
        <v>6789</v>
      </c>
      <c r="J325" t="s">
        <v>1385</v>
      </c>
      <c r="K325" t="s">
        <v>74</v>
      </c>
      <c r="L325" t="s">
        <v>74</v>
      </c>
      <c r="M325" t="s">
        <v>78</v>
      </c>
      <c r="N325" t="s">
        <v>79</v>
      </c>
      <c r="O325" t="s">
        <v>74</v>
      </c>
      <c r="P325" t="s">
        <v>74</v>
      </c>
      <c r="Q325" t="s">
        <v>74</v>
      </c>
      <c r="R325" t="s">
        <v>74</v>
      </c>
      <c r="S325" t="s">
        <v>74</v>
      </c>
      <c r="T325" t="s">
        <v>74</v>
      </c>
      <c r="U325" t="s">
        <v>6790</v>
      </c>
      <c r="V325" t="s">
        <v>6791</v>
      </c>
      <c r="W325" t="s">
        <v>6792</v>
      </c>
      <c r="X325" t="s">
        <v>6793</v>
      </c>
      <c r="Y325" t="s">
        <v>6794</v>
      </c>
      <c r="Z325" t="s">
        <v>6795</v>
      </c>
      <c r="AA325" t="s">
        <v>6796</v>
      </c>
      <c r="AB325" t="s">
        <v>6797</v>
      </c>
      <c r="AC325" t="s">
        <v>6798</v>
      </c>
      <c r="AD325" t="s">
        <v>6799</v>
      </c>
      <c r="AE325" t="s">
        <v>6800</v>
      </c>
      <c r="AF325" t="s">
        <v>74</v>
      </c>
      <c r="AG325">
        <v>49</v>
      </c>
      <c r="AH325">
        <v>1</v>
      </c>
      <c r="AI325">
        <v>1</v>
      </c>
      <c r="AJ325">
        <v>0</v>
      </c>
      <c r="AK325">
        <v>5</v>
      </c>
      <c r="AL325" t="s">
        <v>946</v>
      </c>
      <c r="AM325" t="s">
        <v>207</v>
      </c>
      <c r="AN325" t="s">
        <v>947</v>
      </c>
      <c r="AO325" t="s">
        <v>1398</v>
      </c>
      <c r="AP325" t="s">
        <v>1399</v>
      </c>
      <c r="AQ325" t="s">
        <v>74</v>
      </c>
      <c r="AR325" t="s">
        <v>1400</v>
      </c>
      <c r="AS325" t="s">
        <v>1401</v>
      </c>
      <c r="AT325" t="s">
        <v>3605</v>
      </c>
      <c r="AU325">
        <v>2022</v>
      </c>
      <c r="AV325">
        <v>127</v>
      </c>
      <c r="AW325">
        <v>9</v>
      </c>
      <c r="AX325" t="s">
        <v>74</v>
      </c>
      <c r="AY325" t="s">
        <v>74</v>
      </c>
      <c r="AZ325" t="s">
        <v>74</v>
      </c>
      <c r="BA325" t="s">
        <v>74</v>
      </c>
      <c r="BB325" t="s">
        <v>74</v>
      </c>
      <c r="BC325" t="s">
        <v>74</v>
      </c>
      <c r="BD325" t="s">
        <v>6801</v>
      </c>
      <c r="BE325" t="s">
        <v>6802</v>
      </c>
      <c r="BF325" t="str">
        <f>HYPERLINK("http://dx.doi.org/10.1029/2022JC018702","http://dx.doi.org/10.1029/2022JC018702")</f>
        <v>http://dx.doi.org/10.1029/2022JC018702</v>
      </c>
      <c r="BG325" t="s">
        <v>74</v>
      </c>
      <c r="BH325" t="s">
        <v>74</v>
      </c>
      <c r="BI325">
        <v>15</v>
      </c>
      <c r="BJ325" t="s">
        <v>674</v>
      </c>
      <c r="BK325" t="s">
        <v>100</v>
      </c>
      <c r="BL325" t="s">
        <v>674</v>
      </c>
      <c r="BM325" t="s">
        <v>6803</v>
      </c>
      <c r="BN325" t="s">
        <v>74</v>
      </c>
      <c r="BO325" t="s">
        <v>74</v>
      </c>
      <c r="BP325" t="s">
        <v>74</v>
      </c>
      <c r="BQ325" t="s">
        <v>74</v>
      </c>
      <c r="BR325" t="s">
        <v>103</v>
      </c>
      <c r="BS325" t="s">
        <v>6804</v>
      </c>
      <c r="BT325" t="str">
        <f>HYPERLINK("https%3A%2F%2Fwww.webofscience.com%2Fwos%2Fwoscc%2Ffull-record%2FWOS:000856035100001","View Full Record in Web of Science")</f>
        <v>View Full Record in Web of Science</v>
      </c>
    </row>
    <row r="326" spans="1:72" x14ac:dyDescent="0.15">
      <c r="A326" t="s">
        <v>72</v>
      </c>
      <c r="B326" t="s">
        <v>6805</v>
      </c>
      <c r="C326" t="s">
        <v>74</v>
      </c>
      <c r="D326" t="s">
        <v>74</v>
      </c>
      <c r="E326" t="s">
        <v>74</v>
      </c>
      <c r="F326" t="s">
        <v>6806</v>
      </c>
      <c r="G326" t="s">
        <v>74</v>
      </c>
      <c r="H326" t="s">
        <v>74</v>
      </c>
      <c r="I326" t="s">
        <v>6807</v>
      </c>
      <c r="J326" t="s">
        <v>6808</v>
      </c>
      <c r="K326" t="s">
        <v>74</v>
      </c>
      <c r="L326" t="s">
        <v>74</v>
      </c>
      <c r="M326" t="s">
        <v>78</v>
      </c>
      <c r="N326" t="s">
        <v>2873</v>
      </c>
      <c r="O326" t="s">
        <v>74</v>
      </c>
      <c r="P326" t="s">
        <v>74</v>
      </c>
      <c r="Q326" t="s">
        <v>74</v>
      </c>
      <c r="R326" t="s">
        <v>74</v>
      </c>
      <c r="S326" t="s">
        <v>74</v>
      </c>
      <c r="T326" t="s">
        <v>74</v>
      </c>
      <c r="U326" t="s">
        <v>74</v>
      </c>
      <c r="V326" t="s">
        <v>74</v>
      </c>
      <c r="W326" t="s">
        <v>74</v>
      </c>
      <c r="X326" t="s">
        <v>74</v>
      </c>
      <c r="Y326" t="s">
        <v>74</v>
      </c>
      <c r="Z326" t="s">
        <v>74</v>
      </c>
      <c r="AA326" t="s">
        <v>6809</v>
      </c>
      <c r="AB326" t="s">
        <v>6810</v>
      </c>
      <c r="AC326" t="s">
        <v>74</v>
      </c>
      <c r="AD326" t="s">
        <v>74</v>
      </c>
      <c r="AE326" t="s">
        <v>74</v>
      </c>
      <c r="AF326" t="s">
        <v>74</v>
      </c>
      <c r="AG326">
        <v>1</v>
      </c>
      <c r="AH326">
        <v>0</v>
      </c>
      <c r="AI326">
        <v>0</v>
      </c>
      <c r="AJ326">
        <v>1</v>
      </c>
      <c r="AK326">
        <v>3</v>
      </c>
      <c r="AL326" t="s">
        <v>231</v>
      </c>
      <c r="AM326" t="s">
        <v>232</v>
      </c>
      <c r="AN326" t="s">
        <v>233</v>
      </c>
      <c r="AO326" t="s">
        <v>6811</v>
      </c>
      <c r="AP326" t="s">
        <v>6812</v>
      </c>
      <c r="AQ326" t="s">
        <v>74</v>
      </c>
      <c r="AR326" t="s">
        <v>6813</v>
      </c>
      <c r="AS326" t="s">
        <v>6814</v>
      </c>
      <c r="AT326" t="s">
        <v>3605</v>
      </c>
      <c r="AU326">
        <v>2022</v>
      </c>
      <c r="AV326">
        <v>24</v>
      </c>
      <c r="AW326">
        <v>9</v>
      </c>
      <c r="AX326" t="s">
        <v>74</v>
      </c>
      <c r="AY326" t="s">
        <v>74</v>
      </c>
      <c r="AZ326" t="s">
        <v>74</v>
      </c>
      <c r="BA326" t="s">
        <v>74</v>
      </c>
      <c r="BB326">
        <v>4491</v>
      </c>
      <c r="BC326">
        <v>4491</v>
      </c>
      <c r="BD326" t="s">
        <v>74</v>
      </c>
      <c r="BE326" t="s">
        <v>6815</v>
      </c>
      <c r="BF326" t="str">
        <f>HYPERLINK("http://dx.doi.org/10.1111/1462-2920.16191","http://dx.doi.org/10.1111/1462-2920.16191")</f>
        <v>http://dx.doi.org/10.1111/1462-2920.16191</v>
      </c>
      <c r="BG326" t="s">
        <v>74</v>
      </c>
      <c r="BH326" t="s">
        <v>74</v>
      </c>
      <c r="BI326">
        <v>1</v>
      </c>
      <c r="BJ326" t="s">
        <v>214</v>
      </c>
      <c r="BK326" t="s">
        <v>100</v>
      </c>
      <c r="BL326" t="s">
        <v>214</v>
      </c>
      <c r="BM326" t="s">
        <v>6816</v>
      </c>
      <c r="BN326">
        <v>36123758</v>
      </c>
      <c r="BO326" t="s">
        <v>404</v>
      </c>
      <c r="BP326" t="s">
        <v>74</v>
      </c>
      <c r="BQ326" t="s">
        <v>74</v>
      </c>
      <c r="BR326" t="s">
        <v>103</v>
      </c>
      <c r="BS326" t="s">
        <v>6817</v>
      </c>
      <c r="BT326" t="str">
        <f>HYPERLINK("https%3A%2F%2Fwww.webofscience.com%2Fwos%2Fwoscc%2Ffull-record%2FWOS:000855653800046","View Full Record in Web of Science")</f>
        <v>View Full Record in Web of Science</v>
      </c>
    </row>
    <row r="327" spans="1:72" x14ac:dyDescent="0.15">
      <c r="A327" t="s">
        <v>72</v>
      </c>
      <c r="B327" t="s">
        <v>6818</v>
      </c>
      <c r="C327" t="s">
        <v>74</v>
      </c>
      <c r="D327" t="s">
        <v>74</v>
      </c>
      <c r="E327" t="s">
        <v>74</v>
      </c>
      <c r="F327" t="s">
        <v>6819</v>
      </c>
      <c r="G327" t="s">
        <v>74</v>
      </c>
      <c r="H327" t="s">
        <v>74</v>
      </c>
      <c r="I327" t="s">
        <v>6820</v>
      </c>
      <c r="J327" t="s">
        <v>1361</v>
      </c>
      <c r="K327" t="s">
        <v>74</v>
      </c>
      <c r="L327" t="s">
        <v>74</v>
      </c>
      <c r="M327" t="s">
        <v>78</v>
      </c>
      <c r="N327" t="s">
        <v>79</v>
      </c>
      <c r="O327" t="s">
        <v>74</v>
      </c>
      <c r="P327" t="s">
        <v>74</v>
      </c>
      <c r="Q327" t="s">
        <v>74</v>
      </c>
      <c r="R327" t="s">
        <v>74</v>
      </c>
      <c r="S327" t="s">
        <v>74</v>
      </c>
      <c r="T327" t="s">
        <v>6821</v>
      </c>
      <c r="U327" t="s">
        <v>6822</v>
      </c>
      <c r="V327" t="s">
        <v>6823</v>
      </c>
      <c r="W327" t="s">
        <v>6824</v>
      </c>
      <c r="X327" t="s">
        <v>6825</v>
      </c>
      <c r="Y327" t="s">
        <v>6826</v>
      </c>
      <c r="Z327" t="s">
        <v>6827</v>
      </c>
      <c r="AA327" t="s">
        <v>6828</v>
      </c>
      <c r="AB327" t="s">
        <v>6829</v>
      </c>
      <c r="AC327" t="s">
        <v>6830</v>
      </c>
      <c r="AD327" t="s">
        <v>6831</v>
      </c>
      <c r="AE327" t="s">
        <v>6832</v>
      </c>
      <c r="AF327" t="s">
        <v>74</v>
      </c>
      <c r="AG327">
        <v>162</v>
      </c>
      <c r="AH327">
        <v>0</v>
      </c>
      <c r="AI327">
        <v>0</v>
      </c>
      <c r="AJ327">
        <v>3</v>
      </c>
      <c r="AK327">
        <v>13</v>
      </c>
      <c r="AL327" t="s">
        <v>946</v>
      </c>
      <c r="AM327" t="s">
        <v>207</v>
      </c>
      <c r="AN327" t="s">
        <v>947</v>
      </c>
      <c r="AO327" t="s">
        <v>74</v>
      </c>
      <c r="AP327" t="s">
        <v>1374</v>
      </c>
      <c r="AQ327" t="s">
        <v>74</v>
      </c>
      <c r="AR327" t="s">
        <v>1375</v>
      </c>
      <c r="AS327" t="s">
        <v>1376</v>
      </c>
      <c r="AT327" t="s">
        <v>3605</v>
      </c>
      <c r="AU327">
        <v>2022</v>
      </c>
      <c r="AV327">
        <v>23</v>
      </c>
      <c r="AW327">
        <v>9</v>
      </c>
      <c r="AX327" t="s">
        <v>74</v>
      </c>
      <c r="AY327" t="s">
        <v>74</v>
      </c>
      <c r="AZ327" t="s">
        <v>74</v>
      </c>
      <c r="BA327" t="s">
        <v>74</v>
      </c>
      <c r="BB327" t="s">
        <v>74</v>
      </c>
      <c r="BC327" t="s">
        <v>74</v>
      </c>
      <c r="BD327" t="s">
        <v>6833</v>
      </c>
      <c r="BE327" t="s">
        <v>6834</v>
      </c>
      <c r="BF327" t="str">
        <f>HYPERLINK("http://dx.doi.org/10.1029/2022GC010470","http://dx.doi.org/10.1029/2022GC010470")</f>
        <v>http://dx.doi.org/10.1029/2022GC010470</v>
      </c>
      <c r="BG327" t="s">
        <v>74</v>
      </c>
      <c r="BH327" t="s">
        <v>74</v>
      </c>
      <c r="BI327">
        <v>27</v>
      </c>
      <c r="BJ327" t="s">
        <v>1379</v>
      </c>
      <c r="BK327" t="s">
        <v>100</v>
      </c>
      <c r="BL327" t="s">
        <v>1379</v>
      </c>
      <c r="BM327" t="s">
        <v>6835</v>
      </c>
      <c r="BN327" t="s">
        <v>74</v>
      </c>
      <c r="BO327" t="s">
        <v>2512</v>
      </c>
      <c r="BP327" t="s">
        <v>74</v>
      </c>
      <c r="BQ327" t="s">
        <v>74</v>
      </c>
      <c r="BR327" t="s">
        <v>103</v>
      </c>
      <c r="BS327" t="s">
        <v>6836</v>
      </c>
      <c r="BT327" t="str">
        <f>HYPERLINK("https%3A%2F%2Fwww.webofscience.com%2Fwos%2Fwoscc%2Ffull-record%2FWOS:000855245400001","View Full Record in Web of Science")</f>
        <v>View Full Record in Web of Science</v>
      </c>
    </row>
    <row r="328" spans="1:72" x14ac:dyDescent="0.15">
      <c r="A328" t="s">
        <v>72</v>
      </c>
      <c r="B328" t="s">
        <v>6837</v>
      </c>
      <c r="C328" t="s">
        <v>74</v>
      </c>
      <c r="D328" t="s">
        <v>74</v>
      </c>
      <c r="E328" t="s">
        <v>74</v>
      </c>
      <c r="F328" t="s">
        <v>6838</v>
      </c>
      <c r="G328" t="s">
        <v>74</v>
      </c>
      <c r="H328" t="s">
        <v>74</v>
      </c>
      <c r="I328" t="s">
        <v>6839</v>
      </c>
      <c r="J328" t="s">
        <v>6840</v>
      </c>
      <c r="K328" t="s">
        <v>74</v>
      </c>
      <c r="L328" t="s">
        <v>74</v>
      </c>
      <c r="M328" t="s">
        <v>78</v>
      </c>
      <c r="N328" t="s">
        <v>79</v>
      </c>
      <c r="O328" t="s">
        <v>74</v>
      </c>
      <c r="P328" t="s">
        <v>74</v>
      </c>
      <c r="Q328" t="s">
        <v>74</v>
      </c>
      <c r="R328" t="s">
        <v>74</v>
      </c>
      <c r="S328" t="s">
        <v>74</v>
      </c>
      <c r="T328" t="s">
        <v>6841</v>
      </c>
      <c r="U328" t="s">
        <v>6842</v>
      </c>
      <c r="V328" t="s">
        <v>6843</v>
      </c>
      <c r="W328" t="s">
        <v>6844</v>
      </c>
      <c r="X328" t="s">
        <v>6845</v>
      </c>
      <c r="Y328" t="s">
        <v>6846</v>
      </c>
      <c r="Z328" t="s">
        <v>6847</v>
      </c>
      <c r="AA328" t="s">
        <v>6848</v>
      </c>
      <c r="AB328" t="s">
        <v>6849</v>
      </c>
      <c r="AC328" t="s">
        <v>6850</v>
      </c>
      <c r="AD328" t="s">
        <v>6851</v>
      </c>
      <c r="AE328" t="s">
        <v>6852</v>
      </c>
      <c r="AF328" t="s">
        <v>74</v>
      </c>
      <c r="AG328">
        <v>44</v>
      </c>
      <c r="AH328">
        <v>9</v>
      </c>
      <c r="AI328">
        <v>9</v>
      </c>
      <c r="AJ328">
        <v>1</v>
      </c>
      <c r="AK328">
        <v>7</v>
      </c>
      <c r="AL328" t="s">
        <v>1626</v>
      </c>
      <c r="AM328" t="s">
        <v>1627</v>
      </c>
      <c r="AN328" t="s">
        <v>1628</v>
      </c>
      <c r="AO328" t="s">
        <v>6853</v>
      </c>
      <c r="AP328" t="s">
        <v>74</v>
      </c>
      <c r="AQ328" t="s">
        <v>74</v>
      </c>
      <c r="AR328" t="s">
        <v>6854</v>
      </c>
      <c r="AS328" t="s">
        <v>6855</v>
      </c>
      <c r="AT328" t="s">
        <v>5933</v>
      </c>
      <c r="AU328">
        <v>2022</v>
      </c>
      <c r="AV328">
        <v>17</v>
      </c>
      <c r="AW328">
        <v>9</v>
      </c>
      <c r="AX328" t="s">
        <v>74</v>
      </c>
      <c r="AY328" t="s">
        <v>74</v>
      </c>
      <c r="AZ328" t="s">
        <v>74</v>
      </c>
      <c r="BA328" t="s">
        <v>74</v>
      </c>
      <c r="BB328" t="s">
        <v>74</v>
      </c>
      <c r="BC328" t="s">
        <v>74</v>
      </c>
      <c r="BD328">
        <v>95012</v>
      </c>
      <c r="BE328" t="s">
        <v>6856</v>
      </c>
      <c r="BF328" t="str">
        <f>HYPERLINK("http://dx.doi.org/10.1088/1748-9326/ac8e1c","http://dx.doi.org/10.1088/1748-9326/ac8e1c")</f>
        <v>http://dx.doi.org/10.1088/1748-9326/ac8e1c</v>
      </c>
      <c r="BG328" t="s">
        <v>74</v>
      </c>
      <c r="BH328" t="s">
        <v>74</v>
      </c>
      <c r="BI328">
        <v>13</v>
      </c>
      <c r="BJ328" t="s">
        <v>1129</v>
      </c>
      <c r="BK328" t="s">
        <v>100</v>
      </c>
      <c r="BL328" t="s">
        <v>1130</v>
      </c>
      <c r="BM328" t="s">
        <v>6857</v>
      </c>
      <c r="BN328" t="s">
        <v>74</v>
      </c>
      <c r="BO328" t="s">
        <v>266</v>
      </c>
      <c r="BP328" t="s">
        <v>74</v>
      </c>
      <c r="BQ328" t="s">
        <v>74</v>
      </c>
      <c r="BR328" t="s">
        <v>103</v>
      </c>
      <c r="BS328" t="s">
        <v>6858</v>
      </c>
      <c r="BT328" t="str">
        <f>HYPERLINK("https%3A%2F%2Fwww.webofscience.com%2Fwos%2Fwoscc%2Ffull-record%2FWOS:000854450900001","View Full Record in Web of Science")</f>
        <v>View Full Record in Web of Science</v>
      </c>
    </row>
    <row r="329" spans="1:72" x14ac:dyDescent="0.15">
      <c r="A329" t="s">
        <v>72</v>
      </c>
      <c r="B329" t="s">
        <v>6859</v>
      </c>
      <c r="C329" t="s">
        <v>74</v>
      </c>
      <c r="D329" t="s">
        <v>74</v>
      </c>
      <c r="E329" t="s">
        <v>74</v>
      </c>
      <c r="F329" t="s">
        <v>6860</v>
      </c>
      <c r="G329" t="s">
        <v>74</v>
      </c>
      <c r="H329" t="s">
        <v>74</v>
      </c>
      <c r="I329" t="s">
        <v>6861</v>
      </c>
      <c r="J329" t="s">
        <v>6840</v>
      </c>
      <c r="K329" t="s">
        <v>74</v>
      </c>
      <c r="L329" t="s">
        <v>74</v>
      </c>
      <c r="M329" t="s">
        <v>78</v>
      </c>
      <c r="N329" t="s">
        <v>79</v>
      </c>
      <c r="O329" t="s">
        <v>74</v>
      </c>
      <c r="P329" t="s">
        <v>74</v>
      </c>
      <c r="Q329" t="s">
        <v>74</v>
      </c>
      <c r="R329" t="s">
        <v>74</v>
      </c>
      <c r="S329" t="s">
        <v>74</v>
      </c>
      <c r="T329" t="s">
        <v>6862</v>
      </c>
      <c r="U329" t="s">
        <v>6863</v>
      </c>
      <c r="V329" t="s">
        <v>6864</v>
      </c>
      <c r="W329" t="s">
        <v>6865</v>
      </c>
      <c r="X329" t="s">
        <v>6866</v>
      </c>
      <c r="Y329" t="s">
        <v>6867</v>
      </c>
      <c r="Z329" t="s">
        <v>6868</v>
      </c>
      <c r="AA329" t="s">
        <v>6869</v>
      </c>
      <c r="AB329" t="s">
        <v>6870</v>
      </c>
      <c r="AC329" t="s">
        <v>6871</v>
      </c>
      <c r="AD329" t="s">
        <v>6872</v>
      </c>
      <c r="AE329" t="s">
        <v>6873</v>
      </c>
      <c r="AF329" t="s">
        <v>74</v>
      </c>
      <c r="AG329">
        <v>50</v>
      </c>
      <c r="AH329">
        <v>7</v>
      </c>
      <c r="AI329">
        <v>8</v>
      </c>
      <c r="AJ329">
        <v>4</v>
      </c>
      <c r="AK329">
        <v>25</v>
      </c>
      <c r="AL329" t="s">
        <v>1626</v>
      </c>
      <c r="AM329" t="s">
        <v>1627</v>
      </c>
      <c r="AN329" t="s">
        <v>1628</v>
      </c>
      <c r="AO329" t="s">
        <v>6853</v>
      </c>
      <c r="AP329" t="s">
        <v>74</v>
      </c>
      <c r="AQ329" t="s">
        <v>74</v>
      </c>
      <c r="AR329" t="s">
        <v>6854</v>
      </c>
      <c r="AS329" t="s">
        <v>6855</v>
      </c>
      <c r="AT329" t="s">
        <v>5933</v>
      </c>
      <c r="AU329">
        <v>2022</v>
      </c>
      <c r="AV329">
        <v>17</v>
      </c>
      <c r="AW329">
        <v>9</v>
      </c>
      <c r="AX329" t="s">
        <v>74</v>
      </c>
      <c r="AY329" t="s">
        <v>74</v>
      </c>
      <c r="AZ329" t="s">
        <v>74</v>
      </c>
      <c r="BA329" t="s">
        <v>74</v>
      </c>
      <c r="BB329" t="s">
        <v>74</v>
      </c>
      <c r="BC329" t="s">
        <v>74</v>
      </c>
      <c r="BD329">
        <v>94046</v>
      </c>
      <c r="BE329" t="s">
        <v>6874</v>
      </c>
      <c r="BF329" t="str">
        <f>HYPERLINK("http://dx.doi.org/10.1088/1748-9326/ac8f5b","http://dx.doi.org/10.1088/1748-9326/ac8f5b")</f>
        <v>http://dx.doi.org/10.1088/1748-9326/ac8f5b</v>
      </c>
      <c r="BG329" t="s">
        <v>74</v>
      </c>
      <c r="BH329" t="s">
        <v>74</v>
      </c>
      <c r="BI329">
        <v>10</v>
      </c>
      <c r="BJ329" t="s">
        <v>1129</v>
      </c>
      <c r="BK329" t="s">
        <v>100</v>
      </c>
      <c r="BL329" t="s">
        <v>1130</v>
      </c>
      <c r="BM329" t="s">
        <v>6875</v>
      </c>
      <c r="BN329" t="s">
        <v>74</v>
      </c>
      <c r="BO329" t="s">
        <v>266</v>
      </c>
      <c r="BP329" t="s">
        <v>74</v>
      </c>
      <c r="BQ329" t="s">
        <v>74</v>
      </c>
      <c r="BR329" t="s">
        <v>103</v>
      </c>
      <c r="BS329" t="s">
        <v>6876</v>
      </c>
      <c r="BT329" t="str">
        <f>HYPERLINK("https%3A%2F%2Fwww.webofscience.com%2Fwos%2Fwoscc%2Ffull-record%2FWOS:000853753700001","View Full Record in Web of Science")</f>
        <v>View Full Record in Web of Science</v>
      </c>
    </row>
    <row r="330" spans="1:72" x14ac:dyDescent="0.15">
      <c r="A330" t="s">
        <v>72</v>
      </c>
      <c r="B330" t="s">
        <v>6877</v>
      </c>
      <c r="C330" t="s">
        <v>74</v>
      </c>
      <c r="D330" t="s">
        <v>74</v>
      </c>
      <c r="E330" t="s">
        <v>74</v>
      </c>
      <c r="F330" t="s">
        <v>6878</v>
      </c>
      <c r="G330" t="s">
        <v>74</v>
      </c>
      <c r="H330" t="s">
        <v>74</v>
      </c>
      <c r="I330" t="s">
        <v>6879</v>
      </c>
      <c r="J330" t="s">
        <v>6880</v>
      </c>
      <c r="K330" t="s">
        <v>74</v>
      </c>
      <c r="L330" t="s">
        <v>74</v>
      </c>
      <c r="M330" t="s">
        <v>78</v>
      </c>
      <c r="N330" t="s">
        <v>79</v>
      </c>
      <c r="O330" t="s">
        <v>74</v>
      </c>
      <c r="P330" t="s">
        <v>74</v>
      </c>
      <c r="Q330" t="s">
        <v>74</v>
      </c>
      <c r="R330" t="s">
        <v>74</v>
      </c>
      <c r="S330" t="s">
        <v>74</v>
      </c>
      <c r="T330" t="s">
        <v>74</v>
      </c>
      <c r="U330" t="s">
        <v>6881</v>
      </c>
      <c r="V330" t="s">
        <v>6882</v>
      </c>
      <c r="W330" t="s">
        <v>6883</v>
      </c>
      <c r="X330" t="s">
        <v>6884</v>
      </c>
      <c r="Y330" t="s">
        <v>6885</v>
      </c>
      <c r="Z330" t="s">
        <v>6886</v>
      </c>
      <c r="AA330" t="s">
        <v>6887</v>
      </c>
      <c r="AB330" t="s">
        <v>6888</v>
      </c>
      <c r="AC330" t="s">
        <v>6889</v>
      </c>
      <c r="AD330" t="s">
        <v>6890</v>
      </c>
      <c r="AE330" t="s">
        <v>6891</v>
      </c>
      <c r="AF330" t="s">
        <v>74</v>
      </c>
      <c r="AG330">
        <v>60</v>
      </c>
      <c r="AH330">
        <v>1</v>
      </c>
      <c r="AI330">
        <v>1</v>
      </c>
      <c r="AJ330">
        <v>4</v>
      </c>
      <c r="AK330">
        <v>21</v>
      </c>
      <c r="AL330" t="s">
        <v>946</v>
      </c>
      <c r="AM330" t="s">
        <v>207</v>
      </c>
      <c r="AN330" t="s">
        <v>947</v>
      </c>
      <c r="AO330" t="s">
        <v>6892</v>
      </c>
      <c r="AP330" t="s">
        <v>6893</v>
      </c>
      <c r="AQ330" t="s">
        <v>74</v>
      </c>
      <c r="AR330" t="s">
        <v>6894</v>
      </c>
      <c r="AS330" t="s">
        <v>6895</v>
      </c>
      <c r="AT330" t="s">
        <v>3605</v>
      </c>
      <c r="AU330">
        <v>2022</v>
      </c>
      <c r="AV330">
        <v>127</v>
      </c>
      <c r="AW330">
        <v>9</v>
      </c>
      <c r="AX330" t="s">
        <v>74</v>
      </c>
      <c r="AY330" t="s">
        <v>74</v>
      </c>
      <c r="AZ330" t="s">
        <v>74</v>
      </c>
      <c r="BA330" t="s">
        <v>74</v>
      </c>
      <c r="BB330" t="s">
        <v>74</v>
      </c>
      <c r="BC330" t="s">
        <v>74</v>
      </c>
      <c r="BD330" t="s">
        <v>6896</v>
      </c>
      <c r="BE330" t="s">
        <v>6897</v>
      </c>
      <c r="BF330" t="str">
        <f>HYPERLINK("http://dx.doi.org/10.1029/2021JB023297","http://dx.doi.org/10.1029/2021JB023297")</f>
        <v>http://dx.doi.org/10.1029/2021JB023297</v>
      </c>
      <c r="BG330" t="s">
        <v>74</v>
      </c>
      <c r="BH330" t="s">
        <v>74</v>
      </c>
      <c r="BI330">
        <v>17</v>
      </c>
      <c r="BJ330" t="s">
        <v>1379</v>
      </c>
      <c r="BK330" t="s">
        <v>100</v>
      </c>
      <c r="BL330" t="s">
        <v>1379</v>
      </c>
      <c r="BM330" t="s">
        <v>6898</v>
      </c>
      <c r="BN330" t="s">
        <v>74</v>
      </c>
      <c r="BO330" t="s">
        <v>831</v>
      </c>
      <c r="BP330" t="s">
        <v>74</v>
      </c>
      <c r="BQ330" t="s">
        <v>74</v>
      </c>
      <c r="BR330" t="s">
        <v>103</v>
      </c>
      <c r="BS330" t="s">
        <v>6899</v>
      </c>
      <c r="BT330" t="str">
        <f>HYPERLINK("https%3A%2F%2Fwww.webofscience.com%2Fwos%2Fwoscc%2Ffull-record%2FWOS:000853879200001","View Full Record in Web of Science")</f>
        <v>View Full Record in Web of Science</v>
      </c>
    </row>
    <row r="331" spans="1:72" x14ac:dyDescent="0.15">
      <c r="A331" t="s">
        <v>72</v>
      </c>
      <c r="B331" t="s">
        <v>6900</v>
      </c>
      <c r="C331" t="s">
        <v>74</v>
      </c>
      <c r="D331" t="s">
        <v>74</v>
      </c>
      <c r="E331" t="s">
        <v>74</v>
      </c>
      <c r="F331" t="s">
        <v>6901</v>
      </c>
      <c r="G331" t="s">
        <v>74</v>
      </c>
      <c r="H331" t="s">
        <v>74</v>
      </c>
      <c r="I331" t="s">
        <v>6902</v>
      </c>
      <c r="J331" t="s">
        <v>6903</v>
      </c>
      <c r="K331" t="s">
        <v>74</v>
      </c>
      <c r="L331" t="s">
        <v>74</v>
      </c>
      <c r="M331" t="s">
        <v>78</v>
      </c>
      <c r="N331" t="s">
        <v>79</v>
      </c>
      <c r="O331" t="s">
        <v>74</v>
      </c>
      <c r="P331" t="s">
        <v>74</v>
      </c>
      <c r="Q331" t="s">
        <v>74</v>
      </c>
      <c r="R331" t="s">
        <v>74</v>
      </c>
      <c r="S331" t="s">
        <v>74</v>
      </c>
      <c r="T331" t="s">
        <v>6904</v>
      </c>
      <c r="U331" t="s">
        <v>6905</v>
      </c>
      <c r="V331" t="s">
        <v>6906</v>
      </c>
      <c r="W331" t="s">
        <v>6907</v>
      </c>
      <c r="X331" t="s">
        <v>6908</v>
      </c>
      <c r="Y331" t="s">
        <v>74</v>
      </c>
      <c r="Z331" t="s">
        <v>6909</v>
      </c>
      <c r="AA331" t="s">
        <v>6910</v>
      </c>
      <c r="AB331" t="s">
        <v>6911</v>
      </c>
      <c r="AC331" t="s">
        <v>74</v>
      </c>
      <c r="AD331" t="s">
        <v>74</v>
      </c>
      <c r="AE331" t="s">
        <v>74</v>
      </c>
      <c r="AF331" t="s">
        <v>74</v>
      </c>
      <c r="AG331">
        <v>66</v>
      </c>
      <c r="AH331">
        <v>2</v>
      </c>
      <c r="AI331">
        <v>2</v>
      </c>
      <c r="AJ331">
        <v>1</v>
      </c>
      <c r="AK331">
        <v>13</v>
      </c>
      <c r="AL331" t="s">
        <v>1626</v>
      </c>
      <c r="AM331" t="s">
        <v>1627</v>
      </c>
      <c r="AN331" t="s">
        <v>1628</v>
      </c>
      <c r="AO331" t="s">
        <v>6912</v>
      </c>
      <c r="AP331" t="s">
        <v>74</v>
      </c>
      <c r="AQ331" t="s">
        <v>74</v>
      </c>
      <c r="AR331" t="s">
        <v>6913</v>
      </c>
      <c r="AS331" t="s">
        <v>6914</v>
      </c>
      <c r="AT331" t="s">
        <v>5933</v>
      </c>
      <c r="AU331">
        <v>2022</v>
      </c>
      <c r="AV331">
        <v>4</v>
      </c>
      <c r="AW331">
        <v>9</v>
      </c>
      <c r="AX331" t="s">
        <v>74</v>
      </c>
      <c r="AY331" t="s">
        <v>74</v>
      </c>
      <c r="AZ331" t="s">
        <v>74</v>
      </c>
      <c r="BA331" t="s">
        <v>74</v>
      </c>
      <c r="BB331" t="s">
        <v>74</v>
      </c>
      <c r="BC331" t="s">
        <v>74</v>
      </c>
      <c r="BD331">
        <v>95009</v>
      </c>
      <c r="BE331" t="s">
        <v>6915</v>
      </c>
      <c r="BF331" t="str">
        <f>HYPERLINK("http://dx.doi.org/10.1088/2515-7620/ac8cd3","http://dx.doi.org/10.1088/2515-7620/ac8cd3")</f>
        <v>http://dx.doi.org/10.1088/2515-7620/ac8cd3</v>
      </c>
      <c r="BG331" t="s">
        <v>74</v>
      </c>
      <c r="BH331" t="s">
        <v>74</v>
      </c>
      <c r="BI331">
        <v>15</v>
      </c>
      <c r="BJ331" t="s">
        <v>2040</v>
      </c>
      <c r="BK331" t="s">
        <v>100</v>
      </c>
      <c r="BL331" t="s">
        <v>2041</v>
      </c>
      <c r="BM331" t="s">
        <v>6916</v>
      </c>
      <c r="BN331" t="s">
        <v>74</v>
      </c>
      <c r="BO331" t="s">
        <v>1195</v>
      </c>
      <c r="BP331" t="s">
        <v>74</v>
      </c>
      <c r="BQ331" t="s">
        <v>74</v>
      </c>
      <c r="BR331" t="s">
        <v>103</v>
      </c>
      <c r="BS331" t="s">
        <v>6917</v>
      </c>
      <c r="BT331" t="str">
        <f>HYPERLINK("https%3A%2F%2Fwww.webofscience.com%2Fwos%2Fwoscc%2Ffull-record%2FWOS:000853986100001","View Full Record in Web of Science")</f>
        <v>View Full Record in Web of Science</v>
      </c>
    </row>
    <row r="332" spans="1:72" x14ac:dyDescent="0.15">
      <c r="A332" t="s">
        <v>72</v>
      </c>
      <c r="B332" t="s">
        <v>6918</v>
      </c>
      <c r="C332" t="s">
        <v>74</v>
      </c>
      <c r="D332" t="s">
        <v>74</v>
      </c>
      <c r="E332" t="s">
        <v>74</v>
      </c>
      <c r="F332" t="s">
        <v>6919</v>
      </c>
      <c r="G332" t="s">
        <v>74</v>
      </c>
      <c r="H332" t="s">
        <v>74</v>
      </c>
      <c r="I332" t="s">
        <v>6920</v>
      </c>
      <c r="J332" t="s">
        <v>1385</v>
      </c>
      <c r="K332" t="s">
        <v>74</v>
      </c>
      <c r="L332" t="s">
        <v>74</v>
      </c>
      <c r="M332" t="s">
        <v>78</v>
      </c>
      <c r="N332" t="s">
        <v>79</v>
      </c>
      <c r="O332" t="s">
        <v>74</v>
      </c>
      <c r="P332" t="s">
        <v>74</v>
      </c>
      <c r="Q332" t="s">
        <v>74</v>
      </c>
      <c r="R332" t="s">
        <v>74</v>
      </c>
      <c r="S332" t="s">
        <v>74</v>
      </c>
      <c r="T332" t="s">
        <v>6921</v>
      </c>
      <c r="U332" t="s">
        <v>6922</v>
      </c>
      <c r="V332" t="s">
        <v>6923</v>
      </c>
      <c r="W332" t="s">
        <v>6924</v>
      </c>
      <c r="X332" t="s">
        <v>6925</v>
      </c>
      <c r="Y332" t="s">
        <v>6926</v>
      </c>
      <c r="Z332" t="s">
        <v>6927</v>
      </c>
      <c r="AA332" t="s">
        <v>6928</v>
      </c>
      <c r="AB332" t="s">
        <v>6929</v>
      </c>
      <c r="AC332" t="s">
        <v>6930</v>
      </c>
      <c r="AD332" t="s">
        <v>6931</v>
      </c>
      <c r="AE332" t="s">
        <v>6932</v>
      </c>
      <c r="AF332" t="s">
        <v>74</v>
      </c>
      <c r="AG332">
        <v>56</v>
      </c>
      <c r="AH332">
        <v>12</v>
      </c>
      <c r="AI332">
        <v>12</v>
      </c>
      <c r="AJ332">
        <v>0</v>
      </c>
      <c r="AK332">
        <v>8</v>
      </c>
      <c r="AL332" t="s">
        <v>946</v>
      </c>
      <c r="AM332" t="s">
        <v>207</v>
      </c>
      <c r="AN332" t="s">
        <v>947</v>
      </c>
      <c r="AO332" t="s">
        <v>1398</v>
      </c>
      <c r="AP332" t="s">
        <v>1399</v>
      </c>
      <c r="AQ332" t="s">
        <v>74</v>
      </c>
      <c r="AR332" t="s">
        <v>1400</v>
      </c>
      <c r="AS332" t="s">
        <v>1401</v>
      </c>
      <c r="AT332" t="s">
        <v>3605</v>
      </c>
      <c r="AU332">
        <v>2022</v>
      </c>
      <c r="AV332">
        <v>127</v>
      </c>
      <c r="AW332">
        <v>9</v>
      </c>
      <c r="AX332" t="s">
        <v>74</v>
      </c>
      <c r="AY332" t="s">
        <v>74</v>
      </c>
      <c r="AZ332" t="s">
        <v>74</v>
      </c>
      <c r="BA332" t="s">
        <v>74</v>
      </c>
      <c r="BB332" t="s">
        <v>74</v>
      </c>
      <c r="BC332" t="s">
        <v>74</v>
      </c>
      <c r="BD332" t="s">
        <v>6933</v>
      </c>
      <c r="BE332" t="s">
        <v>6934</v>
      </c>
      <c r="BF332" t="str">
        <f>HYPERLINK("http://dx.doi.org/10.1029/2022JC018621","http://dx.doi.org/10.1029/2022JC018621")</f>
        <v>http://dx.doi.org/10.1029/2022JC018621</v>
      </c>
      <c r="BG332" t="s">
        <v>74</v>
      </c>
      <c r="BH332" t="s">
        <v>74</v>
      </c>
      <c r="BI332">
        <v>27</v>
      </c>
      <c r="BJ332" t="s">
        <v>674</v>
      </c>
      <c r="BK332" t="s">
        <v>100</v>
      </c>
      <c r="BL332" t="s">
        <v>674</v>
      </c>
      <c r="BM332" t="s">
        <v>6935</v>
      </c>
      <c r="BN332" t="s">
        <v>74</v>
      </c>
      <c r="BO332" t="s">
        <v>4217</v>
      </c>
      <c r="BP332" t="s">
        <v>74</v>
      </c>
      <c r="BQ332" t="s">
        <v>74</v>
      </c>
      <c r="BR332" t="s">
        <v>103</v>
      </c>
      <c r="BS332" t="s">
        <v>6936</v>
      </c>
      <c r="BT332" t="str">
        <f>HYPERLINK("https%3A%2F%2Fwww.webofscience.com%2Fwos%2Fwoscc%2Ffull-record%2FWOS:000854118600001","View Full Record in Web of Science")</f>
        <v>View Full Record in Web of Science</v>
      </c>
    </row>
    <row r="333" spans="1:72" x14ac:dyDescent="0.15">
      <c r="A333" t="s">
        <v>72</v>
      </c>
      <c r="B333" t="s">
        <v>6937</v>
      </c>
      <c r="C333" t="s">
        <v>74</v>
      </c>
      <c r="D333" t="s">
        <v>74</v>
      </c>
      <c r="E333" t="s">
        <v>74</v>
      </c>
      <c r="F333" t="s">
        <v>6938</v>
      </c>
      <c r="G333" t="s">
        <v>74</v>
      </c>
      <c r="H333" t="s">
        <v>74</v>
      </c>
      <c r="I333" t="s">
        <v>6939</v>
      </c>
      <c r="J333" t="s">
        <v>1385</v>
      </c>
      <c r="K333" t="s">
        <v>74</v>
      </c>
      <c r="L333" t="s">
        <v>74</v>
      </c>
      <c r="M333" t="s">
        <v>78</v>
      </c>
      <c r="N333" t="s">
        <v>79</v>
      </c>
      <c r="O333" t="s">
        <v>74</v>
      </c>
      <c r="P333" t="s">
        <v>74</v>
      </c>
      <c r="Q333" t="s">
        <v>74</v>
      </c>
      <c r="R333" t="s">
        <v>74</v>
      </c>
      <c r="S333" t="s">
        <v>74</v>
      </c>
      <c r="T333" t="s">
        <v>6940</v>
      </c>
      <c r="U333" t="s">
        <v>6941</v>
      </c>
      <c r="V333" t="s">
        <v>6942</v>
      </c>
      <c r="W333" t="s">
        <v>6943</v>
      </c>
      <c r="X333" t="s">
        <v>6944</v>
      </c>
      <c r="Y333" t="s">
        <v>6945</v>
      </c>
      <c r="Z333" t="s">
        <v>6946</v>
      </c>
      <c r="AA333" t="s">
        <v>6947</v>
      </c>
      <c r="AB333" t="s">
        <v>6948</v>
      </c>
      <c r="AC333" t="s">
        <v>6949</v>
      </c>
      <c r="AD333" t="s">
        <v>6950</v>
      </c>
      <c r="AE333" t="s">
        <v>6951</v>
      </c>
      <c r="AF333" t="s">
        <v>74</v>
      </c>
      <c r="AG333">
        <v>21</v>
      </c>
      <c r="AH333">
        <v>9</v>
      </c>
      <c r="AI333">
        <v>9</v>
      </c>
      <c r="AJ333">
        <v>1</v>
      </c>
      <c r="AK333">
        <v>7</v>
      </c>
      <c r="AL333" t="s">
        <v>946</v>
      </c>
      <c r="AM333" t="s">
        <v>207</v>
      </c>
      <c r="AN333" t="s">
        <v>947</v>
      </c>
      <c r="AO333" t="s">
        <v>1398</v>
      </c>
      <c r="AP333" t="s">
        <v>1399</v>
      </c>
      <c r="AQ333" t="s">
        <v>74</v>
      </c>
      <c r="AR333" t="s">
        <v>1400</v>
      </c>
      <c r="AS333" t="s">
        <v>1401</v>
      </c>
      <c r="AT333" t="s">
        <v>3605</v>
      </c>
      <c r="AU333">
        <v>2022</v>
      </c>
      <c r="AV333">
        <v>127</v>
      </c>
      <c r="AW333">
        <v>9</v>
      </c>
      <c r="AX333" t="s">
        <v>74</v>
      </c>
      <c r="AY333" t="s">
        <v>74</v>
      </c>
      <c r="AZ333" t="s">
        <v>74</v>
      </c>
      <c r="BA333" t="s">
        <v>74</v>
      </c>
      <c r="BB333" t="s">
        <v>74</v>
      </c>
      <c r="BC333" t="s">
        <v>74</v>
      </c>
      <c r="BD333" t="s">
        <v>6952</v>
      </c>
      <c r="BE333" t="s">
        <v>6953</v>
      </c>
      <c r="BF333" t="str">
        <f>HYPERLINK("http://dx.doi.org/10.1029/2022JC018805","http://dx.doi.org/10.1029/2022JC018805")</f>
        <v>http://dx.doi.org/10.1029/2022JC018805</v>
      </c>
      <c r="BG333" t="s">
        <v>74</v>
      </c>
      <c r="BH333" t="s">
        <v>74</v>
      </c>
      <c r="BI333">
        <v>12</v>
      </c>
      <c r="BJ333" t="s">
        <v>674</v>
      </c>
      <c r="BK333" t="s">
        <v>100</v>
      </c>
      <c r="BL333" t="s">
        <v>674</v>
      </c>
      <c r="BM333" t="s">
        <v>6954</v>
      </c>
      <c r="BN333" t="s">
        <v>74</v>
      </c>
      <c r="BO333" t="s">
        <v>4217</v>
      </c>
      <c r="BP333" t="s">
        <v>74</v>
      </c>
      <c r="BQ333" t="s">
        <v>74</v>
      </c>
      <c r="BR333" t="s">
        <v>103</v>
      </c>
      <c r="BS333" t="s">
        <v>6955</v>
      </c>
      <c r="BT333" t="str">
        <f>HYPERLINK("https%3A%2F%2Fwww.webofscience.com%2Fwos%2Fwoscc%2Ffull-record%2FWOS:000853444700001","View Full Record in Web of Science")</f>
        <v>View Full Record in Web of Science</v>
      </c>
    </row>
    <row r="334" spans="1:72" x14ac:dyDescent="0.15">
      <c r="A334" t="s">
        <v>72</v>
      </c>
      <c r="B334" t="s">
        <v>6956</v>
      </c>
      <c r="C334" t="s">
        <v>74</v>
      </c>
      <c r="D334" t="s">
        <v>74</v>
      </c>
      <c r="E334" t="s">
        <v>74</v>
      </c>
      <c r="F334" t="s">
        <v>6957</v>
      </c>
      <c r="G334" t="s">
        <v>74</v>
      </c>
      <c r="H334" t="s">
        <v>74</v>
      </c>
      <c r="I334" t="s">
        <v>6958</v>
      </c>
      <c r="J334" t="s">
        <v>6959</v>
      </c>
      <c r="K334" t="s">
        <v>74</v>
      </c>
      <c r="L334" t="s">
        <v>74</v>
      </c>
      <c r="M334" t="s">
        <v>78</v>
      </c>
      <c r="N334" t="s">
        <v>79</v>
      </c>
      <c r="O334" t="s">
        <v>74</v>
      </c>
      <c r="P334" t="s">
        <v>74</v>
      </c>
      <c r="Q334" t="s">
        <v>74</v>
      </c>
      <c r="R334" t="s">
        <v>74</v>
      </c>
      <c r="S334" t="s">
        <v>74</v>
      </c>
      <c r="T334" t="s">
        <v>74</v>
      </c>
      <c r="U334" t="s">
        <v>6960</v>
      </c>
      <c r="V334" t="s">
        <v>6961</v>
      </c>
      <c r="W334" t="s">
        <v>6962</v>
      </c>
      <c r="X334" t="s">
        <v>6963</v>
      </c>
      <c r="Y334" t="s">
        <v>6964</v>
      </c>
      <c r="Z334" t="s">
        <v>6965</v>
      </c>
      <c r="AA334" t="s">
        <v>6966</v>
      </c>
      <c r="AB334" t="s">
        <v>6967</v>
      </c>
      <c r="AC334" t="s">
        <v>6968</v>
      </c>
      <c r="AD334" t="s">
        <v>6969</v>
      </c>
      <c r="AE334" t="s">
        <v>6970</v>
      </c>
      <c r="AF334" t="s">
        <v>74</v>
      </c>
      <c r="AG334">
        <v>44</v>
      </c>
      <c r="AH334">
        <v>4</v>
      </c>
      <c r="AI334">
        <v>4</v>
      </c>
      <c r="AJ334">
        <v>0</v>
      </c>
      <c r="AK334">
        <v>8</v>
      </c>
      <c r="AL334" t="s">
        <v>2174</v>
      </c>
      <c r="AM334" t="s">
        <v>207</v>
      </c>
      <c r="AN334" t="s">
        <v>2175</v>
      </c>
      <c r="AO334" t="s">
        <v>6971</v>
      </c>
      <c r="AP334" t="s">
        <v>74</v>
      </c>
      <c r="AQ334" t="s">
        <v>74</v>
      </c>
      <c r="AR334" t="s">
        <v>6972</v>
      </c>
      <c r="AS334" t="s">
        <v>6973</v>
      </c>
      <c r="AT334" t="s">
        <v>5933</v>
      </c>
      <c r="AU334">
        <v>2022</v>
      </c>
      <c r="AV334">
        <v>13</v>
      </c>
      <c r="AW334">
        <v>34</v>
      </c>
      <c r="AX334" t="s">
        <v>74</v>
      </c>
      <c r="AY334" t="s">
        <v>74</v>
      </c>
      <c r="AZ334" t="s">
        <v>74</v>
      </c>
      <c r="BA334" t="s">
        <v>74</v>
      </c>
      <c r="BB334">
        <v>8134</v>
      </c>
      <c r="BC334">
        <v>8140</v>
      </c>
      <c r="BD334" t="s">
        <v>74</v>
      </c>
      <c r="BE334" t="s">
        <v>6974</v>
      </c>
      <c r="BF334" t="str">
        <f>HYPERLINK("http://dx.doi.org/10.1021/acs.jpclett.2c01974","http://dx.doi.org/10.1021/acs.jpclett.2c01974")</f>
        <v>http://dx.doi.org/10.1021/acs.jpclett.2c01974</v>
      </c>
      <c r="BG334" t="s">
        <v>74</v>
      </c>
      <c r="BH334" t="s">
        <v>74</v>
      </c>
      <c r="BI334">
        <v>7</v>
      </c>
      <c r="BJ334" t="s">
        <v>6975</v>
      </c>
      <c r="BK334" t="s">
        <v>100</v>
      </c>
      <c r="BL334" t="s">
        <v>6976</v>
      </c>
      <c r="BM334" t="s">
        <v>6977</v>
      </c>
      <c r="BN334">
        <v>36000820</v>
      </c>
      <c r="BO334" t="s">
        <v>2512</v>
      </c>
      <c r="BP334" t="s">
        <v>74</v>
      </c>
      <c r="BQ334" t="s">
        <v>74</v>
      </c>
      <c r="BR334" t="s">
        <v>103</v>
      </c>
      <c r="BS334" t="s">
        <v>6978</v>
      </c>
      <c r="BT334" t="str">
        <f>HYPERLINK("https%3A%2F%2Fwww.webofscience.com%2Fwos%2Fwoscc%2Ffull-record%2FWOS:000850821500001","View Full Record in Web of Science")</f>
        <v>View Full Record in Web of Science</v>
      </c>
    </row>
    <row r="335" spans="1:72" x14ac:dyDescent="0.15">
      <c r="A335" t="s">
        <v>72</v>
      </c>
      <c r="B335" t="s">
        <v>6979</v>
      </c>
      <c r="C335" t="s">
        <v>74</v>
      </c>
      <c r="D335" t="s">
        <v>74</v>
      </c>
      <c r="E335" t="s">
        <v>74</v>
      </c>
      <c r="F335" t="s">
        <v>6979</v>
      </c>
      <c r="G335" t="s">
        <v>74</v>
      </c>
      <c r="H335" t="s">
        <v>74</v>
      </c>
      <c r="I335" t="s">
        <v>6980</v>
      </c>
      <c r="J335" t="s">
        <v>6981</v>
      </c>
      <c r="K335" t="s">
        <v>74</v>
      </c>
      <c r="L335" t="s">
        <v>74</v>
      </c>
      <c r="M335" t="s">
        <v>78</v>
      </c>
      <c r="N335" t="s">
        <v>3981</v>
      </c>
      <c r="O335" t="s">
        <v>74</v>
      </c>
      <c r="P335" t="s">
        <v>74</v>
      </c>
      <c r="Q335" t="s">
        <v>74</v>
      </c>
      <c r="R335" t="s">
        <v>74</v>
      </c>
      <c r="S335" t="s">
        <v>74</v>
      </c>
      <c r="T335" t="s">
        <v>74</v>
      </c>
      <c r="U335" t="s">
        <v>74</v>
      </c>
      <c r="V335" t="s">
        <v>74</v>
      </c>
      <c r="W335" t="s">
        <v>74</v>
      </c>
      <c r="X335" t="s">
        <v>74</v>
      </c>
      <c r="Y335" t="s">
        <v>74</v>
      </c>
      <c r="Z335" t="s">
        <v>74</v>
      </c>
      <c r="AA335" t="s">
        <v>74</v>
      </c>
      <c r="AB335" t="s">
        <v>74</v>
      </c>
      <c r="AC335" t="s">
        <v>74</v>
      </c>
      <c r="AD335" t="s">
        <v>74</v>
      </c>
      <c r="AE335" t="s">
        <v>74</v>
      </c>
      <c r="AF335" t="s">
        <v>74</v>
      </c>
      <c r="AG335">
        <v>0</v>
      </c>
      <c r="AH335">
        <v>0</v>
      </c>
      <c r="AI335">
        <v>0</v>
      </c>
      <c r="AJ335">
        <v>0</v>
      </c>
      <c r="AK335">
        <v>0</v>
      </c>
      <c r="AL335" t="s">
        <v>231</v>
      </c>
      <c r="AM335" t="s">
        <v>232</v>
      </c>
      <c r="AN335" t="s">
        <v>233</v>
      </c>
      <c r="AO335" t="s">
        <v>6982</v>
      </c>
      <c r="AP335" t="s">
        <v>6983</v>
      </c>
      <c r="AQ335" t="s">
        <v>74</v>
      </c>
      <c r="AR335" t="s">
        <v>6981</v>
      </c>
      <c r="AS335" t="s">
        <v>6984</v>
      </c>
      <c r="AT335" t="s">
        <v>3605</v>
      </c>
      <c r="AU335">
        <v>2022</v>
      </c>
      <c r="AV335">
        <v>77</v>
      </c>
      <c r="AW335">
        <v>9</v>
      </c>
      <c r="AX335" t="s">
        <v>74</v>
      </c>
      <c r="AY335" t="s">
        <v>74</v>
      </c>
      <c r="AZ335" t="s">
        <v>74</v>
      </c>
      <c r="BA335" t="s">
        <v>74</v>
      </c>
      <c r="BB335">
        <v>306</v>
      </c>
      <c r="BC335">
        <v>306</v>
      </c>
      <c r="BD335" t="s">
        <v>74</v>
      </c>
      <c r="BE335" t="s">
        <v>74</v>
      </c>
      <c r="BF335" t="s">
        <v>74</v>
      </c>
      <c r="BG335" t="s">
        <v>74</v>
      </c>
      <c r="BH335" t="s">
        <v>74</v>
      </c>
      <c r="BI335">
        <v>1</v>
      </c>
      <c r="BJ335" t="s">
        <v>457</v>
      </c>
      <c r="BK335" t="s">
        <v>100</v>
      </c>
      <c r="BL335" t="s">
        <v>457</v>
      </c>
      <c r="BM335" t="s">
        <v>6985</v>
      </c>
      <c r="BN335" t="s">
        <v>74</v>
      </c>
      <c r="BO335" t="s">
        <v>74</v>
      </c>
      <c r="BP335" t="s">
        <v>74</v>
      </c>
      <c r="BQ335" t="s">
        <v>74</v>
      </c>
      <c r="BR335" t="s">
        <v>103</v>
      </c>
      <c r="BS335" t="s">
        <v>6986</v>
      </c>
      <c r="BT335" t="str">
        <f>HYPERLINK("https%3A%2F%2Fwww.webofscience.com%2Fwos%2Fwoscc%2Ffull-record%2FWOS:000849703700002","View Full Record in Web of Science")</f>
        <v>View Full Record in Web of Science</v>
      </c>
    </row>
    <row r="336" spans="1:72" x14ac:dyDescent="0.15">
      <c r="A336" t="s">
        <v>72</v>
      </c>
      <c r="B336" t="s">
        <v>6987</v>
      </c>
      <c r="C336" t="s">
        <v>74</v>
      </c>
      <c r="D336" t="s">
        <v>74</v>
      </c>
      <c r="E336" t="s">
        <v>74</v>
      </c>
      <c r="F336" t="s">
        <v>6988</v>
      </c>
      <c r="G336" t="s">
        <v>74</v>
      </c>
      <c r="H336" t="s">
        <v>74</v>
      </c>
      <c r="I336" t="s">
        <v>6989</v>
      </c>
      <c r="J336" t="s">
        <v>1590</v>
      </c>
      <c r="K336" t="s">
        <v>74</v>
      </c>
      <c r="L336" t="s">
        <v>74</v>
      </c>
      <c r="M336" t="s">
        <v>78</v>
      </c>
      <c r="N336" t="s">
        <v>79</v>
      </c>
      <c r="O336" t="s">
        <v>74</v>
      </c>
      <c r="P336" t="s">
        <v>74</v>
      </c>
      <c r="Q336" t="s">
        <v>74</v>
      </c>
      <c r="R336" t="s">
        <v>74</v>
      </c>
      <c r="S336" t="s">
        <v>74</v>
      </c>
      <c r="T336" t="s">
        <v>6990</v>
      </c>
      <c r="U336" t="s">
        <v>6991</v>
      </c>
      <c r="V336" t="s">
        <v>6992</v>
      </c>
      <c r="W336" t="s">
        <v>6993</v>
      </c>
      <c r="X336" t="s">
        <v>856</v>
      </c>
      <c r="Y336" t="s">
        <v>6994</v>
      </c>
      <c r="Z336" t="s">
        <v>6995</v>
      </c>
      <c r="AA336" t="s">
        <v>6996</v>
      </c>
      <c r="AB336" t="s">
        <v>6997</v>
      </c>
      <c r="AC336" t="s">
        <v>6998</v>
      </c>
      <c r="AD336" t="s">
        <v>6999</v>
      </c>
      <c r="AE336" t="s">
        <v>7000</v>
      </c>
      <c r="AF336" t="s">
        <v>74</v>
      </c>
      <c r="AG336">
        <v>55</v>
      </c>
      <c r="AH336">
        <v>7</v>
      </c>
      <c r="AI336">
        <v>8</v>
      </c>
      <c r="AJ336">
        <v>7</v>
      </c>
      <c r="AK336">
        <v>16</v>
      </c>
      <c r="AL336" t="s">
        <v>754</v>
      </c>
      <c r="AM336" t="s">
        <v>755</v>
      </c>
      <c r="AN336" t="s">
        <v>756</v>
      </c>
      <c r="AO336" t="s">
        <v>1603</v>
      </c>
      <c r="AP336" t="s">
        <v>74</v>
      </c>
      <c r="AQ336" t="s">
        <v>74</v>
      </c>
      <c r="AR336" t="s">
        <v>1604</v>
      </c>
      <c r="AS336" t="s">
        <v>1605</v>
      </c>
      <c r="AT336" t="s">
        <v>3605</v>
      </c>
      <c r="AU336">
        <v>2022</v>
      </c>
      <c r="AV336">
        <v>12</v>
      </c>
      <c r="AW336">
        <v>17</v>
      </c>
      <c r="AX336" t="s">
        <v>74</v>
      </c>
      <c r="AY336" t="s">
        <v>74</v>
      </c>
      <c r="AZ336" t="s">
        <v>74</v>
      </c>
      <c r="BA336" t="s">
        <v>74</v>
      </c>
      <c r="BB336" t="s">
        <v>74</v>
      </c>
      <c r="BC336" t="s">
        <v>74</v>
      </c>
      <c r="BD336">
        <v>2241</v>
      </c>
      <c r="BE336" t="s">
        <v>7001</v>
      </c>
      <c r="BF336" t="str">
        <f>HYPERLINK("http://dx.doi.org/10.3390/ani12172241","http://dx.doi.org/10.3390/ani12172241")</f>
        <v>http://dx.doi.org/10.3390/ani12172241</v>
      </c>
      <c r="BG336" t="s">
        <v>74</v>
      </c>
      <c r="BH336" t="s">
        <v>74</v>
      </c>
      <c r="BI336">
        <v>16</v>
      </c>
      <c r="BJ336" t="s">
        <v>1607</v>
      </c>
      <c r="BK336" t="s">
        <v>100</v>
      </c>
      <c r="BL336" t="s">
        <v>1608</v>
      </c>
      <c r="BM336" t="s">
        <v>7002</v>
      </c>
      <c r="BN336">
        <v>36077960</v>
      </c>
      <c r="BO336" t="s">
        <v>132</v>
      </c>
      <c r="BP336" t="s">
        <v>74</v>
      </c>
      <c r="BQ336" t="s">
        <v>74</v>
      </c>
      <c r="BR336" t="s">
        <v>103</v>
      </c>
      <c r="BS336" t="s">
        <v>7003</v>
      </c>
      <c r="BT336" t="str">
        <f>HYPERLINK("https%3A%2F%2Fwww.webofscience.com%2Fwos%2Fwoscc%2Ffull-record%2FWOS:000850954600001","View Full Record in Web of Science")</f>
        <v>View Full Record in Web of Science</v>
      </c>
    </row>
    <row r="337" spans="1:72" x14ac:dyDescent="0.15">
      <c r="A337" t="s">
        <v>72</v>
      </c>
      <c r="B337" t="s">
        <v>7004</v>
      </c>
      <c r="C337" t="s">
        <v>74</v>
      </c>
      <c r="D337" t="s">
        <v>74</v>
      </c>
      <c r="E337" t="s">
        <v>74</v>
      </c>
      <c r="F337" t="s">
        <v>7005</v>
      </c>
      <c r="G337" t="s">
        <v>74</v>
      </c>
      <c r="H337" t="s">
        <v>74</v>
      </c>
      <c r="I337" t="s">
        <v>7006</v>
      </c>
      <c r="J337" t="s">
        <v>6346</v>
      </c>
      <c r="K337" t="s">
        <v>74</v>
      </c>
      <c r="L337" t="s">
        <v>74</v>
      </c>
      <c r="M337" t="s">
        <v>78</v>
      </c>
      <c r="N337" t="s">
        <v>79</v>
      </c>
      <c r="O337" t="s">
        <v>74</v>
      </c>
      <c r="P337" t="s">
        <v>74</v>
      </c>
      <c r="Q337" t="s">
        <v>74</v>
      </c>
      <c r="R337" t="s">
        <v>74</v>
      </c>
      <c r="S337" t="s">
        <v>74</v>
      </c>
      <c r="T337" t="s">
        <v>7007</v>
      </c>
      <c r="U337" t="s">
        <v>7008</v>
      </c>
      <c r="V337" t="s">
        <v>7009</v>
      </c>
      <c r="W337" t="s">
        <v>7010</v>
      </c>
      <c r="X337" t="s">
        <v>7011</v>
      </c>
      <c r="Y337" t="s">
        <v>7012</v>
      </c>
      <c r="Z337" t="s">
        <v>7013</v>
      </c>
      <c r="AA337" t="s">
        <v>7014</v>
      </c>
      <c r="AB337" t="s">
        <v>7015</v>
      </c>
      <c r="AC337" t="s">
        <v>7016</v>
      </c>
      <c r="AD337" t="s">
        <v>5950</v>
      </c>
      <c r="AE337" t="s">
        <v>7017</v>
      </c>
      <c r="AF337" t="s">
        <v>74</v>
      </c>
      <c r="AG337">
        <v>110</v>
      </c>
      <c r="AH337">
        <v>5</v>
      </c>
      <c r="AI337">
        <v>5</v>
      </c>
      <c r="AJ337">
        <v>6</v>
      </c>
      <c r="AK337">
        <v>13</v>
      </c>
      <c r="AL337" t="s">
        <v>946</v>
      </c>
      <c r="AM337" t="s">
        <v>207</v>
      </c>
      <c r="AN337" t="s">
        <v>947</v>
      </c>
      <c r="AO337" t="s">
        <v>6358</v>
      </c>
      <c r="AP337" t="s">
        <v>6359</v>
      </c>
      <c r="AQ337" t="s">
        <v>74</v>
      </c>
      <c r="AR337" t="s">
        <v>6360</v>
      </c>
      <c r="AS337" t="s">
        <v>6361</v>
      </c>
      <c r="AT337" t="s">
        <v>3605</v>
      </c>
      <c r="AU337">
        <v>2022</v>
      </c>
      <c r="AV337">
        <v>37</v>
      </c>
      <c r="AW337">
        <v>9</v>
      </c>
      <c r="AX337" t="s">
        <v>74</v>
      </c>
      <c r="AY337" t="s">
        <v>74</v>
      </c>
      <c r="AZ337" t="s">
        <v>74</v>
      </c>
      <c r="BA337" t="s">
        <v>74</v>
      </c>
      <c r="BB337" t="s">
        <v>74</v>
      </c>
      <c r="BC337" t="s">
        <v>74</v>
      </c>
      <c r="BD337" t="s">
        <v>7018</v>
      </c>
      <c r="BE337" t="s">
        <v>7019</v>
      </c>
      <c r="BF337" t="str">
        <f>HYPERLINK("http://dx.doi.org/10.1029/2022PA004430","http://dx.doi.org/10.1029/2022PA004430")</f>
        <v>http://dx.doi.org/10.1029/2022PA004430</v>
      </c>
      <c r="BG337" t="s">
        <v>74</v>
      </c>
      <c r="BH337" t="s">
        <v>74</v>
      </c>
      <c r="BI337">
        <v>20</v>
      </c>
      <c r="BJ337" t="s">
        <v>6364</v>
      </c>
      <c r="BK337" t="s">
        <v>100</v>
      </c>
      <c r="BL337" t="s">
        <v>6365</v>
      </c>
      <c r="BM337" t="s">
        <v>7020</v>
      </c>
      <c r="BN337" t="s">
        <v>74</v>
      </c>
      <c r="BO337" t="s">
        <v>831</v>
      </c>
      <c r="BP337" t="s">
        <v>74</v>
      </c>
      <c r="BQ337" t="s">
        <v>74</v>
      </c>
      <c r="BR337" t="s">
        <v>103</v>
      </c>
      <c r="BS337" t="s">
        <v>7021</v>
      </c>
      <c r="BT337" t="str">
        <f>HYPERLINK("https%3A%2F%2Fwww.webofscience.com%2Fwos%2Fwoscc%2Ffull-record%2FWOS:000850201600001","View Full Record in Web of Science")</f>
        <v>View Full Record in Web of Science</v>
      </c>
    </row>
    <row r="338" spans="1:72" x14ac:dyDescent="0.15">
      <c r="A338" t="s">
        <v>72</v>
      </c>
      <c r="B338" t="s">
        <v>7022</v>
      </c>
      <c r="C338" t="s">
        <v>74</v>
      </c>
      <c r="D338" t="s">
        <v>74</v>
      </c>
      <c r="E338" t="s">
        <v>74</v>
      </c>
      <c r="F338" t="s">
        <v>7023</v>
      </c>
      <c r="G338" t="s">
        <v>74</v>
      </c>
      <c r="H338" t="s">
        <v>74</v>
      </c>
      <c r="I338" t="s">
        <v>7024</v>
      </c>
      <c r="J338" t="s">
        <v>1422</v>
      </c>
      <c r="K338" t="s">
        <v>74</v>
      </c>
      <c r="L338" t="s">
        <v>74</v>
      </c>
      <c r="M338" t="s">
        <v>78</v>
      </c>
      <c r="N338" t="s">
        <v>79</v>
      </c>
      <c r="O338" t="s">
        <v>74</v>
      </c>
      <c r="P338" t="s">
        <v>74</v>
      </c>
      <c r="Q338" t="s">
        <v>74</v>
      </c>
      <c r="R338" t="s">
        <v>74</v>
      </c>
      <c r="S338" t="s">
        <v>74</v>
      </c>
      <c r="T338" t="s">
        <v>7025</v>
      </c>
      <c r="U338" t="s">
        <v>7026</v>
      </c>
      <c r="V338" t="s">
        <v>7027</v>
      </c>
      <c r="W338" t="s">
        <v>7028</v>
      </c>
      <c r="X338" t="s">
        <v>7029</v>
      </c>
      <c r="Y338" t="s">
        <v>7030</v>
      </c>
      <c r="Z338" t="s">
        <v>7031</v>
      </c>
      <c r="AA338" t="s">
        <v>7032</v>
      </c>
      <c r="AB338" t="s">
        <v>7033</v>
      </c>
      <c r="AC338" t="s">
        <v>7034</v>
      </c>
      <c r="AD338" t="s">
        <v>7035</v>
      </c>
      <c r="AE338" t="s">
        <v>7036</v>
      </c>
      <c r="AF338" t="s">
        <v>74</v>
      </c>
      <c r="AG338">
        <v>33</v>
      </c>
      <c r="AH338">
        <v>1</v>
      </c>
      <c r="AI338">
        <v>1</v>
      </c>
      <c r="AJ338">
        <v>6</v>
      </c>
      <c r="AK338">
        <v>19</v>
      </c>
      <c r="AL338" t="s">
        <v>754</v>
      </c>
      <c r="AM338" t="s">
        <v>755</v>
      </c>
      <c r="AN338" t="s">
        <v>756</v>
      </c>
      <c r="AO338" t="s">
        <v>74</v>
      </c>
      <c r="AP338" t="s">
        <v>1435</v>
      </c>
      <c r="AQ338" t="s">
        <v>74</v>
      </c>
      <c r="AR338" t="s">
        <v>1422</v>
      </c>
      <c r="AS338" t="s">
        <v>1436</v>
      </c>
      <c r="AT338" t="s">
        <v>3605</v>
      </c>
      <c r="AU338">
        <v>2022</v>
      </c>
      <c r="AV338">
        <v>11</v>
      </c>
      <c r="AW338">
        <v>17</v>
      </c>
      <c r="AX338" t="s">
        <v>74</v>
      </c>
      <c r="AY338" t="s">
        <v>74</v>
      </c>
      <c r="AZ338" t="s">
        <v>74</v>
      </c>
      <c r="BA338" t="s">
        <v>74</v>
      </c>
      <c r="BB338" t="s">
        <v>74</v>
      </c>
      <c r="BC338" t="s">
        <v>74</v>
      </c>
      <c r="BD338">
        <v>2213</v>
      </c>
      <c r="BE338" t="s">
        <v>7037</v>
      </c>
      <c r="BF338" t="str">
        <f>HYPERLINK("http://dx.doi.org/10.3390/plants11172213","http://dx.doi.org/10.3390/plants11172213")</f>
        <v>http://dx.doi.org/10.3390/plants11172213</v>
      </c>
      <c r="BG338" t="s">
        <v>74</v>
      </c>
      <c r="BH338" t="s">
        <v>74</v>
      </c>
      <c r="BI338">
        <v>12</v>
      </c>
      <c r="BJ338" t="s">
        <v>1438</v>
      </c>
      <c r="BK338" t="s">
        <v>100</v>
      </c>
      <c r="BL338" t="s">
        <v>1438</v>
      </c>
      <c r="BM338" t="s">
        <v>7038</v>
      </c>
      <c r="BN338">
        <v>36079595</v>
      </c>
      <c r="BO338" t="s">
        <v>132</v>
      </c>
      <c r="BP338" t="s">
        <v>74</v>
      </c>
      <c r="BQ338" t="s">
        <v>74</v>
      </c>
      <c r="BR338" t="s">
        <v>103</v>
      </c>
      <c r="BS338" t="s">
        <v>7039</v>
      </c>
      <c r="BT338" t="str">
        <f>HYPERLINK("https%3A%2F%2Fwww.webofscience.com%2Fwos%2Fwoscc%2Ffull-record%2FWOS:000851674700001","View Full Record in Web of Science")</f>
        <v>View Full Record in Web of Science</v>
      </c>
    </row>
    <row r="339" spans="1:72" x14ac:dyDescent="0.15">
      <c r="A339" t="s">
        <v>72</v>
      </c>
      <c r="B339" t="s">
        <v>7040</v>
      </c>
      <c r="C339" t="s">
        <v>74</v>
      </c>
      <c r="D339" t="s">
        <v>74</v>
      </c>
      <c r="E339" t="s">
        <v>74</v>
      </c>
      <c r="F339" t="s">
        <v>7041</v>
      </c>
      <c r="G339" t="s">
        <v>74</v>
      </c>
      <c r="H339" t="s">
        <v>74</v>
      </c>
      <c r="I339" t="s">
        <v>7042</v>
      </c>
      <c r="J339" t="s">
        <v>657</v>
      </c>
      <c r="K339" t="s">
        <v>74</v>
      </c>
      <c r="L339" t="s">
        <v>74</v>
      </c>
      <c r="M339" t="s">
        <v>78</v>
      </c>
      <c r="N339" t="s">
        <v>79</v>
      </c>
      <c r="O339" t="s">
        <v>74</v>
      </c>
      <c r="P339" t="s">
        <v>74</v>
      </c>
      <c r="Q339" t="s">
        <v>74</v>
      </c>
      <c r="R339" t="s">
        <v>74</v>
      </c>
      <c r="S339" t="s">
        <v>74</v>
      </c>
      <c r="T339" t="s">
        <v>7043</v>
      </c>
      <c r="U339" t="s">
        <v>7044</v>
      </c>
      <c r="V339" t="s">
        <v>7045</v>
      </c>
      <c r="W339" t="s">
        <v>7046</v>
      </c>
      <c r="X339" t="s">
        <v>7047</v>
      </c>
      <c r="Y339" t="s">
        <v>7048</v>
      </c>
      <c r="Z339" t="s">
        <v>7049</v>
      </c>
      <c r="AA339" t="s">
        <v>74</v>
      </c>
      <c r="AB339" t="s">
        <v>7050</v>
      </c>
      <c r="AC339" t="s">
        <v>7051</v>
      </c>
      <c r="AD339" t="s">
        <v>7052</v>
      </c>
      <c r="AE339" t="s">
        <v>7053</v>
      </c>
      <c r="AF339" t="s">
        <v>74</v>
      </c>
      <c r="AG339">
        <v>65</v>
      </c>
      <c r="AH339">
        <v>3</v>
      </c>
      <c r="AI339">
        <v>3</v>
      </c>
      <c r="AJ339">
        <v>1</v>
      </c>
      <c r="AK339">
        <v>11</v>
      </c>
      <c r="AL339" t="s">
        <v>178</v>
      </c>
      <c r="AM339" t="s">
        <v>450</v>
      </c>
      <c r="AN339" t="s">
        <v>668</v>
      </c>
      <c r="AO339" t="s">
        <v>669</v>
      </c>
      <c r="AP339" t="s">
        <v>670</v>
      </c>
      <c r="AQ339" t="s">
        <v>74</v>
      </c>
      <c r="AR339" t="s">
        <v>671</v>
      </c>
      <c r="AS339" t="s">
        <v>672</v>
      </c>
      <c r="AT339" t="s">
        <v>3605</v>
      </c>
      <c r="AU339">
        <v>2022</v>
      </c>
      <c r="AV339">
        <v>41</v>
      </c>
      <c r="AW339">
        <v>9</v>
      </c>
      <c r="AX339" t="s">
        <v>74</v>
      </c>
      <c r="AY339" t="s">
        <v>74</v>
      </c>
      <c r="AZ339" t="s">
        <v>74</v>
      </c>
      <c r="BA339" t="s">
        <v>74</v>
      </c>
      <c r="BB339">
        <v>50</v>
      </c>
      <c r="BC339">
        <v>59</v>
      </c>
      <c r="BD339" t="s">
        <v>74</v>
      </c>
      <c r="BE339" t="s">
        <v>7054</v>
      </c>
      <c r="BF339" t="str">
        <f>HYPERLINK("http://dx.doi.org/10.1007/s13131-022-1989-1","http://dx.doi.org/10.1007/s13131-022-1989-1")</f>
        <v>http://dx.doi.org/10.1007/s13131-022-1989-1</v>
      </c>
      <c r="BG339" t="s">
        <v>74</v>
      </c>
      <c r="BH339" t="s">
        <v>74</v>
      </c>
      <c r="BI339">
        <v>10</v>
      </c>
      <c r="BJ339" t="s">
        <v>674</v>
      </c>
      <c r="BK339" t="s">
        <v>100</v>
      </c>
      <c r="BL339" t="s">
        <v>674</v>
      </c>
      <c r="BM339" t="s">
        <v>7055</v>
      </c>
      <c r="BN339" t="s">
        <v>74</v>
      </c>
      <c r="BO339" t="s">
        <v>74</v>
      </c>
      <c r="BP339" t="s">
        <v>74</v>
      </c>
      <c r="BQ339" t="s">
        <v>74</v>
      </c>
      <c r="BR339" t="s">
        <v>103</v>
      </c>
      <c r="BS339" t="s">
        <v>7056</v>
      </c>
      <c r="BT339" t="str">
        <f>HYPERLINK("https%3A%2F%2Fwww.webofscience.com%2Fwos%2Fwoscc%2Ffull-record%2FWOS:000850118600004","View Full Record in Web of Science")</f>
        <v>View Full Record in Web of Science</v>
      </c>
    </row>
    <row r="340" spans="1:72" x14ac:dyDescent="0.15">
      <c r="A340" t="s">
        <v>72</v>
      </c>
      <c r="B340" t="s">
        <v>7057</v>
      </c>
      <c r="C340" t="s">
        <v>74</v>
      </c>
      <c r="D340" t="s">
        <v>74</v>
      </c>
      <c r="E340" t="s">
        <v>74</v>
      </c>
      <c r="F340" t="s">
        <v>7058</v>
      </c>
      <c r="G340" t="s">
        <v>74</v>
      </c>
      <c r="H340" t="s">
        <v>74</v>
      </c>
      <c r="I340" t="s">
        <v>7059</v>
      </c>
      <c r="J340" t="s">
        <v>657</v>
      </c>
      <c r="K340" t="s">
        <v>74</v>
      </c>
      <c r="L340" t="s">
        <v>74</v>
      </c>
      <c r="M340" t="s">
        <v>78</v>
      </c>
      <c r="N340" t="s">
        <v>79</v>
      </c>
      <c r="O340" t="s">
        <v>74</v>
      </c>
      <c r="P340" t="s">
        <v>74</v>
      </c>
      <c r="Q340" t="s">
        <v>74</v>
      </c>
      <c r="R340" t="s">
        <v>74</v>
      </c>
      <c r="S340" t="s">
        <v>74</v>
      </c>
      <c r="T340" t="s">
        <v>7060</v>
      </c>
      <c r="U340" t="s">
        <v>7061</v>
      </c>
      <c r="V340" t="s">
        <v>7062</v>
      </c>
      <c r="W340" t="s">
        <v>7063</v>
      </c>
      <c r="X340" t="s">
        <v>7064</v>
      </c>
      <c r="Y340" t="s">
        <v>7065</v>
      </c>
      <c r="Z340" t="s">
        <v>7066</v>
      </c>
      <c r="AA340" t="s">
        <v>7067</v>
      </c>
      <c r="AB340" t="s">
        <v>74</v>
      </c>
      <c r="AC340" t="s">
        <v>7068</v>
      </c>
      <c r="AD340" t="s">
        <v>7069</v>
      </c>
      <c r="AE340" t="s">
        <v>7070</v>
      </c>
      <c r="AF340" t="s">
        <v>74</v>
      </c>
      <c r="AG340">
        <v>87</v>
      </c>
      <c r="AH340">
        <v>0</v>
      </c>
      <c r="AI340">
        <v>0</v>
      </c>
      <c r="AJ340">
        <v>15</v>
      </c>
      <c r="AK340">
        <v>44</v>
      </c>
      <c r="AL340" t="s">
        <v>178</v>
      </c>
      <c r="AM340" t="s">
        <v>450</v>
      </c>
      <c r="AN340" t="s">
        <v>668</v>
      </c>
      <c r="AO340" t="s">
        <v>669</v>
      </c>
      <c r="AP340" t="s">
        <v>670</v>
      </c>
      <c r="AQ340" t="s">
        <v>74</v>
      </c>
      <c r="AR340" t="s">
        <v>671</v>
      </c>
      <c r="AS340" t="s">
        <v>672</v>
      </c>
      <c r="AT340" t="s">
        <v>3605</v>
      </c>
      <c r="AU340">
        <v>2022</v>
      </c>
      <c r="AV340">
        <v>41</v>
      </c>
      <c r="AW340">
        <v>9</v>
      </c>
      <c r="AX340" t="s">
        <v>74</v>
      </c>
      <c r="AY340" t="s">
        <v>74</v>
      </c>
      <c r="AZ340" t="s">
        <v>74</v>
      </c>
      <c r="BA340" t="s">
        <v>74</v>
      </c>
      <c r="BB340">
        <v>169</v>
      </c>
      <c r="BC340">
        <v>181</v>
      </c>
      <c r="BD340" t="s">
        <v>74</v>
      </c>
      <c r="BE340" t="s">
        <v>7071</v>
      </c>
      <c r="BF340" t="str">
        <f>HYPERLINK("http://dx.doi.org/10.1007/s13131-022-1993-5","http://dx.doi.org/10.1007/s13131-022-1993-5")</f>
        <v>http://dx.doi.org/10.1007/s13131-022-1993-5</v>
      </c>
      <c r="BG340" t="s">
        <v>74</v>
      </c>
      <c r="BH340" t="s">
        <v>74</v>
      </c>
      <c r="BI340">
        <v>13</v>
      </c>
      <c r="BJ340" t="s">
        <v>674</v>
      </c>
      <c r="BK340" t="s">
        <v>100</v>
      </c>
      <c r="BL340" t="s">
        <v>674</v>
      </c>
      <c r="BM340" t="s">
        <v>7055</v>
      </c>
      <c r="BN340" t="s">
        <v>74</v>
      </c>
      <c r="BO340" t="s">
        <v>74</v>
      </c>
      <c r="BP340" t="s">
        <v>74</v>
      </c>
      <c r="BQ340" t="s">
        <v>74</v>
      </c>
      <c r="BR340" t="s">
        <v>103</v>
      </c>
      <c r="BS340" t="s">
        <v>7072</v>
      </c>
      <c r="BT340" t="str">
        <f>HYPERLINK("https%3A%2F%2Fwww.webofscience.com%2Fwos%2Fwoscc%2Ffull-record%2FWOS:000850118600014","View Full Record in Web of Science")</f>
        <v>View Full Record in Web of Science</v>
      </c>
    </row>
    <row r="341" spans="1:72" x14ac:dyDescent="0.15">
      <c r="A341" t="s">
        <v>72</v>
      </c>
      <c r="B341" t="s">
        <v>7073</v>
      </c>
      <c r="C341" t="s">
        <v>74</v>
      </c>
      <c r="D341" t="s">
        <v>74</v>
      </c>
      <c r="E341" t="s">
        <v>74</v>
      </c>
      <c r="F341" t="s">
        <v>7074</v>
      </c>
      <c r="G341" t="s">
        <v>74</v>
      </c>
      <c r="H341" t="s">
        <v>74</v>
      </c>
      <c r="I341" t="s">
        <v>7075</v>
      </c>
      <c r="J341" t="s">
        <v>6396</v>
      </c>
      <c r="K341" t="s">
        <v>74</v>
      </c>
      <c r="L341" t="s">
        <v>74</v>
      </c>
      <c r="M341" t="s">
        <v>78</v>
      </c>
      <c r="N341" t="s">
        <v>79</v>
      </c>
      <c r="O341" t="s">
        <v>74</v>
      </c>
      <c r="P341" t="s">
        <v>74</v>
      </c>
      <c r="Q341" t="s">
        <v>74</v>
      </c>
      <c r="R341" t="s">
        <v>74</v>
      </c>
      <c r="S341" t="s">
        <v>74</v>
      </c>
      <c r="T341" t="s">
        <v>7076</v>
      </c>
      <c r="U341" t="s">
        <v>7077</v>
      </c>
      <c r="V341" t="s">
        <v>7078</v>
      </c>
      <c r="W341" t="s">
        <v>7079</v>
      </c>
      <c r="X341" t="s">
        <v>7080</v>
      </c>
      <c r="Y341" t="s">
        <v>7081</v>
      </c>
      <c r="Z341" t="s">
        <v>7082</v>
      </c>
      <c r="AA341" t="s">
        <v>7083</v>
      </c>
      <c r="AB341" t="s">
        <v>7084</v>
      </c>
      <c r="AC341" t="s">
        <v>7085</v>
      </c>
      <c r="AD341" t="s">
        <v>7086</v>
      </c>
      <c r="AE341" t="s">
        <v>7087</v>
      </c>
      <c r="AF341" t="s">
        <v>74</v>
      </c>
      <c r="AG341">
        <v>65</v>
      </c>
      <c r="AH341">
        <v>8</v>
      </c>
      <c r="AI341">
        <v>8</v>
      </c>
      <c r="AJ341">
        <v>6</v>
      </c>
      <c r="AK341">
        <v>22</v>
      </c>
      <c r="AL341" t="s">
        <v>946</v>
      </c>
      <c r="AM341" t="s">
        <v>207</v>
      </c>
      <c r="AN341" t="s">
        <v>947</v>
      </c>
      <c r="AO341" t="s">
        <v>6408</v>
      </c>
      <c r="AP341" t="s">
        <v>6409</v>
      </c>
      <c r="AQ341" t="s">
        <v>74</v>
      </c>
      <c r="AR341" t="s">
        <v>6410</v>
      </c>
      <c r="AS341" t="s">
        <v>6411</v>
      </c>
      <c r="AT341" t="s">
        <v>3605</v>
      </c>
      <c r="AU341">
        <v>2022</v>
      </c>
      <c r="AV341">
        <v>36</v>
      </c>
      <c r="AW341">
        <v>9</v>
      </c>
      <c r="AX341" t="s">
        <v>74</v>
      </c>
      <c r="AY341" t="s">
        <v>74</v>
      </c>
      <c r="AZ341" t="s">
        <v>74</v>
      </c>
      <c r="BA341" t="s">
        <v>74</v>
      </c>
      <c r="BB341" t="s">
        <v>74</v>
      </c>
      <c r="BC341" t="s">
        <v>74</v>
      </c>
      <c r="BD341" t="s">
        <v>7088</v>
      </c>
      <c r="BE341" t="s">
        <v>7089</v>
      </c>
      <c r="BF341" t="str">
        <f>HYPERLINK("http://dx.doi.org/10.1029/2022GB007360","http://dx.doi.org/10.1029/2022GB007360")</f>
        <v>http://dx.doi.org/10.1029/2022GB007360</v>
      </c>
      <c r="BG341" t="s">
        <v>74</v>
      </c>
      <c r="BH341" t="s">
        <v>74</v>
      </c>
      <c r="BI341">
        <v>13</v>
      </c>
      <c r="BJ341" t="s">
        <v>1010</v>
      </c>
      <c r="BK341" t="s">
        <v>100</v>
      </c>
      <c r="BL341" t="s">
        <v>1011</v>
      </c>
      <c r="BM341" t="s">
        <v>7090</v>
      </c>
      <c r="BN341" t="s">
        <v>74</v>
      </c>
      <c r="BO341" t="s">
        <v>7091</v>
      </c>
      <c r="BP341" t="s">
        <v>74</v>
      </c>
      <c r="BQ341" t="s">
        <v>74</v>
      </c>
      <c r="BR341" t="s">
        <v>103</v>
      </c>
      <c r="BS341" t="s">
        <v>7092</v>
      </c>
      <c r="BT341" t="str">
        <f>HYPERLINK("https%3A%2F%2Fwww.webofscience.com%2Fwos%2Fwoscc%2Ffull-record%2FWOS:000849850500001","View Full Record in Web of Science")</f>
        <v>View Full Record in Web of Science</v>
      </c>
    </row>
    <row r="342" spans="1:72" x14ac:dyDescent="0.15">
      <c r="A342" t="s">
        <v>72</v>
      </c>
      <c r="B342" t="s">
        <v>7093</v>
      </c>
      <c r="C342" t="s">
        <v>74</v>
      </c>
      <c r="D342" t="s">
        <v>74</v>
      </c>
      <c r="E342" t="s">
        <v>74</v>
      </c>
      <c r="F342" t="s">
        <v>7094</v>
      </c>
      <c r="G342" t="s">
        <v>74</v>
      </c>
      <c r="H342" t="s">
        <v>74</v>
      </c>
      <c r="I342" t="s">
        <v>7095</v>
      </c>
      <c r="J342" t="s">
        <v>7096</v>
      </c>
      <c r="K342" t="s">
        <v>74</v>
      </c>
      <c r="L342" t="s">
        <v>74</v>
      </c>
      <c r="M342" t="s">
        <v>78</v>
      </c>
      <c r="N342" t="s">
        <v>79</v>
      </c>
      <c r="O342" t="s">
        <v>74</v>
      </c>
      <c r="P342" t="s">
        <v>74</v>
      </c>
      <c r="Q342" t="s">
        <v>74</v>
      </c>
      <c r="R342" t="s">
        <v>74</v>
      </c>
      <c r="S342" t="s">
        <v>74</v>
      </c>
      <c r="T342" t="s">
        <v>7097</v>
      </c>
      <c r="U342" t="s">
        <v>7098</v>
      </c>
      <c r="V342" t="s">
        <v>7099</v>
      </c>
      <c r="W342" t="s">
        <v>7100</v>
      </c>
      <c r="X342" t="s">
        <v>6535</v>
      </c>
      <c r="Y342" t="s">
        <v>7101</v>
      </c>
      <c r="Z342" t="s">
        <v>7102</v>
      </c>
      <c r="AA342" t="s">
        <v>7103</v>
      </c>
      <c r="AB342" t="s">
        <v>7104</v>
      </c>
      <c r="AC342" t="s">
        <v>7105</v>
      </c>
      <c r="AD342" t="s">
        <v>7105</v>
      </c>
      <c r="AE342" t="s">
        <v>7106</v>
      </c>
      <c r="AF342" t="s">
        <v>74</v>
      </c>
      <c r="AG342">
        <v>53</v>
      </c>
      <c r="AH342">
        <v>11</v>
      </c>
      <c r="AI342">
        <v>13</v>
      </c>
      <c r="AJ342">
        <v>6</v>
      </c>
      <c r="AK342">
        <v>38</v>
      </c>
      <c r="AL342" t="s">
        <v>178</v>
      </c>
      <c r="AM342" t="s">
        <v>179</v>
      </c>
      <c r="AN342" t="s">
        <v>180</v>
      </c>
      <c r="AO342" t="s">
        <v>7107</v>
      </c>
      <c r="AP342" t="s">
        <v>7108</v>
      </c>
      <c r="AQ342" t="s">
        <v>74</v>
      </c>
      <c r="AR342" t="s">
        <v>7109</v>
      </c>
      <c r="AS342" t="s">
        <v>7110</v>
      </c>
      <c r="AT342" t="s">
        <v>325</v>
      </c>
      <c r="AU342">
        <v>2022</v>
      </c>
      <c r="AV342">
        <v>34</v>
      </c>
      <c r="AW342">
        <v>6</v>
      </c>
      <c r="AX342" t="s">
        <v>74</v>
      </c>
      <c r="AY342" t="s">
        <v>74</v>
      </c>
      <c r="AZ342" t="s">
        <v>186</v>
      </c>
      <c r="BA342" t="s">
        <v>74</v>
      </c>
      <c r="BB342">
        <v>3059</v>
      </c>
      <c r="BC342">
        <v>3067</v>
      </c>
      <c r="BD342" t="s">
        <v>74</v>
      </c>
      <c r="BE342" t="s">
        <v>7111</v>
      </c>
      <c r="BF342" t="str">
        <f>HYPERLINK("http://dx.doi.org/10.1007/s10811-022-02822-y","http://dx.doi.org/10.1007/s10811-022-02822-y")</f>
        <v>http://dx.doi.org/10.1007/s10811-022-02822-y</v>
      </c>
      <c r="BG342" t="s">
        <v>74</v>
      </c>
      <c r="BH342" t="s">
        <v>2143</v>
      </c>
      <c r="BI342">
        <v>9</v>
      </c>
      <c r="BJ342" t="s">
        <v>7112</v>
      </c>
      <c r="BK342" t="s">
        <v>100</v>
      </c>
      <c r="BL342" t="s">
        <v>7112</v>
      </c>
      <c r="BM342" t="s">
        <v>7113</v>
      </c>
      <c r="BN342" t="s">
        <v>74</v>
      </c>
      <c r="BO342" t="s">
        <v>1221</v>
      </c>
      <c r="BP342" t="s">
        <v>74</v>
      </c>
      <c r="BQ342" t="s">
        <v>74</v>
      </c>
      <c r="BR342" t="s">
        <v>103</v>
      </c>
      <c r="BS342" t="s">
        <v>7114</v>
      </c>
      <c r="BT342" t="str">
        <f>HYPERLINK("https%3A%2F%2Fwww.webofscience.com%2Fwos%2Fwoscc%2Ffull-record%2FWOS:000849308800001","View Full Record in Web of Science")</f>
        <v>View Full Record in Web of Science</v>
      </c>
    </row>
    <row r="343" spans="1:72" x14ac:dyDescent="0.15">
      <c r="A343" t="s">
        <v>72</v>
      </c>
      <c r="B343" t="s">
        <v>7115</v>
      </c>
      <c r="C343" t="s">
        <v>74</v>
      </c>
      <c r="D343" t="s">
        <v>74</v>
      </c>
      <c r="E343" t="s">
        <v>74</v>
      </c>
      <c r="F343" t="s">
        <v>7116</v>
      </c>
      <c r="G343" t="s">
        <v>74</v>
      </c>
      <c r="H343" t="s">
        <v>74</v>
      </c>
      <c r="I343" t="s">
        <v>7117</v>
      </c>
      <c r="J343" t="s">
        <v>933</v>
      </c>
      <c r="K343" t="s">
        <v>74</v>
      </c>
      <c r="L343" t="s">
        <v>74</v>
      </c>
      <c r="M343" t="s">
        <v>78</v>
      </c>
      <c r="N343" t="s">
        <v>79</v>
      </c>
      <c r="O343" t="s">
        <v>74</v>
      </c>
      <c r="P343" t="s">
        <v>74</v>
      </c>
      <c r="Q343" t="s">
        <v>74</v>
      </c>
      <c r="R343" t="s">
        <v>74</v>
      </c>
      <c r="S343" t="s">
        <v>74</v>
      </c>
      <c r="T343" t="s">
        <v>74</v>
      </c>
      <c r="U343" t="s">
        <v>7118</v>
      </c>
      <c r="V343" t="s">
        <v>7119</v>
      </c>
      <c r="W343" t="s">
        <v>7120</v>
      </c>
      <c r="X343" t="s">
        <v>7121</v>
      </c>
      <c r="Y343" t="s">
        <v>7122</v>
      </c>
      <c r="Z343" t="s">
        <v>7123</v>
      </c>
      <c r="AA343" t="s">
        <v>7124</v>
      </c>
      <c r="AB343" t="s">
        <v>7125</v>
      </c>
      <c r="AC343" t="s">
        <v>7126</v>
      </c>
      <c r="AD343" t="s">
        <v>7127</v>
      </c>
      <c r="AE343" t="s">
        <v>7128</v>
      </c>
      <c r="AF343" t="s">
        <v>74</v>
      </c>
      <c r="AG343">
        <v>72</v>
      </c>
      <c r="AH343">
        <v>6</v>
      </c>
      <c r="AI343">
        <v>7</v>
      </c>
      <c r="AJ343">
        <v>5</v>
      </c>
      <c r="AK343">
        <v>56</v>
      </c>
      <c r="AL343" t="s">
        <v>946</v>
      </c>
      <c r="AM343" t="s">
        <v>207</v>
      </c>
      <c r="AN343" t="s">
        <v>947</v>
      </c>
      <c r="AO343" t="s">
        <v>948</v>
      </c>
      <c r="AP343" t="s">
        <v>949</v>
      </c>
      <c r="AQ343" t="s">
        <v>74</v>
      </c>
      <c r="AR343" t="s">
        <v>950</v>
      </c>
      <c r="AS343" t="s">
        <v>951</v>
      </c>
      <c r="AT343" t="s">
        <v>3605</v>
      </c>
      <c r="AU343">
        <v>2022</v>
      </c>
      <c r="AV343">
        <v>127</v>
      </c>
      <c r="AW343">
        <v>9</v>
      </c>
      <c r="AX343" t="s">
        <v>74</v>
      </c>
      <c r="AY343" t="s">
        <v>74</v>
      </c>
      <c r="AZ343" t="s">
        <v>74</v>
      </c>
      <c r="BA343" t="s">
        <v>74</v>
      </c>
      <c r="BB343" t="s">
        <v>74</v>
      </c>
      <c r="BC343" t="s">
        <v>74</v>
      </c>
      <c r="BD343" t="s">
        <v>7129</v>
      </c>
      <c r="BE343" t="s">
        <v>7130</v>
      </c>
      <c r="BF343" t="str">
        <f>HYPERLINK("http://dx.doi.org/10.1029/2022JA030784","http://dx.doi.org/10.1029/2022JA030784")</f>
        <v>http://dx.doi.org/10.1029/2022JA030784</v>
      </c>
      <c r="BG343" t="s">
        <v>74</v>
      </c>
      <c r="BH343" t="s">
        <v>74</v>
      </c>
      <c r="BI343">
        <v>11</v>
      </c>
      <c r="BJ343" t="s">
        <v>954</v>
      </c>
      <c r="BK343" t="s">
        <v>100</v>
      </c>
      <c r="BL343" t="s">
        <v>954</v>
      </c>
      <c r="BM343" t="s">
        <v>7131</v>
      </c>
      <c r="BN343" t="s">
        <v>74</v>
      </c>
      <c r="BO343" t="s">
        <v>74</v>
      </c>
      <c r="BP343" t="s">
        <v>74</v>
      </c>
      <c r="BQ343" t="s">
        <v>74</v>
      </c>
      <c r="BR343" t="s">
        <v>103</v>
      </c>
      <c r="BS343" t="s">
        <v>7132</v>
      </c>
      <c r="BT343" t="str">
        <f>HYPERLINK("https%3A%2F%2Fwww.webofscience.com%2Fwos%2Fwoscc%2Ffull-record%2FWOS:000849894200001","View Full Record in Web of Science")</f>
        <v>View Full Record in Web of Science</v>
      </c>
    </row>
    <row r="344" spans="1:72" x14ac:dyDescent="0.15">
      <c r="A344" t="s">
        <v>72</v>
      </c>
      <c r="B344" t="s">
        <v>7133</v>
      </c>
      <c r="C344" t="s">
        <v>74</v>
      </c>
      <c r="D344" t="s">
        <v>74</v>
      </c>
      <c r="E344" t="s">
        <v>74</v>
      </c>
      <c r="F344" t="s">
        <v>7134</v>
      </c>
      <c r="G344" t="s">
        <v>74</v>
      </c>
      <c r="H344" t="s">
        <v>74</v>
      </c>
      <c r="I344" t="s">
        <v>7135</v>
      </c>
      <c r="J344" t="s">
        <v>7136</v>
      </c>
      <c r="K344" t="s">
        <v>74</v>
      </c>
      <c r="L344" t="s">
        <v>74</v>
      </c>
      <c r="M344" t="s">
        <v>78</v>
      </c>
      <c r="N344" t="s">
        <v>165</v>
      </c>
      <c r="O344" t="s">
        <v>74</v>
      </c>
      <c r="P344" t="s">
        <v>74</v>
      </c>
      <c r="Q344" t="s">
        <v>74</v>
      </c>
      <c r="R344" t="s">
        <v>74</v>
      </c>
      <c r="S344" t="s">
        <v>74</v>
      </c>
      <c r="T344" t="s">
        <v>7137</v>
      </c>
      <c r="U344" t="s">
        <v>7138</v>
      </c>
      <c r="V344" t="s">
        <v>7139</v>
      </c>
      <c r="W344" t="s">
        <v>7140</v>
      </c>
      <c r="X344" t="s">
        <v>7141</v>
      </c>
      <c r="Y344" t="s">
        <v>7142</v>
      </c>
      <c r="Z344" t="s">
        <v>7143</v>
      </c>
      <c r="AA344" t="s">
        <v>7144</v>
      </c>
      <c r="AB344" t="s">
        <v>7145</v>
      </c>
      <c r="AC344" t="s">
        <v>7146</v>
      </c>
      <c r="AD344" t="s">
        <v>5894</v>
      </c>
      <c r="AE344" t="s">
        <v>7147</v>
      </c>
      <c r="AF344" t="s">
        <v>74</v>
      </c>
      <c r="AG344">
        <v>143</v>
      </c>
      <c r="AH344">
        <v>10</v>
      </c>
      <c r="AI344">
        <v>10</v>
      </c>
      <c r="AJ344">
        <v>4</v>
      </c>
      <c r="AK344">
        <v>15</v>
      </c>
      <c r="AL344" t="s">
        <v>178</v>
      </c>
      <c r="AM344" t="s">
        <v>179</v>
      </c>
      <c r="AN344" t="s">
        <v>180</v>
      </c>
      <c r="AO344" t="s">
        <v>7148</v>
      </c>
      <c r="AP344" t="s">
        <v>7149</v>
      </c>
      <c r="AQ344" t="s">
        <v>74</v>
      </c>
      <c r="AR344" t="s">
        <v>7136</v>
      </c>
      <c r="AS344" t="s">
        <v>7150</v>
      </c>
      <c r="AT344" t="s">
        <v>3663</v>
      </c>
      <c r="AU344">
        <v>2023</v>
      </c>
      <c r="AV344">
        <v>52</v>
      </c>
      <c r="AW344">
        <v>2</v>
      </c>
      <c r="AX344" t="s">
        <v>74</v>
      </c>
      <c r="AY344" t="s">
        <v>74</v>
      </c>
      <c r="AZ344" t="s">
        <v>74</v>
      </c>
      <c r="BA344" t="s">
        <v>74</v>
      </c>
      <c r="BB344">
        <v>357</v>
      </c>
      <c r="BC344">
        <v>375</v>
      </c>
      <c r="BD344" t="s">
        <v>74</v>
      </c>
      <c r="BE344" t="s">
        <v>7151</v>
      </c>
      <c r="BF344" t="str">
        <f>HYPERLINK("http://dx.doi.org/10.1007/s13280-022-01782-4","http://dx.doi.org/10.1007/s13280-022-01782-4")</f>
        <v>http://dx.doi.org/10.1007/s13280-022-01782-4</v>
      </c>
      <c r="BG344" t="s">
        <v>74</v>
      </c>
      <c r="BH344" t="s">
        <v>2143</v>
      </c>
      <c r="BI344">
        <v>19</v>
      </c>
      <c r="BJ344" t="s">
        <v>5693</v>
      </c>
      <c r="BK344" t="s">
        <v>100</v>
      </c>
      <c r="BL344" t="s">
        <v>5694</v>
      </c>
      <c r="BM344" t="s">
        <v>7152</v>
      </c>
      <c r="BN344">
        <v>36048407</v>
      </c>
      <c r="BO344" t="s">
        <v>3053</v>
      </c>
      <c r="BP344" t="s">
        <v>74</v>
      </c>
      <c r="BQ344" t="s">
        <v>74</v>
      </c>
      <c r="BR344" t="s">
        <v>103</v>
      </c>
      <c r="BS344" t="s">
        <v>7153</v>
      </c>
      <c r="BT344" t="str">
        <f>HYPERLINK("https%3A%2F%2Fwww.webofscience.com%2Fwos%2Fwoscc%2Ffull-record%2FWOS:000849299700001","View Full Record in Web of Science")</f>
        <v>View Full Record in Web of Science</v>
      </c>
    </row>
    <row r="345" spans="1:72" x14ac:dyDescent="0.15">
      <c r="A345" t="s">
        <v>72</v>
      </c>
      <c r="B345" t="s">
        <v>7154</v>
      </c>
      <c r="C345" t="s">
        <v>74</v>
      </c>
      <c r="D345" t="s">
        <v>74</v>
      </c>
      <c r="E345" t="s">
        <v>74</v>
      </c>
      <c r="F345" t="s">
        <v>7155</v>
      </c>
      <c r="G345" t="s">
        <v>74</v>
      </c>
      <c r="H345" t="s">
        <v>74</v>
      </c>
      <c r="I345" t="s">
        <v>7156</v>
      </c>
      <c r="J345" t="s">
        <v>6840</v>
      </c>
      <c r="K345" t="s">
        <v>74</v>
      </c>
      <c r="L345" t="s">
        <v>74</v>
      </c>
      <c r="M345" t="s">
        <v>78</v>
      </c>
      <c r="N345" t="s">
        <v>79</v>
      </c>
      <c r="O345" t="s">
        <v>74</v>
      </c>
      <c r="P345" t="s">
        <v>74</v>
      </c>
      <c r="Q345" t="s">
        <v>74</v>
      </c>
      <c r="R345" t="s">
        <v>74</v>
      </c>
      <c r="S345" t="s">
        <v>74</v>
      </c>
      <c r="T345" t="s">
        <v>7157</v>
      </c>
      <c r="U345" t="s">
        <v>7158</v>
      </c>
      <c r="V345" t="s">
        <v>7159</v>
      </c>
      <c r="W345" t="s">
        <v>7160</v>
      </c>
      <c r="X345" t="s">
        <v>7161</v>
      </c>
      <c r="Y345" t="s">
        <v>7162</v>
      </c>
      <c r="Z345" t="s">
        <v>3653</v>
      </c>
      <c r="AA345" t="s">
        <v>7163</v>
      </c>
      <c r="AB345" t="s">
        <v>7164</v>
      </c>
      <c r="AC345" t="s">
        <v>7165</v>
      </c>
      <c r="AD345" t="s">
        <v>7166</v>
      </c>
      <c r="AE345" t="s">
        <v>7167</v>
      </c>
      <c r="AF345" t="s">
        <v>74</v>
      </c>
      <c r="AG345">
        <v>41</v>
      </c>
      <c r="AH345">
        <v>6</v>
      </c>
      <c r="AI345">
        <v>6</v>
      </c>
      <c r="AJ345">
        <v>8</v>
      </c>
      <c r="AK345">
        <v>27</v>
      </c>
      <c r="AL345" t="s">
        <v>1626</v>
      </c>
      <c r="AM345" t="s">
        <v>1627</v>
      </c>
      <c r="AN345" t="s">
        <v>1628</v>
      </c>
      <c r="AO345" t="s">
        <v>6853</v>
      </c>
      <c r="AP345" t="s">
        <v>74</v>
      </c>
      <c r="AQ345" t="s">
        <v>74</v>
      </c>
      <c r="AR345" t="s">
        <v>6854</v>
      </c>
      <c r="AS345" t="s">
        <v>6855</v>
      </c>
      <c r="AT345" t="s">
        <v>5933</v>
      </c>
      <c r="AU345">
        <v>2022</v>
      </c>
      <c r="AV345">
        <v>17</v>
      </c>
      <c r="AW345">
        <v>9</v>
      </c>
      <c r="AX345" t="s">
        <v>74</v>
      </c>
      <c r="AY345" t="s">
        <v>74</v>
      </c>
      <c r="AZ345" t="s">
        <v>74</v>
      </c>
      <c r="BA345" t="s">
        <v>74</v>
      </c>
      <c r="BB345" t="s">
        <v>74</v>
      </c>
      <c r="BC345" t="s">
        <v>74</v>
      </c>
      <c r="BD345">
        <v>95008</v>
      </c>
      <c r="BE345" t="s">
        <v>7168</v>
      </c>
      <c r="BF345" t="str">
        <f>HYPERLINK("http://dx.doi.org/10.1088/1748-9326/ac8be7","http://dx.doi.org/10.1088/1748-9326/ac8be7")</f>
        <v>http://dx.doi.org/10.1088/1748-9326/ac8be7</v>
      </c>
      <c r="BG345" t="s">
        <v>74</v>
      </c>
      <c r="BH345" t="s">
        <v>74</v>
      </c>
      <c r="BI345">
        <v>9</v>
      </c>
      <c r="BJ345" t="s">
        <v>1129</v>
      </c>
      <c r="BK345" t="s">
        <v>100</v>
      </c>
      <c r="BL345" t="s">
        <v>1130</v>
      </c>
      <c r="BM345" t="s">
        <v>7169</v>
      </c>
      <c r="BN345" t="s">
        <v>74</v>
      </c>
      <c r="BO345" t="s">
        <v>5447</v>
      </c>
      <c r="BP345" t="s">
        <v>74</v>
      </c>
      <c r="BQ345" t="s">
        <v>74</v>
      </c>
      <c r="BR345" t="s">
        <v>103</v>
      </c>
      <c r="BS345" t="s">
        <v>7170</v>
      </c>
      <c r="BT345" t="str">
        <f>HYPERLINK("https%3A%2F%2Fwww.webofscience.com%2Fwos%2Fwoscc%2Ffull-record%2FWOS:000848854000001","View Full Record in Web of Science")</f>
        <v>View Full Record in Web of Science</v>
      </c>
    </row>
    <row r="346" spans="1:72" x14ac:dyDescent="0.15">
      <c r="A346" t="s">
        <v>72</v>
      </c>
      <c r="B346" t="s">
        <v>7171</v>
      </c>
      <c r="C346" t="s">
        <v>74</v>
      </c>
      <c r="D346" t="s">
        <v>74</v>
      </c>
      <c r="E346" t="s">
        <v>74</v>
      </c>
      <c r="F346" t="s">
        <v>7172</v>
      </c>
      <c r="G346" t="s">
        <v>74</v>
      </c>
      <c r="H346" t="s">
        <v>74</v>
      </c>
      <c r="I346" t="s">
        <v>7173</v>
      </c>
      <c r="J346" t="s">
        <v>4627</v>
      </c>
      <c r="K346" t="s">
        <v>74</v>
      </c>
      <c r="L346" t="s">
        <v>74</v>
      </c>
      <c r="M346" t="s">
        <v>78</v>
      </c>
      <c r="N346" t="s">
        <v>79</v>
      </c>
      <c r="O346" t="s">
        <v>74</v>
      </c>
      <c r="P346" t="s">
        <v>74</v>
      </c>
      <c r="Q346" t="s">
        <v>74</v>
      </c>
      <c r="R346" t="s">
        <v>74</v>
      </c>
      <c r="S346" t="s">
        <v>74</v>
      </c>
      <c r="T346" t="s">
        <v>74</v>
      </c>
      <c r="U346" t="s">
        <v>7174</v>
      </c>
      <c r="V346" t="s">
        <v>7175</v>
      </c>
      <c r="W346" t="s">
        <v>7176</v>
      </c>
      <c r="X346" t="s">
        <v>7177</v>
      </c>
      <c r="Y346" t="s">
        <v>7178</v>
      </c>
      <c r="Z346" t="s">
        <v>7179</v>
      </c>
      <c r="AA346" t="s">
        <v>7180</v>
      </c>
      <c r="AB346" t="s">
        <v>7181</v>
      </c>
      <c r="AC346" t="s">
        <v>7182</v>
      </c>
      <c r="AD346" t="s">
        <v>7183</v>
      </c>
      <c r="AE346" t="s">
        <v>7184</v>
      </c>
      <c r="AF346" t="s">
        <v>74</v>
      </c>
      <c r="AG346">
        <v>60</v>
      </c>
      <c r="AH346">
        <v>3</v>
      </c>
      <c r="AI346">
        <v>3</v>
      </c>
      <c r="AJ346">
        <v>3</v>
      </c>
      <c r="AK346">
        <v>20</v>
      </c>
      <c r="AL346" t="s">
        <v>2460</v>
      </c>
      <c r="AM346" t="s">
        <v>2461</v>
      </c>
      <c r="AN346" t="s">
        <v>2462</v>
      </c>
      <c r="AO346" t="s">
        <v>4638</v>
      </c>
      <c r="AP346" t="s">
        <v>4639</v>
      </c>
      <c r="AQ346" t="s">
        <v>74</v>
      </c>
      <c r="AR346" t="s">
        <v>4640</v>
      </c>
      <c r="AS346" t="s">
        <v>4641</v>
      </c>
      <c r="AT346" t="s">
        <v>5933</v>
      </c>
      <c r="AU346">
        <v>2022</v>
      </c>
      <c r="AV346">
        <v>18</v>
      </c>
      <c r="AW346">
        <v>9</v>
      </c>
      <c r="AX346" t="s">
        <v>74</v>
      </c>
      <c r="AY346" t="s">
        <v>74</v>
      </c>
      <c r="AZ346" t="s">
        <v>74</v>
      </c>
      <c r="BA346" t="s">
        <v>74</v>
      </c>
      <c r="BB346">
        <v>1983</v>
      </c>
      <c r="BC346">
        <v>1996</v>
      </c>
      <c r="BD346" t="s">
        <v>74</v>
      </c>
      <c r="BE346" t="s">
        <v>7185</v>
      </c>
      <c r="BF346" t="str">
        <f>HYPERLINK("http://dx.doi.org/10.5194/cp-18-1983-2022","http://dx.doi.org/10.5194/cp-18-1983-2022")</f>
        <v>http://dx.doi.org/10.5194/cp-18-1983-2022</v>
      </c>
      <c r="BG346" t="s">
        <v>74</v>
      </c>
      <c r="BH346" t="s">
        <v>74</v>
      </c>
      <c r="BI346">
        <v>14</v>
      </c>
      <c r="BJ346" t="s">
        <v>3373</v>
      </c>
      <c r="BK346" t="s">
        <v>100</v>
      </c>
      <c r="BL346" t="s">
        <v>3374</v>
      </c>
      <c r="BM346" t="s">
        <v>7186</v>
      </c>
      <c r="BN346" t="s">
        <v>74</v>
      </c>
      <c r="BO346" t="s">
        <v>1195</v>
      </c>
      <c r="BP346" t="s">
        <v>74</v>
      </c>
      <c r="BQ346" t="s">
        <v>74</v>
      </c>
      <c r="BR346" t="s">
        <v>103</v>
      </c>
      <c r="BS346" t="s">
        <v>7187</v>
      </c>
      <c r="BT346" t="str">
        <f>HYPERLINK("https%3A%2F%2Fwww.webofscience.com%2Fwos%2Fwoscc%2Ffull-record%2FWOS:000848209200001","View Full Record in Web of Science")</f>
        <v>View Full Record in Web of Science</v>
      </c>
    </row>
    <row r="347" spans="1:72" x14ac:dyDescent="0.15">
      <c r="A347" t="s">
        <v>72</v>
      </c>
      <c r="B347" t="s">
        <v>7188</v>
      </c>
      <c r="C347" t="s">
        <v>74</v>
      </c>
      <c r="D347" t="s">
        <v>74</v>
      </c>
      <c r="E347" t="s">
        <v>74</v>
      </c>
      <c r="F347" t="s">
        <v>7189</v>
      </c>
      <c r="G347" t="s">
        <v>74</v>
      </c>
      <c r="H347" t="s">
        <v>74</v>
      </c>
      <c r="I347" t="s">
        <v>7190</v>
      </c>
      <c r="J347" t="s">
        <v>5518</v>
      </c>
      <c r="K347" t="s">
        <v>74</v>
      </c>
      <c r="L347" t="s">
        <v>74</v>
      </c>
      <c r="M347" t="s">
        <v>78</v>
      </c>
      <c r="N347" t="s">
        <v>1346</v>
      </c>
      <c r="O347" t="s">
        <v>74</v>
      </c>
      <c r="P347" t="s">
        <v>74</v>
      </c>
      <c r="Q347" t="s">
        <v>74</v>
      </c>
      <c r="R347" t="s">
        <v>74</v>
      </c>
      <c r="S347" t="s">
        <v>74</v>
      </c>
      <c r="T347" t="s">
        <v>74</v>
      </c>
      <c r="U347" t="s">
        <v>74</v>
      </c>
      <c r="V347" t="s">
        <v>74</v>
      </c>
      <c r="W347" t="s">
        <v>7191</v>
      </c>
      <c r="X347" t="s">
        <v>856</v>
      </c>
      <c r="Y347" t="s">
        <v>7192</v>
      </c>
      <c r="Z347" t="s">
        <v>74</v>
      </c>
      <c r="AA347" t="s">
        <v>74</v>
      </c>
      <c r="AB347" t="s">
        <v>7193</v>
      </c>
      <c r="AC347" t="s">
        <v>74</v>
      </c>
      <c r="AD347" t="s">
        <v>74</v>
      </c>
      <c r="AE347" t="s">
        <v>74</v>
      </c>
      <c r="AF347" t="s">
        <v>74</v>
      </c>
      <c r="AG347">
        <v>0</v>
      </c>
      <c r="AH347">
        <v>0</v>
      </c>
      <c r="AI347">
        <v>0</v>
      </c>
      <c r="AJ347">
        <v>0</v>
      </c>
      <c r="AK347">
        <v>0</v>
      </c>
      <c r="AL347" t="s">
        <v>231</v>
      </c>
      <c r="AM347" t="s">
        <v>232</v>
      </c>
      <c r="AN347" t="s">
        <v>233</v>
      </c>
      <c r="AO347" t="s">
        <v>5530</v>
      </c>
      <c r="AP347" t="s">
        <v>5531</v>
      </c>
      <c r="AQ347" t="s">
        <v>74</v>
      </c>
      <c r="AR347" t="s">
        <v>5532</v>
      </c>
      <c r="AS347" t="s">
        <v>5533</v>
      </c>
      <c r="AT347" t="s">
        <v>3605</v>
      </c>
      <c r="AU347">
        <v>2022</v>
      </c>
      <c r="AV347">
        <v>20</v>
      </c>
      <c r="AW347">
        <v>7</v>
      </c>
      <c r="AX347" t="s">
        <v>74</v>
      </c>
      <c r="AY347" t="s">
        <v>74</v>
      </c>
      <c r="AZ347" t="s">
        <v>74</v>
      </c>
      <c r="BA347" t="s">
        <v>74</v>
      </c>
      <c r="BB347">
        <v>404</v>
      </c>
      <c r="BC347">
        <v>404</v>
      </c>
      <c r="BD347" t="s">
        <v>74</v>
      </c>
      <c r="BE347" t="s">
        <v>7194</v>
      </c>
      <c r="BF347" t="str">
        <f>HYPERLINK("http://dx.doi.org/10.1002/fee.2555","http://dx.doi.org/10.1002/fee.2555")</f>
        <v>http://dx.doi.org/10.1002/fee.2555</v>
      </c>
      <c r="BG347" t="s">
        <v>74</v>
      </c>
      <c r="BH347" t="s">
        <v>74</v>
      </c>
      <c r="BI347">
        <v>1</v>
      </c>
      <c r="BJ347" t="s">
        <v>2442</v>
      </c>
      <c r="BK347" t="s">
        <v>100</v>
      </c>
      <c r="BL347" t="s">
        <v>2041</v>
      </c>
      <c r="BM347" t="s">
        <v>7195</v>
      </c>
      <c r="BN347" t="s">
        <v>74</v>
      </c>
      <c r="BO347" t="s">
        <v>404</v>
      </c>
      <c r="BP347" t="s">
        <v>74</v>
      </c>
      <c r="BQ347" t="s">
        <v>74</v>
      </c>
      <c r="BR347" t="s">
        <v>103</v>
      </c>
      <c r="BS347" t="s">
        <v>7196</v>
      </c>
      <c r="BT347" t="str">
        <f>HYPERLINK("https%3A%2F%2Fwww.webofscience.com%2Fwos%2Fwoscc%2Ffull-record%2FWOS:000848040100007","View Full Record in Web of Science")</f>
        <v>View Full Record in Web of Science</v>
      </c>
    </row>
    <row r="348" spans="1:72" x14ac:dyDescent="0.15">
      <c r="A348" t="s">
        <v>72</v>
      </c>
      <c r="B348" t="s">
        <v>7197</v>
      </c>
      <c r="C348" t="s">
        <v>74</v>
      </c>
      <c r="D348" t="s">
        <v>74</v>
      </c>
      <c r="E348" t="s">
        <v>74</v>
      </c>
      <c r="F348" t="s">
        <v>7198</v>
      </c>
      <c r="G348" t="s">
        <v>74</v>
      </c>
      <c r="H348" t="s">
        <v>74</v>
      </c>
      <c r="I348" t="s">
        <v>7199</v>
      </c>
      <c r="J348" t="s">
        <v>3380</v>
      </c>
      <c r="K348" t="s">
        <v>74</v>
      </c>
      <c r="L348" t="s">
        <v>74</v>
      </c>
      <c r="M348" t="s">
        <v>78</v>
      </c>
      <c r="N348" t="s">
        <v>3981</v>
      </c>
      <c r="O348" t="s">
        <v>74</v>
      </c>
      <c r="P348" t="s">
        <v>74</v>
      </c>
      <c r="Q348" t="s">
        <v>74</v>
      </c>
      <c r="R348" t="s">
        <v>74</v>
      </c>
      <c r="S348" t="s">
        <v>74</v>
      </c>
      <c r="T348" t="s">
        <v>7200</v>
      </c>
      <c r="U348" t="s">
        <v>74</v>
      </c>
      <c r="V348" t="s">
        <v>7201</v>
      </c>
      <c r="W348" t="s">
        <v>74</v>
      </c>
      <c r="X348" t="s">
        <v>74</v>
      </c>
      <c r="Y348" t="s">
        <v>74</v>
      </c>
      <c r="Z348" t="s">
        <v>74</v>
      </c>
      <c r="AA348" t="s">
        <v>74</v>
      </c>
      <c r="AB348" t="s">
        <v>74</v>
      </c>
      <c r="AC348" t="s">
        <v>74</v>
      </c>
      <c r="AD348" t="s">
        <v>74</v>
      </c>
      <c r="AE348" t="s">
        <v>74</v>
      </c>
      <c r="AF348" t="s">
        <v>74</v>
      </c>
      <c r="AG348">
        <v>3</v>
      </c>
      <c r="AH348">
        <v>1</v>
      </c>
      <c r="AI348">
        <v>1</v>
      </c>
      <c r="AJ348">
        <v>2</v>
      </c>
      <c r="AK348">
        <v>11</v>
      </c>
      <c r="AL348" t="s">
        <v>149</v>
      </c>
      <c r="AM348" t="s">
        <v>150</v>
      </c>
      <c r="AN348" t="s">
        <v>151</v>
      </c>
      <c r="AO348" t="s">
        <v>3390</v>
      </c>
      <c r="AP348" t="s">
        <v>3391</v>
      </c>
      <c r="AQ348" t="s">
        <v>74</v>
      </c>
      <c r="AR348" t="s">
        <v>3380</v>
      </c>
      <c r="AS348" t="s">
        <v>3392</v>
      </c>
      <c r="AT348" t="s">
        <v>5933</v>
      </c>
      <c r="AU348">
        <v>2022</v>
      </c>
      <c r="AV348">
        <v>609</v>
      </c>
      <c r="AW348">
        <v>7925</v>
      </c>
      <c r="AX348" t="s">
        <v>74</v>
      </c>
      <c r="AY348" t="s">
        <v>74</v>
      </c>
      <c r="AZ348" t="s">
        <v>74</v>
      </c>
      <c r="BA348" t="s">
        <v>74</v>
      </c>
      <c r="BB348">
        <v>22</v>
      </c>
      <c r="BC348">
        <v>23</v>
      </c>
      <c r="BD348" t="s">
        <v>74</v>
      </c>
      <c r="BE348" t="s">
        <v>7202</v>
      </c>
      <c r="BF348" t="str">
        <f>HYPERLINK("http://dx.doi.org/10.1038/d41586-022-02129-5","http://dx.doi.org/10.1038/d41586-022-02129-5")</f>
        <v>http://dx.doi.org/10.1038/d41586-022-02129-5</v>
      </c>
      <c r="BG348" t="s">
        <v>74</v>
      </c>
      <c r="BH348" t="s">
        <v>74</v>
      </c>
      <c r="BI348">
        <v>2</v>
      </c>
      <c r="BJ348" t="s">
        <v>156</v>
      </c>
      <c r="BK348" t="s">
        <v>100</v>
      </c>
      <c r="BL348" t="s">
        <v>157</v>
      </c>
      <c r="BM348" t="s">
        <v>7203</v>
      </c>
      <c r="BN348">
        <v>35948685</v>
      </c>
      <c r="BO348" t="s">
        <v>404</v>
      </c>
      <c r="BP348" t="s">
        <v>74</v>
      </c>
      <c r="BQ348" t="s">
        <v>74</v>
      </c>
      <c r="BR348" t="s">
        <v>103</v>
      </c>
      <c r="BS348" t="s">
        <v>7204</v>
      </c>
      <c r="BT348" t="str">
        <f>HYPERLINK("https%3A%2F%2Fwww.webofscience.com%2Fwos%2Fwoscc%2Ffull-record%2FWOS:000847709400007","View Full Record in Web of Science")</f>
        <v>View Full Record in Web of Science</v>
      </c>
    </row>
    <row r="349" spans="1:72" x14ac:dyDescent="0.15">
      <c r="A349" t="s">
        <v>72</v>
      </c>
      <c r="B349" t="s">
        <v>7205</v>
      </c>
      <c r="C349" t="s">
        <v>74</v>
      </c>
      <c r="D349" t="s">
        <v>74</v>
      </c>
      <c r="E349" t="s">
        <v>74</v>
      </c>
      <c r="F349" t="s">
        <v>7206</v>
      </c>
      <c r="G349" t="s">
        <v>74</v>
      </c>
      <c r="H349" t="s">
        <v>74</v>
      </c>
      <c r="I349" t="s">
        <v>7207</v>
      </c>
      <c r="J349" t="s">
        <v>2473</v>
      </c>
      <c r="K349" t="s">
        <v>74</v>
      </c>
      <c r="L349" t="s">
        <v>74</v>
      </c>
      <c r="M349" t="s">
        <v>78</v>
      </c>
      <c r="N349" t="s">
        <v>79</v>
      </c>
      <c r="O349" t="s">
        <v>74</v>
      </c>
      <c r="P349" t="s">
        <v>74</v>
      </c>
      <c r="Q349" t="s">
        <v>74</v>
      </c>
      <c r="R349" t="s">
        <v>74</v>
      </c>
      <c r="S349" t="s">
        <v>74</v>
      </c>
      <c r="T349" t="s">
        <v>74</v>
      </c>
      <c r="U349" t="s">
        <v>7208</v>
      </c>
      <c r="V349" t="s">
        <v>7209</v>
      </c>
      <c r="W349" t="s">
        <v>7210</v>
      </c>
      <c r="X349" t="s">
        <v>7211</v>
      </c>
      <c r="Y349" t="s">
        <v>7212</v>
      </c>
      <c r="Z349" t="s">
        <v>7213</v>
      </c>
      <c r="AA349" t="s">
        <v>7214</v>
      </c>
      <c r="AB349" t="s">
        <v>7215</v>
      </c>
      <c r="AC349" t="s">
        <v>7216</v>
      </c>
      <c r="AD349" t="s">
        <v>7217</v>
      </c>
      <c r="AE349" t="s">
        <v>7218</v>
      </c>
      <c r="AF349" t="s">
        <v>74</v>
      </c>
      <c r="AG349">
        <v>62</v>
      </c>
      <c r="AH349">
        <v>4</v>
      </c>
      <c r="AI349">
        <v>4</v>
      </c>
      <c r="AJ349">
        <v>2</v>
      </c>
      <c r="AK349">
        <v>5</v>
      </c>
      <c r="AL349" t="s">
        <v>2460</v>
      </c>
      <c r="AM349" t="s">
        <v>2461</v>
      </c>
      <c r="AN349" t="s">
        <v>2462</v>
      </c>
      <c r="AO349" t="s">
        <v>2485</v>
      </c>
      <c r="AP349" t="s">
        <v>2486</v>
      </c>
      <c r="AQ349" t="s">
        <v>74</v>
      </c>
      <c r="AR349" t="s">
        <v>2473</v>
      </c>
      <c r="AS349" t="s">
        <v>2487</v>
      </c>
      <c r="AT349" t="s">
        <v>5933</v>
      </c>
      <c r="AU349">
        <v>2022</v>
      </c>
      <c r="AV349">
        <v>16</v>
      </c>
      <c r="AW349">
        <v>9</v>
      </c>
      <c r="AX349" t="s">
        <v>74</v>
      </c>
      <c r="AY349" t="s">
        <v>74</v>
      </c>
      <c r="AZ349" t="s">
        <v>74</v>
      </c>
      <c r="BA349" t="s">
        <v>74</v>
      </c>
      <c r="BB349">
        <v>3451</v>
      </c>
      <c r="BC349">
        <v>3468</v>
      </c>
      <c r="BD349" t="s">
        <v>74</v>
      </c>
      <c r="BE349" t="s">
        <v>7219</v>
      </c>
      <c r="BF349" t="str">
        <f>HYPERLINK("http://dx.doi.org/10.5194/tc-16-3451-2022","http://dx.doi.org/10.5194/tc-16-3451-2022")</f>
        <v>http://dx.doi.org/10.5194/tc-16-3451-2022</v>
      </c>
      <c r="BG349" t="s">
        <v>74</v>
      </c>
      <c r="BH349" t="s">
        <v>74</v>
      </c>
      <c r="BI349">
        <v>18</v>
      </c>
      <c r="BJ349" t="s">
        <v>354</v>
      </c>
      <c r="BK349" t="s">
        <v>100</v>
      </c>
      <c r="BL349" t="s">
        <v>241</v>
      </c>
      <c r="BM349" t="s">
        <v>7220</v>
      </c>
      <c r="BN349" t="s">
        <v>74</v>
      </c>
      <c r="BO349" t="s">
        <v>1195</v>
      </c>
      <c r="BP349" t="s">
        <v>74</v>
      </c>
      <c r="BQ349" t="s">
        <v>74</v>
      </c>
      <c r="BR349" t="s">
        <v>103</v>
      </c>
      <c r="BS349" t="s">
        <v>7221</v>
      </c>
      <c r="BT349" t="str">
        <f>HYPERLINK("https%3A%2F%2Fwww.webofscience.com%2Fwos%2Fwoscc%2Ffull-record%2FWOS:000848187800001","View Full Record in Web of Science")</f>
        <v>View Full Record in Web of Science</v>
      </c>
    </row>
    <row r="350" spans="1:72" x14ac:dyDescent="0.15">
      <c r="A350" t="s">
        <v>72</v>
      </c>
      <c r="B350" t="s">
        <v>7222</v>
      </c>
      <c r="C350" t="s">
        <v>74</v>
      </c>
      <c r="D350" t="s">
        <v>74</v>
      </c>
      <c r="E350" t="s">
        <v>74</v>
      </c>
      <c r="F350" t="s">
        <v>7223</v>
      </c>
      <c r="G350" t="s">
        <v>74</v>
      </c>
      <c r="H350" t="s">
        <v>74</v>
      </c>
      <c r="I350" t="s">
        <v>7224</v>
      </c>
      <c r="J350" t="s">
        <v>6840</v>
      </c>
      <c r="K350" t="s">
        <v>74</v>
      </c>
      <c r="L350" t="s">
        <v>74</v>
      </c>
      <c r="M350" t="s">
        <v>78</v>
      </c>
      <c r="N350" t="s">
        <v>79</v>
      </c>
      <c r="O350" t="s">
        <v>74</v>
      </c>
      <c r="P350" t="s">
        <v>74</v>
      </c>
      <c r="Q350" t="s">
        <v>74</v>
      </c>
      <c r="R350" t="s">
        <v>74</v>
      </c>
      <c r="S350" t="s">
        <v>74</v>
      </c>
      <c r="T350" t="s">
        <v>7225</v>
      </c>
      <c r="U350" t="s">
        <v>7226</v>
      </c>
      <c r="V350" t="s">
        <v>7227</v>
      </c>
      <c r="W350" t="s">
        <v>7228</v>
      </c>
      <c r="X350" t="s">
        <v>7229</v>
      </c>
      <c r="Y350" t="s">
        <v>7230</v>
      </c>
      <c r="Z350" t="s">
        <v>7231</v>
      </c>
      <c r="AA350" t="s">
        <v>7232</v>
      </c>
      <c r="AB350" t="s">
        <v>74</v>
      </c>
      <c r="AC350" t="s">
        <v>7233</v>
      </c>
      <c r="AD350" t="s">
        <v>7234</v>
      </c>
      <c r="AE350" t="s">
        <v>7235</v>
      </c>
      <c r="AF350" t="s">
        <v>74</v>
      </c>
      <c r="AG350">
        <v>42</v>
      </c>
      <c r="AH350">
        <v>0</v>
      </c>
      <c r="AI350">
        <v>1</v>
      </c>
      <c r="AJ350">
        <v>4</v>
      </c>
      <c r="AK350">
        <v>17</v>
      </c>
      <c r="AL350" t="s">
        <v>1626</v>
      </c>
      <c r="AM350" t="s">
        <v>1627</v>
      </c>
      <c r="AN350" t="s">
        <v>1628</v>
      </c>
      <c r="AO350" t="s">
        <v>6853</v>
      </c>
      <c r="AP350" t="s">
        <v>74</v>
      </c>
      <c r="AQ350" t="s">
        <v>74</v>
      </c>
      <c r="AR350" t="s">
        <v>6854</v>
      </c>
      <c r="AS350" t="s">
        <v>6855</v>
      </c>
      <c r="AT350" t="s">
        <v>5933</v>
      </c>
      <c r="AU350">
        <v>2022</v>
      </c>
      <c r="AV350">
        <v>17</v>
      </c>
      <c r="AW350">
        <v>9</v>
      </c>
      <c r="AX350" t="s">
        <v>74</v>
      </c>
      <c r="AY350" t="s">
        <v>74</v>
      </c>
      <c r="AZ350" t="s">
        <v>74</v>
      </c>
      <c r="BA350" t="s">
        <v>74</v>
      </c>
      <c r="BB350" t="s">
        <v>74</v>
      </c>
      <c r="BC350" t="s">
        <v>74</v>
      </c>
      <c r="BD350">
        <v>94009</v>
      </c>
      <c r="BE350" t="s">
        <v>7236</v>
      </c>
      <c r="BF350" t="str">
        <f>HYPERLINK("http://dx.doi.org/10.1088/1748-9326/ac8821","http://dx.doi.org/10.1088/1748-9326/ac8821")</f>
        <v>http://dx.doi.org/10.1088/1748-9326/ac8821</v>
      </c>
      <c r="BG350" t="s">
        <v>74</v>
      </c>
      <c r="BH350" t="s">
        <v>74</v>
      </c>
      <c r="BI350">
        <v>10</v>
      </c>
      <c r="BJ350" t="s">
        <v>1129</v>
      </c>
      <c r="BK350" t="s">
        <v>100</v>
      </c>
      <c r="BL350" t="s">
        <v>1130</v>
      </c>
      <c r="BM350" t="s">
        <v>7237</v>
      </c>
      <c r="BN350" t="s">
        <v>74</v>
      </c>
      <c r="BO350" t="s">
        <v>266</v>
      </c>
      <c r="BP350" t="s">
        <v>74</v>
      </c>
      <c r="BQ350" t="s">
        <v>74</v>
      </c>
      <c r="BR350" t="s">
        <v>103</v>
      </c>
      <c r="BS350" t="s">
        <v>7238</v>
      </c>
      <c r="BT350" t="str">
        <f>HYPERLINK("https%3A%2F%2Fwww.webofscience.com%2Fwos%2Fwoscc%2Ffull-record%2FWOS:000847149000001","View Full Record in Web of Science")</f>
        <v>View Full Record in Web of Science</v>
      </c>
    </row>
    <row r="351" spans="1:72" x14ac:dyDescent="0.15">
      <c r="A351" t="s">
        <v>72</v>
      </c>
      <c r="B351" t="s">
        <v>7239</v>
      </c>
      <c r="C351" t="s">
        <v>74</v>
      </c>
      <c r="D351" t="s">
        <v>74</v>
      </c>
      <c r="E351" t="s">
        <v>74</v>
      </c>
      <c r="F351" t="s">
        <v>7240</v>
      </c>
      <c r="G351" t="s">
        <v>74</v>
      </c>
      <c r="H351" t="s">
        <v>74</v>
      </c>
      <c r="I351" t="s">
        <v>7241</v>
      </c>
      <c r="J351" t="s">
        <v>7242</v>
      </c>
      <c r="K351" t="s">
        <v>74</v>
      </c>
      <c r="L351" t="s">
        <v>74</v>
      </c>
      <c r="M351" t="s">
        <v>78</v>
      </c>
      <c r="N351" t="s">
        <v>79</v>
      </c>
      <c r="O351" t="s">
        <v>74</v>
      </c>
      <c r="P351" t="s">
        <v>74</v>
      </c>
      <c r="Q351" t="s">
        <v>74</v>
      </c>
      <c r="R351" t="s">
        <v>74</v>
      </c>
      <c r="S351" t="s">
        <v>74</v>
      </c>
      <c r="T351" t="s">
        <v>7243</v>
      </c>
      <c r="U351" t="s">
        <v>7244</v>
      </c>
      <c r="V351" t="s">
        <v>7245</v>
      </c>
      <c r="W351" t="s">
        <v>7246</v>
      </c>
      <c r="X351" t="s">
        <v>7247</v>
      </c>
      <c r="Y351" t="s">
        <v>7248</v>
      </c>
      <c r="Z351" t="s">
        <v>7249</v>
      </c>
      <c r="AA351" t="s">
        <v>7250</v>
      </c>
      <c r="AB351" t="s">
        <v>7251</v>
      </c>
      <c r="AC351" t="s">
        <v>7252</v>
      </c>
      <c r="AD351" t="s">
        <v>7253</v>
      </c>
      <c r="AE351" t="s">
        <v>7254</v>
      </c>
      <c r="AF351" t="s">
        <v>74</v>
      </c>
      <c r="AG351">
        <v>86</v>
      </c>
      <c r="AH351">
        <v>2</v>
      </c>
      <c r="AI351">
        <v>2</v>
      </c>
      <c r="AJ351">
        <v>0</v>
      </c>
      <c r="AK351">
        <v>6</v>
      </c>
      <c r="AL351" t="s">
        <v>2391</v>
      </c>
      <c r="AM351" t="s">
        <v>2392</v>
      </c>
      <c r="AN351" t="s">
        <v>2393</v>
      </c>
      <c r="AO351" t="s">
        <v>7255</v>
      </c>
      <c r="AP351" t="s">
        <v>7256</v>
      </c>
      <c r="AQ351" t="s">
        <v>74</v>
      </c>
      <c r="AR351" t="s">
        <v>7257</v>
      </c>
      <c r="AS351" t="s">
        <v>7258</v>
      </c>
      <c r="AT351" t="s">
        <v>3605</v>
      </c>
      <c r="AU351">
        <v>2022</v>
      </c>
      <c r="AV351">
        <v>169</v>
      </c>
      <c r="AW351">
        <v>9</v>
      </c>
      <c r="AX351" t="s">
        <v>74</v>
      </c>
      <c r="AY351" t="s">
        <v>74</v>
      </c>
      <c r="AZ351" t="s">
        <v>74</v>
      </c>
      <c r="BA351" t="s">
        <v>74</v>
      </c>
      <c r="BB351" t="s">
        <v>74</v>
      </c>
      <c r="BC351" t="s">
        <v>74</v>
      </c>
      <c r="BD351">
        <v>116</v>
      </c>
      <c r="BE351" t="s">
        <v>7259</v>
      </c>
      <c r="BF351" t="str">
        <f>HYPERLINK("http://dx.doi.org/10.1007/s00227-022-04100-4","http://dx.doi.org/10.1007/s00227-022-04100-4")</f>
        <v>http://dx.doi.org/10.1007/s00227-022-04100-4</v>
      </c>
      <c r="BG351" t="s">
        <v>74</v>
      </c>
      <c r="BH351" t="s">
        <v>74</v>
      </c>
      <c r="BI351">
        <v>12</v>
      </c>
      <c r="BJ351" t="s">
        <v>188</v>
      </c>
      <c r="BK351" t="s">
        <v>100</v>
      </c>
      <c r="BL351" t="s">
        <v>188</v>
      </c>
      <c r="BM351" t="s">
        <v>7260</v>
      </c>
      <c r="BN351" t="s">
        <v>74</v>
      </c>
      <c r="BO351" t="s">
        <v>74</v>
      </c>
      <c r="BP351" t="s">
        <v>74</v>
      </c>
      <c r="BQ351" t="s">
        <v>74</v>
      </c>
      <c r="BR351" t="s">
        <v>103</v>
      </c>
      <c r="BS351" t="s">
        <v>7261</v>
      </c>
      <c r="BT351" t="str">
        <f>HYPERLINK("https%3A%2F%2Fwww.webofscience.com%2Fwos%2Fwoscc%2Ffull-record%2FWOS:000847674800001","View Full Record in Web of Science")</f>
        <v>View Full Record in Web of Science</v>
      </c>
    </row>
    <row r="352" spans="1:72" x14ac:dyDescent="0.15">
      <c r="A352" t="s">
        <v>72</v>
      </c>
      <c r="B352" t="s">
        <v>7262</v>
      </c>
      <c r="C352" t="s">
        <v>74</v>
      </c>
      <c r="D352" t="s">
        <v>74</v>
      </c>
      <c r="E352" t="s">
        <v>74</v>
      </c>
      <c r="F352" t="s">
        <v>7263</v>
      </c>
      <c r="G352" t="s">
        <v>74</v>
      </c>
      <c r="H352" t="s">
        <v>74</v>
      </c>
      <c r="I352" t="s">
        <v>7264</v>
      </c>
      <c r="J352" t="s">
        <v>7265</v>
      </c>
      <c r="K352" t="s">
        <v>74</v>
      </c>
      <c r="L352" t="s">
        <v>74</v>
      </c>
      <c r="M352" t="s">
        <v>78</v>
      </c>
      <c r="N352" t="s">
        <v>79</v>
      </c>
      <c r="O352" t="s">
        <v>74</v>
      </c>
      <c r="P352" t="s">
        <v>74</v>
      </c>
      <c r="Q352" t="s">
        <v>74</v>
      </c>
      <c r="R352" t="s">
        <v>74</v>
      </c>
      <c r="S352" t="s">
        <v>74</v>
      </c>
      <c r="T352" t="s">
        <v>7266</v>
      </c>
      <c r="U352" t="s">
        <v>7267</v>
      </c>
      <c r="V352" t="s">
        <v>7268</v>
      </c>
      <c r="W352" t="s">
        <v>7269</v>
      </c>
      <c r="X352" t="s">
        <v>7270</v>
      </c>
      <c r="Y352" t="s">
        <v>7271</v>
      </c>
      <c r="Z352" t="s">
        <v>7272</v>
      </c>
      <c r="AA352" t="s">
        <v>74</v>
      </c>
      <c r="AB352" t="s">
        <v>74</v>
      </c>
      <c r="AC352" t="s">
        <v>7273</v>
      </c>
      <c r="AD352" t="s">
        <v>7274</v>
      </c>
      <c r="AE352" t="s">
        <v>7275</v>
      </c>
      <c r="AF352" t="s">
        <v>74</v>
      </c>
      <c r="AG352">
        <v>50</v>
      </c>
      <c r="AH352">
        <v>0</v>
      </c>
      <c r="AI352">
        <v>0</v>
      </c>
      <c r="AJ352">
        <v>0</v>
      </c>
      <c r="AK352">
        <v>0</v>
      </c>
      <c r="AL352" t="s">
        <v>345</v>
      </c>
      <c r="AM352" t="s">
        <v>346</v>
      </c>
      <c r="AN352" t="s">
        <v>347</v>
      </c>
      <c r="AO352" t="s">
        <v>7276</v>
      </c>
      <c r="AP352" t="s">
        <v>7277</v>
      </c>
      <c r="AQ352" t="s">
        <v>74</v>
      </c>
      <c r="AR352" t="s">
        <v>7278</v>
      </c>
      <c r="AS352" t="s">
        <v>7279</v>
      </c>
      <c r="AT352" t="s">
        <v>3605</v>
      </c>
      <c r="AU352">
        <v>2022</v>
      </c>
      <c r="AV352">
        <v>63</v>
      </c>
      <c r="AW352" t="s">
        <v>7280</v>
      </c>
      <c r="AX352" t="s">
        <v>74</v>
      </c>
      <c r="AY352" t="s">
        <v>74</v>
      </c>
      <c r="AZ352" t="s">
        <v>74</v>
      </c>
      <c r="BA352" t="s">
        <v>74</v>
      </c>
      <c r="BB352">
        <v>137</v>
      </c>
      <c r="BC352">
        <v>142</v>
      </c>
      <c r="BD352" t="s">
        <v>74</v>
      </c>
      <c r="BE352" t="s">
        <v>7281</v>
      </c>
      <c r="BF352" t="str">
        <f>HYPERLINK("http://dx.doi.org/10.1017/aog.2023.34","http://dx.doi.org/10.1017/aog.2023.34")</f>
        <v>http://dx.doi.org/10.1017/aog.2023.34</v>
      </c>
      <c r="BG352" t="s">
        <v>74</v>
      </c>
      <c r="BH352" t="s">
        <v>74</v>
      </c>
      <c r="BI352">
        <v>6</v>
      </c>
      <c r="BJ352" t="s">
        <v>354</v>
      </c>
      <c r="BK352" t="s">
        <v>100</v>
      </c>
      <c r="BL352" t="s">
        <v>241</v>
      </c>
      <c r="BM352" t="s">
        <v>7282</v>
      </c>
      <c r="BN352" t="s">
        <v>74</v>
      </c>
      <c r="BO352" t="s">
        <v>266</v>
      </c>
      <c r="BP352" t="s">
        <v>74</v>
      </c>
      <c r="BQ352" t="s">
        <v>74</v>
      </c>
      <c r="BR352" t="s">
        <v>103</v>
      </c>
      <c r="BS352" t="s">
        <v>7283</v>
      </c>
      <c r="BT352" t="str">
        <f>HYPERLINK("https%3A%2F%2Fwww.webofscience.com%2Fwos%2Fwoscc%2Ffull-record%2FWOS:001085702100027","View Full Record in Web of Science")</f>
        <v>View Full Record in Web of Science</v>
      </c>
    </row>
    <row r="353" spans="1:72" x14ac:dyDescent="0.15">
      <c r="A353" t="s">
        <v>72</v>
      </c>
      <c r="B353" t="s">
        <v>7284</v>
      </c>
      <c r="C353" t="s">
        <v>74</v>
      </c>
      <c r="D353" t="s">
        <v>74</v>
      </c>
      <c r="E353" t="s">
        <v>74</v>
      </c>
      <c r="F353" t="s">
        <v>7285</v>
      </c>
      <c r="G353" t="s">
        <v>74</v>
      </c>
      <c r="H353" t="s">
        <v>74</v>
      </c>
      <c r="I353" t="s">
        <v>7286</v>
      </c>
      <c r="J353" t="s">
        <v>7265</v>
      </c>
      <c r="K353" t="s">
        <v>74</v>
      </c>
      <c r="L353" t="s">
        <v>74</v>
      </c>
      <c r="M353" t="s">
        <v>78</v>
      </c>
      <c r="N353" t="s">
        <v>79</v>
      </c>
      <c r="O353" t="s">
        <v>74</v>
      </c>
      <c r="P353" t="s">
        <v>74</v>
      </c>
      <c r="Q353" t="s">
        <v>74</v>
      </c>
      <c r="R353" t="s">
        <v>74</v>
      </c>
      <c r="S353" t="s">
        <v>74</v>
      </c>
      <c r="T353" t="s">
        <v>7287</v>
      </c>
      <c r="U353" t="s">
        <v>7288</v>
      </c>
      <c r="V353" t="s">
        <v>7289</v>
      </c>
      <c r="W353" t="s">
        <v>7290</v>
      </c>
      <c r="X353" t="s">
        <v>7291</v>
      </c>
      <c r="Y353" t="s">
        <v>7292</v>
      </c>
      <c r="Z353" t="s">
        <v>7293</v>
      </c>
      <c r="AA353" t="s">
        <v>7294</v>
      </c>
      <c r="AB353" t="s">
        <v>7295</v>
      </c>
      <c r="AC353" t="s">
        <v>7296</v>
      </c>
      <c r="AD353" t="s">
        <v>7297</v>
      </c>
      <c r="AE353" t="s">
        <v>7298</v>
      </c>
      <c r="AF353" t="s">
        <v>74</v>
      </c>
      <c r="AG353">
        <v>103</v>
      </c>
      <c r="AH353">
        <v>1</v>
      </c>
      <c r="AI353">
        <v>1</v>
      </c>
      <c r="AJ353">
        <v>2</v>
      </c>
      <c r="AK353">
        <v>2</v>
      </c>
      <c r="AL353" t="s">
        <v>345</v>
      </c>
      <c r="AM353" t="s">
        <v>346</v>
      </c>
      <c r="AN353" t="s">
        <v>347</v>
      </c>
      <c r="AO353" t="s">
        <v>7276</v>
      </c>
      <c r="AP353" t="s">
        <v>7277</v>
      </c>
      <c r="AQ353" t="s">
        <v>74</v>
      </c>
      <c r="AR353" t="s">
        <v>7278</v>
      </c>
      <c r="AS353" t="s">
        <v>7279</v>
      </c>
      <c r="AT353" t="s">
        <v>3605</v>
      </c>
      <c r="AU353">
        <v>2022</v>
      </c>
      <c r="AV353">
        <v>63</v>
      </c>
      <c r="AW353" t="s">
        <v>7280</v>
      </c>
      <c r="AX353" t="s">
        <v>74</v>
      </c>
      <c r="AY353" t="s">
        <v>74</v>
      </c>
      <c r="AZ353" t="s">
        <v>74</v>
      </c>
      <c r="BA353" t="s">
        <v>74</v>
      </c>
      <c r="BB353">
        <v>143</v>
      </c>
      <c r="BC353">
        <v>152</v>
      </c>
      <c r="BD353" t="s">
        <v>74</v>
      </c>
      <c r="BE353" t="s">
        <v>7299</v>
      </c>
      <c r="BF353" t="str">
        <f>HYPERLINK("http://dx.doi.org/10.1017/aog.2023.35","http://dx.doi.org/10.1017/aog.2023.35")</f>
        <v>http://dx.doi.org/10.1017/aog.2023.35</v>
      </c>
      <c r="BG353" t="s">
        <v>74</v>
      </c>
      <c r="BH353" t="s">
        <v>74</v>
      </c>
      <c r="BI353">
        <v>10</v>
      </c>
      <c r="BJ353" t="s">
        <v>354</v>
      </c>
      <c r="BK353" t="s">
        <v>100</v>
      </c>
      <c r="BL353" t="s">
        <v>241</v>
      </c>
      <c r="BM353" t="s">
        <v>7282</v>
      </c>
      <c r="BN353" t="s">
        <v>74</v>
      </c>
      <c r="BO353" t="s">
        <v>132</v>
      </c>
      <c r="BP353" t="s">
        <v>74</v>
      </c>
      <c r="BQ353" t="s">
        <v>74</v>
      </c>
      <c r="BR353" t="s">
        <v>103</v>
      </c>
      <c r="BS353" t="s">
        <v>7300</v>
      </c>
      <c r="BT353" t="str">
        <f>HYPERLINK("https%3A%2F%2Fwww.webofscience.com%2Fwos%2Fwoscc%2Ffull-record%2FWOS:001085702100028","View Full Record in Web of Science")</f>
        <v>View Full Record in Web of Science</v>
      </c>
    </row>
    <row r="354" spans="1:72" x14ac:dyDescent="0.15">
      <c r="A354" t="s">
        <v>72</v>
      </c>
      <c r="B354" t="s">
        <v>7301</v>
      </c>
      <c r="C354" t="s">
        <v>74</v>
      </c>
      <c r="D354" t="s">
        <v>74</v>
      </c>
      <c r="E354" t="s">
        <v>74</v>
      </c>
      <c r="F354" t="s">
        <v>7302</v>
      </c>
      <c r="G354" t="s">
        <v>74</v>
      </c>
      <c r="H354" t="s">
        <v>74</v>
      </c>
      <c r="I354" t="s">
        <v>7303</v>
      </c>
      <c r="J354" t="s">
        <v>7265</v>
      </c>
      <c r="K354" t="s">
        <v>74</v>
      </c>
      <c r="L354" t="s">
        <v>74</v>
      </c>
      <c r="M354" t="s">
        <v>78</v>
      </c>
      <c r="N354" t="s">
        <v>79</v>
      </c>
      <c r="O354" t="s">
        <v>74</v>
      </c>
      <c r="P354" t="s">
        <v>74</v>
      </c>
      <c r="Q354" t="s">
        <v>74</v>
      </c>
      <c r="R354" t="s">
        <v>74</v>
      </c>
      <c r="S354" t="s">
        <v>74</v>
      </c>
      <c r="T354" t="s">
        <v>7304</v>
      </c>
      <c r="U354" t="s">
        <v>7305</v>
      </c>
      <c r="V354" t="s">
        <v>7306</v>
      </c>
      <c r="W354" t="s">
        <v>7307</v>
      </c>
      <c r="X354" t="s">
        <v>7308</v>
      </c>
      <c r="Y354" t="s">
        <v>7309</v>
      </c>
      <c r="Z354" t="s">
        <v>7310</v>
      </c>
      <c r="AA354" t="s">
        <v>74</v>
      </c>
      <c r="AB354" t="s">
        <v>7311</v>
      </c>
      <c r="AC354" t="s">
        <v>7312</v>
      </c>
      <c r="AD354" t="s">
        <v>7313</v>
      </c>
      <c r="AE354" t="s">
        <v>7314</v>
      </c>
      <c r="AF354" t="s">
        <v>74</v>
      </c>
      <c r="AG354">
        <v>39</v>
      </c>
      <c r="AH354">
        <v>1</v>
      </c>
      <c r="AI354">
        <v>1</v>
      </c>
      <c r="AJ354">
        <v>2</v>
      </c>
      <c r="AK354">
        <v>2</v>
      </c>
      <c r="AL354" t="s">
        <v>345</v>
      </c>
      <c r="AM354" t="s">
        <v>346</v>
      </c>
      <c r="AN354" t="s">
        <v>347</v>
      </c>
      <c r="AO354" t="s">
        <v>7276</v>
      </c>
      <c r="AP354" t="s">
        <v>7277</v>
      </c>
      <c r="AQ354" t="s">
        <v>74</v>
      </c>
      <c r="AR354" t="s">
        <v>7278</v>
      </c>
      <c r="AS354" t="s">
        <v>7279</v>
      </c>
      <c r="AT354" t="s">
        <v>3605</v>
      </c>
      <c r="AU354">
        <v>2022</v>
      </c>
      <c r="AV354">
        <v>63</v>
      </c>
      <c r="AW354" t="s">
        <v>7280</v>
      </c>
      <c r="AX354" t="s">
        <v>74</v>
      </c>
      <c r="AY354" t="s">
        <v>74</v>
      </c>
      <c r="AZ354" t="s">
        <v>74</v>
      </c>
      <c r="BA354" t="s">
        <v>74</v>
      </c>
      <c r="BB354">
        <v>153</v>
      </c>
      <c r="BC354">
        <v>157</v>
      </c>
      <c r="BD354" t="s">
        <v>74</v>
      </c>
      <c r="BE354" t="s">
        <v>7315</v>
      </c>
      <c r="BF354" t="str">
        <f>HYPERLINK("http://dx.doi.org/10.1017/aog.2023.43","http://dx.doi.org/10.1017/aog.2023.43")</f>
        <v>http://dx.doi.org/10.1017/aog.2023.43</v>
      </c>
      <c r="BG354" t="s">
        <v>74</v>
      </c>
      <c r="BH354" t="s">
        <v>74</v>
      </c>
      <c r="BI354">
        <v>5</v>
      </c>
      <c r="BJ354" t="s">
        <v>354</v>
      </c>
      <c r="BK354" t="s">
        <v>100</v>
      </c>
      <c r="BL354" t="s">
        <v>241</v>
      </c>
      <c r="BM354" t="s">
        <v>7282</v>
      </c>
      <c r="BN354" t="s">
        <v>74</v>
      </c>
      <c r="BO354" t="s">
        <v>266</v>
      </c>
      <c r="BP354" t="s">
        <v>74</v>
      </c>
      <c r="BQ354" t="s">
        <v>74</v>
      </c>
      <c r="BR354" t="s">
        <v>103</v>
      </c>
      <c r="BS354" t="s">
        <v>7316</v>
      </c>
      <c r="BT354" t="str">
        <f>HYPERLINK("https%3A%2F%2Fwww.webofscience.com%2Fwos%2Fwoscc%2Ffull-record%2FWOS:001085702100029","View Full Record in Web of Science")</f>
        <v>View Full Record in Web of Science</v>
      </c>
    </row>
    <row r="355" spans="1:72" x14ac:dyDescent="0.15">
      <c r="A355" t="s">
        <v>72</v>
      </c>
      <c r="B355" t="s">
        <v>7317</v>
      </c>
      <c r="C355" t="s">
        <v>74</v>
      </c>
      <c r="D355" t="s">
        <v>74</v>
      </c>
      <c r="E355" t="s">
        <v>74</v>
      </c>
      <c r="F355" t="s">
        <v>7318</v>
      </c>
      <c r="G355" t="s">
        <v>74</v>
      </c>
      <c r="H355" t="s">
        <v>74</v>
      </c>
      <c r="I355" t="s">
        <v>7319</v>
      </c>
      <c r="J355" t="s">
        <v>7265</v>
      </c>
      <c r="K355" t="s">
        <v>74</v>
      </c>
      <c r="L355" t="s">
        <v>74</v>
      </c>
      <c r="M355" t="s">
        <v>78</v>
      </c>
      <c r="N355" t="s">
        <v>79</v>
      </c>
      <c r="O355" t="s">
        <v>74</v>
      </c>
      <c r="P355" t="s">
        <v>74</v>
      </c>
      <c r="Q355" t="s">
        <v>74</v>
      </c>
      <c r="R355" t="s">
        <v>74</v>
      </c>
      <c r="S355" t="s">
        <v>74</v>
      </c>
      <c r="T355" t="s">
        <v>7320</v>
      </c>
      <c r="U355" t="s">
        <v>7321</v>
      </c>
      <c r="V355" t="s">
        <v>7322</v>
      </c>
      <c r="W355" t="s">
        <v>7323</v>
      </c>
      <c r="X355" t="s">
        <v>7324</v>
      </c>
      <c r="Y355" t="s">
        <v>7325</v>
      </c>
      <c r="Z355" t="s">
        <v>7326</v>
      </c>
      <c r="AA355" t="s">
        <v>74</v>
      </c>
      <c r="AB355" t="s">
        <v>7327</v>
      </c>
      <c r="AC355" t="s">
        <v>7328</v>
      </c>
      <c r="AD355" t="s">
        <v>7328</v>
      </c>
      <c r="AE355" t="s">
        <v>7329</v>
      </c>
      <c r="AF355" t="s">
        <v>74</v>
      </c>
      <c r="AG355">
        <v>73</v>
      </c>
      <c r="AH355">
        <v>0</v>
      </c>
      <c r="AI355">
        <v>0</v>
      </c>
      <c r="AJ355">
        <v>0</v>
      </c>
      <c r="AK355">
        <v>0</v>
      </c>
      <c r="AL355" t="s">
        <v>345</v>
      </c>
      <c r="AM355" t="s">
        <v>346</v>
      </c>
      <c r="AN355" t="s">
        <v>347</v>
      </c>
      <c r="AO355" t="s">
        <v>7276</v>
      </c>
      <c r="AP355" t="s">
        <v>7277</v>
      </c>
      <c r="AQ355" t="s">
        <v>74</v>
      </c>
      <c r="AR355" t="s">
        <v>7278</v>
      </c>
      <c r="AS355" t="s">
        <v>7279</v>
      </c>
      <c r="AT355" t="s">
        <v>3605</v>
      </c>
      <c r="AU355">
        <v>2022</v>
      </c>
      <c r="AV355">
        <v>63</v>
      </c>
      <c r="AW355" t="s">
        <v>7280</v>
      </c>
      <c r="AX355" t="s">
        <v>74</v>
      </c>
      <c r="AY355" t="s">
        <v>74</v>
      </c>
      <c r="AZ355" t="s">
        <v>74</v>
      </c>
      <c r="BA355" t="s">
        <v>74</v>
      </c>
      <c r="BB355">
        <v>165</v>
      </c>
      <c r="BC355">
        <v>170</v>
      </c>
      <c r="BD355" t="s">
        <v>74</v>
      </c>
      <c r="BE355" t="s">
        <v>7330</v>
      </c>
      <c r="BF355" t="str">
        <f>HYPERLINK("http://dx.doi.org/10.1017/aog.2023.56","http://dx.doi.org/10.1017/aog.2023.56")</f>
        <v>http://dx.doi.org/10.1017/aog.2023.56</v>
      </c>
      <c r="BG355" t="s">
        <v>74</v>
      </c>
      <c r="BH355" t="s">
        <v>74</v>
      </c>
      <c r="BI355">
        <v>6</v>
      </c>
      <c r="BJ355" t="s">
        <v>354</v>
      </c>
      <c r="BK355" t="s">
        <v>100</v>
      </c>
      <c r="BL355" t="s">
        <v>241</v>
      </c>
      <c r="BM355" t="s">
        <v>7282</v>
      </c>
      <c r="BN355" t="s">
        <v>74</v>
      </c>
      <c r="BO355" t="s">
        <v>266</v>
      </c>
      <c r="BP355" t="s">
        <v>74</v>
      </c>
      <c r="BQ355" t="s">
        <v>74</v>
      </c>
      <c r="BR355" t="s">
        <v>103</v>
      </c>
      <c r="BS355" t="s">
        <v>7331</v>
      </c>
      <c r="BT355" t="str">
        <f>HYPERLINK("https%3A%2F%2Fwww.webofscience.com%2Fwos%2Fwoscc%2Ffull-record%2FWOS:001085702100031","View Full Record in Web of Science")</f>
        <v>View Full Record in Web of Science</v>
      </c>
    </row>
    <row r="356" spans="1:72" x14ac:dyDescent="0.15">
      <c r="A356" t="s">
        <v>72</v>
      </c>
      <c r="B356" t="s">
        <v>7332</v>
      </c>
      <c r="C356" t="s">
        <v>74</v>
      </c>
      <c r="D356" t="s">
        <v>74</v>
      </c>
      <c r="E356" t="s">
        <v>74</v>
      </c>
      <c r="F356" t="s">
        <v>7333</v>
      </c>
      <c r="G356" t="s">
        <v>74</v>
      </c>
      <c r="H356" t="s">
        <v>74</v>
      </c>
      <c r="I356" t="s">
        <v>7334</v>
      </c>
      <c r="J356" t="s">
        <v>7335</v>
      </c>
      <c r="K356" t="s">
        <v>74</v>
      </c>
      <c r="L356" t="s">
        <v>74</v>
      </c>
      <c r="M356" t="s">
        <v>78</v>
      </c>
      <c r="N356" t="s">
        <v>79</v>
      </c>
      <c r="O356" t="s">
        <v>74</v>
      </c>
      <c r="P356" t="s">
        <v>74</v>
      </c>
      <c r="Q356" t="s">
        <v>74</v>
      </c>
      <c r="R356" t="s">
        <v>74</v>
      </c>
      <c r="S356" t="s">
        <v>74</v>
      </c>
      <c r="T356" t="s">
        <v>7336</v>
      </c>
      <c r="U356" t="s">
        <v>7337</v>
      </c>
      <c r="V356" t="s">
        <v>7338</v>
      </c>
      <c r="W356" t="s">
        <v>7339</v>
      </c>
      <c r="X356" t="s">
        <v>7340</v>
      </c>
      <c r="Y356" t="s">
        <v>7341</v>
      </c>
      <c r="Z356" t="s">
        <v>74</v>
      </c>
      <c r="AA356" t="s">
        <v>7342</v>
      </c>
      <c r="AB356" t="s">
        <v>7343</v>
      </c>
      <c r="AC356" t="s">
        <v>7344</v>
      </c>
      <c r="AD356" t="s">
        <v>7345</v>
      </c>
      <c r="AE356" t="s">
        <v>7346</v>
      </c>
      <c r="AF356" t="s">
        <v>74</v>
      </c>
      <c r="AG356">
        <v>70</v>
      </c>
      <c r="AH356">
        <v>12</v>
      </c>
      <c r="AI356">
        <v>12</v>
      </c>
      <c r="AJ356">
        <v>105</v>
      </c>
      <c r="AK356">
        <v>364</v>
      </c>
      <c r="AL356" t="s">
        <v>89</v>
      </c>
      <c r="AM356" t="s">
        <v>90</v>
      </c>
      <c r="AN356" t="s">
        <v>91</v>
      </c>
      <c r="AO356" t="s">
        <v>7347</v>
      </c>
      <c r="AP356" t="s">
        <v>7348</v>
      </c>
      <c r="AQ356" t="s">
        <v>74</v>
      </c>
      <c r="AR356" t="s">
        <v>7335</v>
      </c>
      <c r="AS356" t="s">
        <v>7349</v>
      </c>
      <c r="AT356" t="s">
        <v>7350</v>
      </c>
      <c r="AU356">
        <v>2022</v>
      </c>
      <c r="AV356">
        <v>72</v>
      </c>
      <c r="AW356">
        <v>11</v>
      </c>
      <c r="AX356" t="s">
        <v>74</v>
      </c>
      <c r="AY356" t="s">
        <v>74</v>
      </c>
      <c r="AZ356" t="s">
        <v>74</v>
      </c>
      <c r="BA356" t="s">
        <v>74</v>
      </c>
      <c r="BB356">
        <v>1062</v>
      </c>
      <c r="BC356">
        <v>1073</v>
      </c>
      <c r="BD356" t="s">
        <v>74</v>
      </c>
      <c r="BE356" t="s">
        <v>7351</v>
      </c>
      <c r="BF356" t="str">
        <f>HYPERLINK("http://dx.doi.org/10.1093/biosci/biac074","http://dx.doi.org/10.1093/biosci/biac074")</f>
        <v>http://dx.doi.org/10.1093/biosci/biac074</v>
      </c>
      <c r="BG356" t="s">
        <v>74</v>
      </c>
      <c r="BH356" t="s">
        <v>2143</v>
      </c>
      <c r="BI356">
        <v>12</v>
      </c>
      <c r="BJ356" t="s">
        <v>760</v>
      </c>
      <c r="BK356" t="s">
        <v>100</v>
      </c>
      <c r="BL356" t="s">
        <v>761</v>
      </c>
      <c r="BM356" t="s">
        <v>7352</v>
      </c>
      <c r="BN356">
        <v>36506699</v>
      </c>
      <c r="BO356" t="s">
        <v>1341</v>
      </c>
      <c r="BP356" t="s">
        <v>74</v>
      </c>
      <c r="BQ356" t="s">
        <v>74</v>
      </c>
      <c r="BR356" t="s">
        <v>103</v>
      </c>
      <c r="BS356" t="s">
        <v>7353</v>
      </c>
      <c r="BT356" t="str">
        <f>HYPERLINK("https%3A%2F%2Fwww.webofscience.com%2Fwos%2Fwoscc%2Ffull-record%2FWOS:000848472700001","View Full Record in Web of Science")</f>
        <v>View Full Record in Web of Science</v>
      </c>
    </row>
    <row r="357" spans="1:72" x14ac:dyDescent="0.15">
      <c r="A357" t="s">
        <v>72</v>
      </c>
      <c r="B357" t="s">
        <v>7354</v>
      </c>
      <c r="C357" t="s">
        <v>74</v>
      </c>
      <c r="D357" t="s">
        <v>74</v>
      </c>
      <c r="E357" t="s">
        <v>74</v>
      </c>
      <c r="F357" t="s">
        <v>7355</v>
      </c>
      <c r="G357" t="s">
        <v>74</v>
      </c>
      <c r="H357" t="s">
        <v>74</v>
      </c>
      <c r="I357" t="s">
        <v>7356</v>
      </c>
      <c r="J357" t="s">
        <v>7357</v>
      </c>
      <c r="K357" t="s">
        <v>74</v>
      </c>
      <c r="L357" t="s">
        <v>74</v>
      </c>
      <c r="M357" t="s">
        <v>78</v>
      </c>
      <c r="N357" t="s">
        <v>79</v>
      </c>
      <c r="O357" t="s">
        <v>74</v>
      </c>
      <c r="P357" t="s">
        <v>74</v>
      </c>
      <c r="Q357" t="s">
        <v>74</v>
      </c>
      <c r="R357" t="s">
        <v>74</v>
      </c>
      <c r="S357" t="s">
        <v>74</v>
      </c>
      <c r="T357" t="s">
        <v>7358</v>
      </c>
      <c r="U357" t="s">
        <v>7359</v>
      </c>
      <c r="V357" t="s">
        <v>7360</v>
      </c>
      <c r="W357" t="s">
        <v>7361</v>
      </c>
      <c r="X357" t="s">
        <v>7362</v>
      </c>
      <c r="Y357" t="s">
        <v>7363</v>
      </c>
      <c r="Z357" t="s">
        <v>7364</v>
      </c>
      <c r="AA357" t="s">
        <v>74</v>
      </c>
      <c r="AB357" t="s">
        <v>7365</v>
      </c>
      <c r="AC357" t="s">
        <v>74</v>
      </c>
      <c r="AD357" t="s">
        <v>74</v>
      </c>
      <c r="AE357" t="s">
        <v>74</v>
      </c>
      <c r="AF357" t="s">
        <v>74</v>
      </c>
      <c r="AG357">
        <v>26</v>
      </c>
      <c r="AH357">
        <v>4</v>
      </c>
      <c r="AI357">
        <v>4</v>
      </c>
      <c r="AJ357">
        <v>2</v>
      </c>
      <c r="AK357">
        <v>2</v>
      </c>
      <c r="AL357" t="s">
        <v>501</v>
      </c>
      <c r="AM357" t="s">
        <v>502</v>
      </c>
      <c r="AN357" t="s">
        <v>503</v>
      </c>
      <c r="AO357" t="s">
        <v>7366</v>
      </c>
      <c r="AP357" t="s">
        <v>74</v>
      </c>
      <c r="AQ357" t="s">
        <v>74</v>
      </c>
      <c r="AR357" t="s">
        <v>7367</v>
      </c>
      <c r="AS357" t="s">
        <v>7368</v>
      </c>
      <c r="AT357" t="s">
        <v>3605</v>
      </c>
      <c r="AU357">
        <v>2022</v>
      </c>
      <c r="AV357">
        <v>4</v>
      </c>
      <c r="AW357" t="s">
        <v>74</v>
      </c>
      <c r="AX357" t="s">
        <v>74</v>
      </c>
      <c r="AY357" t="s">
        <v>74</v>
      </c>
      <c r="AZ357" t="s">
        <v>74</v>
      </c>
      <c r="BA357" t="s">
        <v>74</v>
      </c>
      <c r="BB357" t="s">
        <v>74</v>
      </c>
      <c r="BC357" t="s">
        <v>74</v>
      </c>
      <c r="BD357">
        <v>100063</v>
      </c>
      <c r="BE357" t="s">
        <v>7369</v>
      </c>
      <c r="BF357" t="str">
        <f>HYPERLINK("http://dx.doi.org/10.1016/j.ccst.2022.100063","http://dx.doi.org/10.1016/j.ccst.2022.100063")</f>
        <v>http://dx.doi.org/10.1016/j.ccst.2022.100063</v>
      </c>
      <c r="BG357" t="s">
        <v>74</v>
      </c>
      <c r="BH357" t="s">
        <v>74</v>
      </c>
      <c r="BI357">
        <v>7</v>
      </c>
      <c r="BJ357" t="s">
        <v>7370</v>
      </c>
      <c r="BK357" t="s">
        <v>215</v>
      </c>
      <c r="BL357" t="s">
        <v>7371</v>
      </c>
      <c r="BM357" t="s">
        <v>7372</v>
      </c>
      <c r="BN357" t="s">
        <v>74</v>
      </c>
      <c r="BO357" t="s">
        <v>266</v>
      </c>
      <c r="BP357" t="s">
        <v>74</v>
      </c>
      <c r="BQ357" t="s">
        <v>74</v>
      </c>
      <c r="BR357" t="s">
        <v>103</v>
      </c>
      <c r="BS357" t="s">
        <v>7373</v>
      </c>
      <c r="BT357" t="str">
        <f>HYPERLINK("https%3A%2F%2Fwww.webofscience.com%2Fwos%2Fwoscc%2Ffull-record%2FWOS:001059683800002","View Full Record in Web of Science")</f>
        <v>View Full Record in Web of Science</v>
      </c>
    </row>
    <row r="358" spans="1:72" x14ac:dyDescent="0.15">
      <c r="A358" t="s">
        <v>72</v>
      </c>
      <c r="B358" t="s">
        <v>7374</v>
      </c>
      <c r="C358" t="s">
        <v>74</v>
      </c>
      <c r="D358" t="s">
        <v>74</v>
      </c>
      <c r="E358" t="s">
        <v>74</v>
      </c>
      <c r="F358" t="s">
        <v>7375</v>
      </c>
      <c r="G358" t="s">
        <v>74</v>
      </c>
      <c r="H358" t="s">
        <v>74</v>
      </c>
      <c r="I358" t="s">
        <v>7376</v>
      </c>
      <c r="J358" t="s">
        <v>7377</v>
      </c>
      <c r="K358" t="s">
        <v>74</v>
      </c>
      <c r="L358" t="s">
        <v>74</v>
      </c>
      <c r="M358" t="s">
        <v>78</v>
      </c>
      <c r="N358" t="s">
        <v>79</v>
      </c>
      <c r="O358" t="s">
        <v>74</v>
      </c>
      <c r="P358" t="s">
        <v>74</v>
      </c>
      <c r="Q358" t="s">
        <v>74</v>
      </c>
      <c r="R358" t="s">
        <v>74</v>
      </c>
      <c r="S358" t="s">
        <v>74</v>
      </c>
      <c r="T358" t="s">
        <v>7378</v>
      </c>
      <c r="U358" t="s">
        <v>7379</v>
      </c>
      <c r="V358" t="s">
        <v>7380</v>
      </c>
      <c r="W358" t="s">
        <v>7381</v>
      </c>
      <c r="X358" t="s">
        <v>7382</v>
      </c>
      <c r="Y358" t="s">
        <v>7383</v>
      </c>
      <c r="Z358" t="s">
        <v>7384</v>
      </c>
      <c r="AA358" t="s">
        <v>74</v>
      </c>
      <c r="AB358" t="s">
        <v>74</v>
      </c>
      <c r="AC358" t="s">
        <v>74</v>
      </c>
      <c r="AD358" t="s">
        <v>74</v>
      </c>
      <c r="AE358" t="s">
        <v>74</v>
      </c>
      <c r="AF358" t="s">
        <v>74</v>
      </c>
      <c r="AG358">
        <v>54</v>
      </c>
      <c r="AH358">
        <v>0</v>
      </c>
      <c r="AI358">
        <v>0</v>
      </c>
      <c r="AJ358">
        <v>0</v>
      </c>
      <c r="AK358">
        <v>0</v>
      </c>
      <c r="AL358" t="s">
        <v>7385</v>
      </c>
      <c r="AM358" t="s">
        <v>7386</v>
      </c>
      <c r="AN358" t="s">
        <v>7387</v>
      </c>
      <c r="AO358" t="s">
        <v>7388</v>
      </c>
      <c r="AP358" t="s">
        <v>74</v>
      </c>
      <c r="AQ358" t="s">
        <v>74</v>
      </c>
      <c r="AR358" t="s">
        <v>7377</v>
      </c>
      <c r="AS358" t="s">
        <v>7389</v>
      </c>
      <c r="AT358" t="s">
        <v>7390</v>
      </c>
      <c r="AU358">
        <v>2022</v>
      </c>
      <c r="AV358">
        <v>31</v>
      </c>
      <c r="AW358">
        <v>3</v>
      </c>
      <c r="AX358" t="s">
        <v>74</v>
      </c>
      <c r="AY358" t="s">
        <v>74</v>
      </c>
      <c r="AZ358" t="s">
        <v>74</v>
      </c>
      <c r="BA358" t="s">
        <v>74</v>
      </c>
      <c r="BB358" t="s">
        <v>74</v>
      </c>
      <c r="BC358" t="s">
        <v>74</v>
      </c>
      <c r="BD358">
        <v>2385</v>
      </c>
      <c r="BE358" t="s">
        <v>7391</v>
      </c>
      <c r="BF358" t="str">
        <f>HYPERLINK("http://dx.doi.org/10.7818/ECOS.2385","http://dx.doi.org/10.7818/ECOS.2385")</f>
        <v>http://dx.doi.org/10.7818/ECOS.2385</v>
      </c>
      <c r="BG358" t="s">
        <v>74</v>
      </c>
      <c r="BH358" t="s">
        <v>74</v>
      </c>
      <c r="BI358">
        <v>11</v>
      </c>
      <c r="BJ358" t="s">
        <v>3900</v>
      </c>
      <c r="BK358" t="s">
        <v>215</v>
      </c>
      <c r="BL358" t="s">
        <v>2041</v>
      </c>
      <c r="BM358" t="s">
        <v>7392</v>
      </c>
      <c r="BN358" t="s">
        <v>74</v>
      </c>
      <c r="BO358" t="s">
        <v>266</v>
      </c>
      <c r="BP358" t="s">
        <v>74</v>
      </c>
      <c r="BQ358" t="s">
        <v>74</v>
      </c>
      <c r="BR358" t="s">
        <v>103</v>
      </c>
      <c r="BS358" t="s">
        <v>7393</v>
      </c>
      <c r="BT358" t="str">
        <f>HYPERLINK("https%3A%2F%2Fwww.webofscience.com%2Fwos%2Fwoscc%2Ffull-record%2FWOS:001150360600018","View Full Record in Web of Science")</f>
        <v>View Full Record in Web of Science</v>
      </c>
    </row>
    <row r="359" spans="1:72" x14ac:dyDescent="0.15">
      <c r="A359" t="s">
        <v>72</v>
      </c>
      <c r="B359" t="s">
        <v>7394</v>
      </c>
      <c r="C359" t="s">
        <v>74</v>
      </c>
      <c r="D359" t="s">
        <v>74</v>
      </c>
      <c r="E359" t="s">
        <v>74</v>
      </c>
      <c r="F359" t="s">
        <v>7395</v>
      </c>
      <c r="G359" t="s">
        <v>74</v>
      </c>
      <c r="H359" t="s">
        <v>74</v>
      </c>
      <c r="I359" t="s">
        <v>7396</v>
      </c>
      <c r="J359" t="s">
        <v>7377</v>
      </c>
      <c r="K359" t="s">
        <v>74</v>
      </c>
      <c r="L359" t="s">
        <v>74</v>
      </c>
      <c r="M359" t="s">
        <v>78</v>
      </c>
      <c r="N359" t="s">
        <v>79</v>
      </c>
      <c r="O359" t="s">
        <v>74</v>
      </c>
      <c r="P359" t="s">
        <v>74</v>
      </c>
      <c r="Q359" t="s">
        <v>74</v>
      </c>
      <c r="R359" t="s">
        <v>74</v>
      </c>
      <c r="S359" t="s">
        <v>74</v>
      </c>
      <c r="T359" t="s">
        <v>7397</v>
      </c>
      <c r="U359" t="s">
        <v>7398</v>
      </c>
      <c r="V359" t="s">
        <v>7399</v>
      </c>
      <c r="W359" t="s">
        <v>7400</v>
      </c>
      <c r="X359" t="s">
        <v>7401</v>
      </c>
      <c r="Y359" t="s">
        <v>7402</v>
      </c>
      <c r="Z359" t="s">
        <v>7384</v>
      </c>
      <c r="AA359" t="s">
        <v>74</v>
      </c>
      <c r="AB359" t="s">
        <v>74</v>
      </c>
      <c r="AC359" t="s">
        <v>74</v>
      </c>
      <c r="AD359" t="s">
        <v>74</v>
      </c>
      <c r="AE359" t="s">
        <v>74</v>
      </c>
      <c r="AF359" t="s">
        <v>74</v>
      </c>
      <c r="AG359">
        <v>37</v>
      </c>
      <c r="AH359">
        <v>0</v>
      </c>
      <c r="AI359">
        <v>0</v>
      </c>
      <c r="AJ359">
        <v>0</v>
      </c>
      <c r="AK359">
        <v>0</v>
      </c>
      <c r="AL359" t="s">
        <v>7385</v>
      </c>
      <c r="AM359" t="s">
        <v>7386</v>
      </c>
      <c r="AN359" t="s">
        <v>7387</v>
      </c>
      <c r="AO359" t="s">
        <v>7388</v>
      </c>
      <c r="AP359" t="s">
        <v>74</v>
      </c>
      <c r="AQ359" t="s">
        <v>74</v>
      </c>
      <c r="AR359" t="s">
        <v>7377</v>
      </c>
      <c r="AS359" t="s">
        <v>7389</v>
      </c>
      <c r="AT359" t="s">
        <v>7390</v>
      </c>
      <c r="AU359">
        <v>2022</v>
      </c>
      <c r="AV359">
        <v>31</v>
      </c>
      <c r="AW359">
        <v>3</v>
      </c>
      <c r="AX359" t="s">
        <v>74</v>
      </c>
      <c r="AY359" t="s">
        <v>74</v>
      </c>
      <c r="AZ359" t="s">
        <v>74</v>
      </c>
      <c r="BA359" t="s">
        <v>74</v>
      </c>
      <c r="BB359" t="s">
        <v>74</v>
      </c>
      <c r="BC359" t="s">
        <v>74</v>
      </c>
      <c r="BD359">
        <v>2410</v>
      </c>
      <c r="BE359" t="s">
        <v>7403</v>
      </c>
      <c r="BF359" t="str">
        <f>HYPERLINK("http://dx.doi.org/10.7818/ECOS.2410","http://dx.doi.org/10.7818/ECOS.2410")</f>
        <v>http://dx.doi.org/10.7818/ECOS.2410</v>
      </c>
      <c r="BG359" t="s">
        <v>74</v>
      </c>
      <c r="BH359" t="s">
        <v>74</v>
      </c>
      <c r="BI359">
        <v>7</v>
      </c>
      <c r="BJ359" t="s">
        <v>3900</v>
      </c>
      <c r="BK359" t="s">
        <v>215</v>
      </c>
      <c r="BL359" t="s">
        <v>2041</v>
      </c>
      <c r="BM359" t="s">
        <v>7392</v>
      </c>
      <c r="BN359" t="s">
        <v>74</v>
      </c>
      <c r="BO359" t="s">
        <v>266</v>
      </c>
      <c r="BP359" t="s">
        <v>74</v>
      </c>
      <c r="BQ359" t="s">
        <v>74</v>
      </c>
      <c r="BR359" t="s">
        <v>103</v>
      </c>
      <c r="BS359" t="s">
        <v>7404</v>
      </c>
      <c r="BT359" t="str">
        <f>HYPERLINK("https%3A%2F%2Fwww.webofscience.com%2Fwos%2Fwoscc%2Ffull-record%2FWOS:001150360600007","View Full Record in Web of Science")</f>
        <v>View Full Record in Web of Science</v>
      </c>
    </row>
    <row r="360" spans="1:72" x14ac:dyDescent="0.15">
      <c r="A360" t="s">
        <v>72</v>
      </c>
      <c r="B360" t="s">
        <v>7394</v>
      </c>
      <c r="C360" t="s">
        <v>74</v>
      </c>
      <c r="D360" t="s">
        <v>74</v>
      </c>
      <c r="E360" t="s">
        <v>74</v>
      </c>
      <c r="F360" t="s">
        <v>7405</v>
      </c>
      <c r="G360" t="s">
        <v>74</v>
      </c>
      <c r="H360" t="s">
        <v>74</v>
      </c>
      <c r="I360" t="s">
        <v>7396</v>
      </c>
      <c r="J360" t="s">
        <v>7377</v>
      </c>
      <c r="K360" t="s">
        <v>74</v>
      </c>
      <c r="L360" t="s">
        <v>74</v>
      </c>
      <c r="M360" t="s">
        <v>7406</v>
      </c>
      <c r="N360" t="s">
        <v>3357</v>
      </c>
      <c r="O360" t="s">
        <v>74</v>
      </c>
      <c r="P360" t="s">
        <v>74</v>
      </c>
      <c r="Q360" t="s">
        <v>74</v>
      </c>
      <c r="R360" t="s">
        <v>74</v>
      </c>
      <c r="S360" t="s">
        <v>74</v>
      </c>
      <c r="T360" t="s">
        <v>7397</v>
      </c>
      <c r="U360" t="s">
        <v>7407</v>
      </c>
      <c r="V360" t="s">
        <v>7408</v>
      </c>
      <c r="W360" t="s">
        <v>7409</v>
      </c>
      <c r="X360" t="s">
        <v>7401</v>
      </c>
      <c r="Y360" t="s">
        <v>7410</v>
      </c>
      <c r="Z360" t="s">
        <v>7384</v>
      </c>
      <c r="AA360" t="s">
        <v>74</v>
      </c>
      <c r="AB360" t="s">
        <v>74</v>
      </c>
      <c r="AC360" t="s">
        <v>74</v>
      </c>
      <c r="AD360" t="s">
        <v>74</v>
      </c>
      <c r="AE360" t="s">
        <v>74</v>
      </c>
      <c r="AF360" t="s">
        <v>74</v>
      </c>
      <c r="AG360">
        <v>53</v>
      </c>
      <c r="AH360">
        <v>0</v>
      </c>
      <c r="AI360">
        <v>0</v>
      </c>
      <c r="AJ360">
        <v>0</v>
      </c>
      <c r="AK360">
        <v>0</v>
      </c>
      <c r="AL360" t="s">
        <v>7385</v>
      </c>
      <c r="AM360" t="s">
        <v>7386</v>
      </c>
      <c r="AN360" t="s">
        <v>7387</v>
      </c>
      <c r="AO360" t="s">
        <v>7388</v>
      </c>
      <c r="AP360" t="s">
        <v>74</v>
      </c>
      <c r="AQ360" t="s">
        <v>74</v>
      </c>
      <c r="AR360" t="s">
        <v>7377</v>
      </c>
      <c r="AS360" t="s">
        <v>7389</v>
      </c>
      <c r="AT360" t="s">
        <v>7390</v>
      </c>
      <c r="AU360">
        <v>2022</v>
      </c>
      <c r="AV360">
        <v>31</v>
      </c>
      <c r="AW360">
        <v>3</v>
      </c>
      <c r="AX360" t="s">
        <v>74</v>
      </c>
      <c r="AY360" t="s">
        <v>74</v>
      </c>
      <c r="AZ360" t="s">
        <v>74</v>
      </c>
      <c r="BA360" t="s">
        <v>74</v>
      </c>
      <c r="BB360" t="s">
        <v>74</v>
      </c>
      <c r="BC360" t="s">
        <v>74</v>
      </c>
      <c r="BD360">
        <v>2410</v>
      </c>
      <c r="BE360" t="s">
        <v>7403</v>
      </c>
      <c r="BF360" t="str">
        <f>HYPERLINK("http://dx.doi.org/10.7818/ECOS.2410","http://dx.doi.org/10.7818/ECOS.2410")</f>
        <v>http://dx.doi.org/10.7818/ECOS.2410</v>
      </c>
      <c r="BG360" t="s">
        <v>74</v>
      </c>
      <c r="BH360" t="s">
        <v>74</v>
      </c>
      <c r="BI360">
        <v>7</v>
      </c>
      <c r="BJ360" t="s">
        <v>3900</v>
      </c>
      <c r="BK360" t="s">
        <v>215</v>
      </c>
      <c r="BL360" t="s">
        <v>2041</v>
      </c>
      <c r="BM360" t="s">
        <v>7411</v>
      </c>
      <c r="BN360" t="s">
        <v>74</v>
      </c>
      <c r="BO360" t="s">
        <v>266</v>
      </c>
      <c r="BP360" t="s">
        <v>74</v>
      </c>
      <c r="BQ360" t="s">
        <v>74</v>
      </c>
      <c r="BR360" t="s">
        <v>103</v>
      </c>
      <c r="BS360" t="s">
        <v>7412</v>
      </c>
      <c r="BT360" t="str">
        <f>HYPERLINK("https%3A%2F%2Fwww.webofscience.com%2Fwos%2Fwoscc%2Ffull-record%2FWOS:000965779900012","View Full Record in Web of Science")</f>
        <v>View Full Record in Web of Science</v>
      </c>
    </row>
    <row r="361" spans="1:72" x14ac:dyDescent="0.15">
      <c r="A361" t="s">
        <v>72</v>
      </c>
      <c r="B361" t="s">
        <v>7413</v>
      </c>
      <c r="C361" t="s">
        <v>74</v>
      </c>
      <c r="D361" t="s">
        <v>74</v>
      </c>
      <c r="E361" t="s">
        <v>74</v>
      </c>
      <c r="F361" t="s">
        <v>7414</v>
      </c>
      <c r="G361" t="s">
        <v>74</v>
      </c>
      <c r="H361" t="s">
        <v>74</v>
      </c>
      <c r="I361" t="s">
        <v>7376</v>
      </c>
      <c r="J361" t="s">
        <v>7377</v>
      </c>
      <c r="K361" t="s">
        <v>74</v>
      </c>
      <c r="L361" t="s">
        <v>74</v>
      </c>
      <c r="M361" t="s">
        <v>7406</v>
      </c>
      <c r="N361" t="s">
        <v>79</v>
      </c>
      <c r="O361" t="s">
        <v>74</v>
      </c>
      <c r="P361" t="s">
        <v>74</v>
      </c>
      <c r="Q361" t="s">
        <v>74</v>
      </c>
      <c r="R361" t="s">
        <v>74</v>
      </c>
      <c r="S361" t="s">
        <v>74</v>
      </c>
      <c r="T361" t="s">
        <v>7378</v>
      </c>
      <c r="U361" t="s">
        <v>7415</v>
      </c>
      <c r="V361" t="s">
        <v>7416</v>
      </c>
      <c r="W361" t="s">
        <v>7417</v>
      </c>
      <c r="X361" t="s">
        <v>7382</v>
      </c>
      <c r="Y361" t="s">
        <v>7418</v>
      </c>
      <c r="Z361" t="s">
        <v>7384</v>
      </c>
      <c r="AA361" t="s">
        <v>7419</v>
      </c>
      <c r="AB361" t="s">
        <v>7420</v>
      </c>
      <c r="AC361" t="s">
        <v>74</v>
      </c>
      <c r="AD361" t="s">
        <v>74</v>
      </c>
      <c r="AE361" t="s">
        <v>74</v>
      </c>
      <c r="AF361" t="s">
        <v>74</v>
      </c>
      <c r="AG361">
        <v>42</v>
      </c>
      <c r="AH361">
        <v>0</v>
      </c>
      <c r="AI361">
        <v>0</v>
      </c>
      <c r="AJ361">
        <v>1</v>
      </c>
      <c r="AK361">
        <v>1</v>
      </c>
      <c r="AL361" t="s">
        <v>7385</v>
      </c>
      <c r="AM361" t="s">
        <v>7386</v>
      </c>
      <c r="AN361" t="s">
        <v>7387</v>
      </c>
      <c r="AO361" t="s">
        <v>7388</v>
      </c>
      <c r="AP361" t="s">
        <v>74</v>
      </c>
      <c r="AQ361" t="s">
        <v>74</v>
      </c>
      <c r="AR361" t="s">
        <v>7377</v>
      </c>
      <c r="AS361" t="s">
        <v>7389</v>
      </c>
      <c r="AT361" t="s">
        <v>7390</v>
      </c>
      <c r="AU361">
        <v>2022</v>
      </c>
      <c r="AV361">
        <v>31</v>
      </c>
      <c r="AW361">
        <v>3</v>
      </c>
      <c r="AX361" t="s">
        <v>74</v>
      </c>
      <c r="AY361" t="s">
        <v>74</v>
      </c>
      <c r="AZ361" t="s">
        <v>74</v>
      </c>
      <c r="BA361" t="s">
        <v>74</v>
      </c>
      <c r="BB361" t="s">
        <v>74</v>
      </c>
      <c r="BC361" t="s">
        <v>74</v>
      </c>
      <c r="BD361">
        <v>2385</v>
      </c>
      <c r="BE361" t="s">
        <v>7391</v>
      </c>
      <c r="BF361" t="str">
        <f>HYPERLINK("http://dx.doi.org/10.7818/ECOS.2385","http://dx.doi.org/10.7818/ECOS.2385")</f>
        <v>http://dx.doi.org/10.7818/ECOS.2385</v>
      </c>
      <c r="BG361" t="s">
        <v>74</v>
      </c>
      <c r="BH361" t="s">
        <v>74</v>
      </c>
      <c r="BI361">
        <v>11</v>
      </c>
      <c r="BJ361" t="s">
        <v>3900</v>
      </c>
      <c r="BK361" t="s">
        <v>215</v>
      </c>
      <c r="BL361" t="s">
        <v>2041</v>
      </c>
      <c r="BM361" t="s">
        <v>7411</v>
      </c>
      <c r="BN361" t="s">
        <v>74</v>
      </c>
      <c r="BO361" t="s">
        <v>266</v>
      </c>
      <c r="BP361" t="s">
        <v>74</v>
      </c>
      <c r="BQ361" t="s">
        <v>74</v>
      </c>
      <c r="BR361" t="s">
        <v>103</v>
      </c>
      <c r="BS361" t="s">
        <v>7421</v>
      </c>
      <c r="BT361" t="str">
        <f>HYPERLINK("https%3A%2F%2Fwww.webofscience.com%2Fwos%2Fwoscc%2Ffull-record%2FWOS:000965779900007","View Full Record in Web of Science")</f>
        <v>View Full Record in Web of Science</v>
      </c>
    </row>
    <row r="362" spans="1:72" x14ac:dyDescent="0.15">
      <c r="A362" t="s">
        <v>72</v>
      </c>
      <c r="B362" t="s">
        <v>7422</v>
      </c>
      <c r="C362" t="s">
        <v>74</v>
      </c>
      <c r="D362" t="s">
        <v>74</v>
      </c>
      <c r="E362" t="s">
        <v>74</v>
      </c>
      <c r="F362" t="s">
        <v>7423</v>
      </c>
      <c r="G362" t="s">
        <v>74</v>
      </c>
      <c r="H362" t="s">
        <v>74</v>
      </c>
      <c r="I362" t="s">
        <v>7424</v>
      </c>
      <c r="J362" t="s">
        <v>7425</v>
      </c>
      <c r="K362" t="s">
        <v>74</v>
      </c>
      <c r="L362" t="s">
        <v>74</v>
      </c>
      <c r="M362" t="s">
        <v>78</v>
      </c>
      <c r="N362" t="s">
        <v>79</v>
      </c>
      <c r="O362" t="s">
        <v>74</v>
      </c>
      <c r="P362" t="s">
        <v>74</v>
      </c>
      <c r="Q362" t="s">
        <v>74</v>
      </c>
      <c r="R362" t="s">
        <v>74</v>
      </c>
      <c r="S362" t="s">
        <v>74</v>
      </c>
      <c r="T362" t="s">
        <v>7426</v>
      </c>
      <c r="U362" t="s">
        <v>7427</v>
      </c>
      <c r="V362" t="s">
        <v>7428</v>
      </c>
      <c r="W362" t="s">
        <v>7429</v>
      </c>
      <c r="X362" t="s">
        <v>7430</v>
      </c>
      <c r="Y362" t="s">
        <v>7431</v>
      </c>
      <c r="Z362" t="s">
        <v>7432</v>
      </c>
      <c r="AA362" t="s">
        <v>7433</v>
      </c>
      <c r="AB362" t="s">
        <v>7434</v>
      </c>
      <c r="AC362" t="s">
        <v>7435</v>
      </c>
      <c r="AD362" t="s">
        <v>7436</v>
      </c>
      <c r="AE362" t="s">
        <v>7437</v>
      </c>
      <c r="AF362" t="s">
        <v>74</v>
      </c>
      <c r="AG362">
        <v>71</v>
      </c>
      <c r="AH362">
        <v>3</v>
      </c>
      <c r="AI362">
        <v>3</v>
      </c>
      <c r="AJ362">
        <v>0</v>
      </c>
      <c r="AK362">
        <v>0</v>
      </c>
      <c r="AL362" t="s">
        <v>89</v>
      </c>
      <c r="AM362" t="s">
        <v>90</v>
      </c>
      <c r="AN362" t="s">
        <v>91</v>
      </c>
      <c r="AO362" t="s">
        <v>74</v>
      </c>
      <c r="AP362" t="s">
        <v>7438</v>
      </c>
      <c r="AQ362" t="s">
        <v>74</v>
      </c>
      <c r="AR362" t="s">
        <v>7425</v>
      </c>
      <c r="AS362" t="s">
        <v>7439</v>
      </c>
      <c r="AT362" t="s">
        <v>3605</v>
      </c>
      <c r="AU362">
        <v>2022</v>
      </c>
      <c r="AV362">
        <v>1</v>
      </c>
      <c r="AW362">
        <v>4</v>
      </c>
      <c r="AX362" t="s">
        <v>74</v>
      </c>
      <c r="AY362" t="s">
        <v>74</v>
      </c>
      <c r="AZ362" t="s">
        <v>74</v>
      </c>
      <c r="BA362" t="s">
        <v>74</v>
      </c>
      <c r="BB362" t="s">
        <v>74</v>
      </c>
      <c r="BC362" t="s">
        <v>74</v>
      </c>
      <c r="BD362" t="s">
        <v>7440</v>
      </c>
      <c r="BE362" t="s">
        <v>7441</v>
      </c>
      <c r="BF362" t="str">
        <f>HYPERLINK("http://dx.doi.org/10.1093/pnasnexus/pgac170","http://dx.doi.org/10.1093/pnasnexus/pgac170")</f>
        <v>http://dx.doi.org/10.1093/pnasnexus/pgac170</v>
      </c>
      <c r="BG362" t="s">
        <v>74</v>
      </c>
      <c r="BH362" t="s">
        <v>74</v>
      </c>
      <c r="BI362">
        <v>9</v>
      </c>
      <c r="BJ362" t="s">
        <v>7442</v>
      </c>
      <c r="BK362" t="s">
        <v>215</v>
      </c>
      <c r="BL362" t="s">
        <v>7443</v>
      </c>
      <c r="BM362" t="s">
        <v>7444</v>
      </c>
      <c r="BN362">
        <v>36714879</v>
      </c>
      <c r="BO362" t="s">
        <v>132</v>
      </c>
      <c r="BP362" t="s">
        <v>74</v>
      </c>
      <c r="BQ362" t="s">
        <v>74</v>
      </c>
      <c r="BR362" t="s">
        <v>103</v>
      </c>
      <c r="BS362" t="s">
        <v>7445</v>
      </c>
      <c r="BT362" t="str">
        <f>HYPERLINK("https%3A%2F%2Fwww.webofscience.com%2Fwos%2Fwoscc%2Ffull-record%2FWOS:001063393200037","View Full Record in Web of Science")</f>
        <v>View Full Record in Web of Science</v>
      </c>
    </row>
    <row r="363" spans="1:72" x14ac:dyDescent="0.15">
      <c r="A363" t="s">
        <v>72</v>
      </c>
      <c r="B363" t="s">
        <v>7446</v>
      </c>
      <c r="C363" t="s">
        <v>74</v>
      </c>
      <c r="D363" t="s">
        <v>74</v>
      </c>
      <c r="E363" t="s">
        <v>74</v>
      </c>
      <c r="F363" t="s">
        <v>7447</v>
      </c>
      <c r="G363" t="s">
        <v>74</v>
      </c>
      <c r="H363" t="s">
        <v>74</v>
      </c>
      <c r="I363" t="s">
        <v>7448</v>
      </c>
      <c r="J363" t="s">
        <v>7449</v>
      </c>
      <c r="K363" t="s">
        <v>74</v>
      </c>
      <c r="L363" t="s">
        <v>74</v>
      </c>
      <c r="M363" t="s">
        <v>78</v>
      </c>
      <c r="N363" t="s">
        <v>79</v>
      </c>
      <c r="O363" t="s">
        <v>74</v>
      </c>
      <c r="P363" t="s">
        <v>74</v>
      </c>
      <c r="Q363" t="s">
        <v>74</v>
      </c>
      <c r="R363" t="s">
        <v>74</v>
      </c>
      <c r="S363" t="s">
        <v>74</v>
      </c>
      <c r="T363" t="s">
        <v>7450</v>
      </c>
      <c r="U363" t="s">
        <v>7451</v>
      </c>
      <c r="V363" t="s">
        <v>7452</v>
      </c>
      <c r="W363" t="s">
        <v>7453</v>
      </c>
      <c r="X363" t="s">
        <v>7454</v>
      </c>
      <c r="Y363" t="s">
        <v>7455</v>
      </c>
      <c r="Z363" t="s">
        <v>7456</v>
      </c>
      <c r="AA363" t="s">
        <v>7457</v>
      </c>
      <c r="AB363" t="s">
        <v>74</v>
      </c>
      <c r="AC363" t="s">
        <v>7458</v>
      </c>
      <c r="AD363" t="s">
        <v>7458</v>
      </c>
      <c r="AE363" t="s">
        <v>7459</v>
      </c>
      <c r="AF363" t="s">
        <v>74</v>
      </c>
      <c r="AG363">
        <v>40</v>
      </c>
      <c r="AH363">
        <v>0</v>
      </c>
      <c r="AI363">
        <v>0</v>
      </c>
      <c r="AJ363">
        <v>1</v>
      </c>
      <c r="AK363">
        <v>2</v>
      </c>
      <c r="AL363" t="s">
        <v>7460</v>
      </c>
      <c r="AM363" t="s">
        <v>642</v>
      </c>
      <c r="AN363" t="s">
        <v>7461</v>
      </c>
      <c r="AO363" t="s">
        <v>7462</v>
      </c>
      <c r="AP363" t="s">
        <v>7463</v>
      </c>
      <c r="AQ363" t="s">
        <v>74</v>
      </c>
      <c r="AR363" t="s">
        <v>7464</v>
      </c>
      <c r="AS363" t="s">
        <v>7465</v>
      </c>
      <c r="AT363" t="s">
        <v>3605</v>
      </c>
      <c r="AU363">
        <v>2022</v>
      </c>
      <c r="AV363">
        <v>54</v>
      </c>
      <c r="AW363">
        <v>9</v>
      </c>
      <c r="AX363" t="s">
        <v>74</v>
      </c>
      <c r="AY363" t="s">
        <v>74</v>
      </c>
      <c r="AZ363" t="s">
        <v>74</v>
      </c>
      <c r="BA363" t="s">
        <v>74</v>
      </c>
      <c r="BB363">
        <v>1476</v>
      </c>
      <c r="BC363">
        <v>1482</v>
      </c>
      <c r="BD363" t="s">
        <v>74</v>
      </c>
      <c r="BE363" t="s">
        <v>7466</v>
      </c>
      <c r="BF363" t="str">
        <f>HYPERLINK("http://dx.doi.org/10.1249/MSS.0000000000002948","http://dx.doi.org/10.1249/MSS.0000000000002948")</f>
        <v>http://dx.doi.org/10.1249/MSS.0000000000002948</v>
      </c>
      <c r="BG363" t="s">
        <v>74</v>
      </c>
      <c r="BH363" t="s">
        <v>74</v>
      </c>
      <c r="BI363">
        <v>7</v>
      </c>
      <c r="BJ363" t="s">
        <v>7467</v>
      </c>
      <c r="BK363" t="s">
        <v>100</v>
      </c>
      <c r="BL363" t="s">
        <v>7467</v>
      </c>
      <c r="BM363" t="s">
        <v>7468</v>
      </c>
      <c r="BN363">
        <v>35482788</v>
      </c>
      <c r="BO363" t="s">
        <v>2512</v>
      </c>
      <c r="BP363" t="s">
        <v>74</v>
      </c>
      <c r="BQ363" t="s">
        <v>74</v>
      </c>
      <c r="BR363" t="s">
        <v>103</v>
      </c>
      <c r="BS363" t="s">
        <v>7469</v>
      </c>
      <c r="BT363" t="str">
        <f>HYPERLINK("https%3A%2F%2Fwww.webofscience.com%2Fwos%2Fwoscc%2Ffull-record%2FWOS:000840461400009","View Full Record in Web of Science")</f>
        <v>View Full Record in Web of Science</v>
      </c>
    </row>
    <row r="364" spans="1:72" x14ac:dyDescent="0.15">
      <c r="A364" t="s">
        <v>72</v>
      </c>
      <c r="B364" t="s">
        <v>7470</v>
      </c>
      <c r="C364" t="s">
        <v>74</v>
      </c>
      <c r="D364" t="s">
        <v>74</v>
      </c>
      <c r="E364" t="s">
        <v>74</v>
      </c>
      <c r="F364" t="s">
        <v>7471</v>
      </c>
      <c r="G364" t="s">
        <v>74</v>
      </c>
      <c r="H364" t="s">
        <v>74</v>
      </c>
      <c r="I364" t="s">
        <v>7472</v>
      </c>
      <c r="J364" t="s">
        <v>7473</v>
      </c>
      <c r="K364" t="s">
        <v>74</v>
      </c>
      <c r="L364" t="s">
        <v>74</v>
      </c>
      <c r="M364" t="s">
        <v>78</v>
      </c>
      <c r="N364" t="s">
        <v>1346</v>
      </c>
      <c r="O364" t="s">
        <v>74</v>
      </c>
      <c r="P364" t="s">
        <v>74</v>
      </c>
      <c r="Q364" t="s">
        <v>74</v>
      </c>
      <c r="R364" t="s">
        <v>74</v>
      </c>
      <c r="S364" t="s">
        <v>74</v>
      </c>
      <c r="T364" t="s">
        <v>74</v>
      </c>
      <c r="U364" t="s">
        <v>74</v>
      </c>
      <c r="V364" t="s">
        <v>7474</v>
      </c>
      <c r="W364" t="s">
        <v>7475</v>
      </c>
      <c r="X364" t="s">
        <v>7476</v>
      </c>
      <c r="Y364" t="s">
        <v>7477</v>
      </c>
      <c r="Z364" t="s">
        <v>7478</v>
      </c>
      <c r="AA364" t="s">
        <v>7479</v>
      </c>
      <c r="AB364" t="s">
        <v>7480</v>
      </c>
      <c r="AC364" t="s">
        <v>74</v>
      </c>
      <c r="AD364" t="s">
        <v>74</v>
      </c>
      <c r="AE364" t="s">
        <v>74</v>
      </c>
      <c r="AF364" t="s">
        <v>74</v>
      </c>
      <c r="AG364">
        <v>0</v>
      </c>
      <c r="AH364">
        <v>0</v>
      </c>
      <c r="AI364">
        <v>0</v>
      </c>
      <c r="AJ364">
        <v>0</v>
      </c>
      <c r="AK364">
        <v>1</v>
      </c>
      <c r="AL364" t="s">
        <v>231</v>
      </c>
      <c r="AM364" t="s">
        <v>232</v>
      </c>
      <c r="AN364" t="s">
        <v>233</v>
      </c>
      <c r="AO364" t="s">
        <v>7481</v>
      </c>
      <c r="AP364" t="s">
        <v>7482</v>
      </c>
      <c r="AQ364" t="s">
        <v>74</v>
      </c>
      <c r="AR364" t="s">
        <v>7483</v>
      </c>
      <c r="AS364" t="s">
        <v>7484</v>
      </c>
      <c r="AT364" t="s">
        <v>3605</v>
      </c>
      <c r="AU364">
        <v>2022</v>
      </c>
      <c r="AV364">
        <v>188</v>
      </c>
      <c r="AW364">
        <v>3</v>
      </c>
      <c r="AX364" t="s">
        <v>74</v>
      </c>
      <c r="AY364" t="s">
        <v>74</v>
      </c>
      <c r="AZ364" t="s">
        <v>74</v>
      </c>
      <c r="BA364" t="s">
        <v>74</v>
      </c>
      <c r="BB364">
        <v>481</v>
      </c>
      <c r="BC364">
        <v>493</v>
      </c>
      <c r="BD364" t="s">
        <v>74</v>
      </c>
      <c r="BE364" t="s">
        <v>7485</v>
      </c>
      <c r="BF364" t="str">
        <f>HYPERLINK("http://dx.doi.org/10.1111/geoj.12464","http://dx.doi.org/10.1111/geoj.12464")</f>
        <v>http://dx.doi.org/10.1111/geoj.12464</v>
      </c>
      <c r="BG364" t="s">
        <v>74</v>
      </c>
      <c r="BH364" t="s">
        <v>74</v>
      </c>
      <c r="BI364">
        <v>13</v>
      </c>
      <c r="BJ364" t="s">
        <v>7486</v>
      </c>
      <c r="BK364" t="s">
        <v>2257</v>
      </c>
      <c r="BL364" t="s">
        <v>7486</v>
      </c>
      <c r="BM364" t="s">
        <v>7487</v>
      </c>
      <c r="BN364" t="s">
        <v>74</v>
      </c>
      <c r="BO364" t="s">
        <v>74</v>
      </c>
      <c r="BP364" t="s">
        <v>74</v>
      </c>
      <c r="BQ364" t="s">
        <v>74</v>
      </c>
      <c r="BR364" t="s">
        <v>103</v>
      </c>
      <c r="BS364" t="s">
        <v>7488</v>
      </c>
      <c r="BT364" t="str">
        <f>HYPERLINK("https%3A%2F%2Fwww.webofscience.com%2Fwos%2Fwoscc%2Ffull-record%2FWOS:000837078700017","View Full Record in Web of Science")</f>
        <v>View Full Record in Web of Science</v>
      </c>
    </row>
    <row r="365" spans="1:72" x14ac:dyDescent="0.15">
      <c r="A365" t="s">
        <v>72</v>
      </c>
      <c r="B365" t="s">
        <v>7489</v>
      </c>
      <c r="C365" t="s">
        <v>74</v>
      </c>
      <c r="D365" t="s">
        <v>74</v>
      </c>
      <c r="E365" t="s">
        <v>74</v>
      </c>
      <c r="F365" t="s">
        <v>7490</v>
      </c>
      <c r="G365" t="s">
        <v>74</v>
      </c>
      <c r="H365" t="s">
        <v>74</v>
      </c>
      <c r="I365" t="s">
        <v>7491</v>
      </c>
      <c r="J365" t="s">
        <v>2025</v>
      </c>
      <c r="K365" t="s">
        <v>74</v>
      </c>
      <c r="L365" t="s">
        <v>74</v>
      </c>
      <c r="M365" t="s">
        <v>78</v>
      </c>
      <c r="N365" t="s">
        <v>79</v>
      </c>
      <c r="O365" t="s">
        <v>74</v>
      </c>
      <c r="P365" t="s">
        <v>74</v>
      </c>
      <c r="Q365" t="s">
        <v>74</v>
      </c>
      <c r="R365" t="s">
        <v>74</v>
      </c>
      <c r="S365" t="s">
        <v>74</v>
      </c>
      <c r="T365" t="s">
        <v>7492</v>
      </c>
      <c r="U365" t="s">
        <v>7493</v>
      </c>
      <c r="V365" t="s">
        <v>7494</v>
      </c>
      <c r="W365" t="s">
        <v>7495</v>
      </c>
      <c r="X365" t="s">
        <v>7496</v>
      </c>
      <c r="Y365" t="s">
        <v>7497</v>
      </c>
      <c r="Z365" t="s">
        <v>7498</v>
      </c>
      <c r="AA365" t="s">
        <v>7499</v>
      </c>
      <c r="AB365" t="s">
        <v>7500</v>
      </c>
      <c r="AC365" t="s">
        <v>7501</v>
      </c>
      <c r="AD365" t="s">
        <v>7501</v>
      </c>
      <c r="AE365" t="s">
        <v>7502</v>
      </c>
      <c r="AF365" t="s">
        <v>74</v>
      </c>
      <c r="AG365">
        <v>103</v>
      </c>
      <c r="AH365">
        <v>3</v>
      </c>
      <c r="AI365">
        <v>3</v>
      </c>
      <c r="AJ365">
        <v>5</v>
      </c>
      <c r="AK365">
        <v>20</v>
      </c>
      <c r="AL365" t="s">
        <v>178</v>
      </c>
      <c r="AM365" t="s">
        <v>179</v>
      </c>
      <c r="AN365" t="s">
        <v>180</v>
      </c>
      <c r="AO365" t="s">
        <v>2035</v>
      </c>
      <c r="AP365" t="s">
        <v>2036</v>
      </c>
      <c r="AQ365" t="s">
        <v>74</v>
      </c>
      <c r="AR365" t="s">
        <v>2037</v>
      </c>
      <c r="AS365" t="s">
        <v>2038</v>
      </c>
      <c r="AT365" t="s">
        <v>3605</v>
      </c>
      <c r="AU365">
        <v>2022</v>
      </c>
      <c r="AV365">
        <v>194</v>
      </c>
      <c r="AW365">
        <v>9</v>
      </c>
      <c r="AX365" t="s">
        <v>74</v>
      </c>
      <c r="AY365" t="s">
        <v>74</v>
      </c>
      <c r="AZ365" t="s">
        <v>74</v>
      </c>
      <c r="BA365" t="s">
        <v>74</v>
      </c>
      <c r="BB365" t="s">
        <v>74</v>
      </c>
      <c r="BC365" t="s">
        <v>74</v>
      </c>
      <c r="BD365">
        <v>654</v>
      </c>
      <c r="BE365" t="s">
        <v>7503</v>
      </c>
      <c r="BF365" t="str">
        <f>HYPERLINK("http://dx.doi.org/10.1007/s10661-022-10328-w","http://dx.doi.org/10.1007/s10661-022-10328-w")</f>
        <v>http://dx.doi.org/10.1007/s10661-022-10328-w</v>
      </c>
      <c r="BG365" t="s">
        <v>74</v>
      </c>
      <c r="BH365" t="s">
        <v>74</v>
      </c>
      <c r="BI365">
        <v>13</v>
      </c>
      <c r="BJ365" t="s">
        <v>2040</v>
      </c>
      <c r="BK365" t="s">
        <v>100</v>
      </c>
      <c r="BL365" t="s">
        <v>2041</v>
      </c>
      <c r="BM365" t="s">
        <v>7504</v>
      </c>
      <c r="BN365">
        <v>35934758</v>
      </c>
      <c r="BO365" t="s">
        <v>2512</v>
      </c>
      <c r="BP365" t="s">
        <v>74</v>
      </c>
      <c r="BQ365" t="s">
        <v>74</v>
      </c>
      <c r="BR365" t="s">
        <v>103</v>
      </c>
      <c r="BS365" t="s">
        <v>7505</v>
      </c>
      <c r="BT365" t="str">
        <f>HYPERLINK("https%3A%2F%2Fwww.webofscience.com%2Fwos%2Fwoscc%2Ffull-record%2FWOS:000836940800001","View Full Record in Web of Science")</f>
        <v>View Full Record in Web of Science</v>
      </c>
    </row>
    <row r="366" spans="1:72" x14ac:dyDescent="0.15">
      <c r="A366" t="s">
        <v>72</v>
      </c>
      <c r="B366" t="s">
        <v>7506</v>
      </c>
      <c r="C366" t="s">
        <v>74</v>
      </c>
      <c r="D366" t="s">
        <v>74</v>
      </c>
      <c r="E366" t="s">
        <v>74</v>
      </c>
      <c r="F366" t="s">
        <v>7507</v>
      </c>
      <c r="G366" t="s">
        <v>74</v>
      </c>
      <c r="H366" t="s">
        <v>74</v>
      </c>
      <c r="I366" t="s">
        <v>7508</v>
      </c>
      <c r="J366" t="s">
        <v>7509</v>
      </c>
      <c r="K366" t="s">
        <v>74</v>
      </c>
      <c r="L366" t="s">
        <v>74</v>
      </c>
      <c r="M366" t="s">
        <v>78</v>
      </c>
      <c r="N366" t="s">
        <v>79</v>
      </c>
      <c r="O366" t="s">
        <v>74</v>
      </c>
      <c r="P366" t="s">
        <v>74</v>
      </c>
      <c r="Q366" t="s">
        <v>74</v>
      </c>
      <c r="R366" t="s">
        <v>74</v>
      </c>
      <c r="S366" t="s">
        <v>74</v>
      </c>
      <c r="T366" t="s">
        <v>7510</v>
      </c>
      <c r="U366" t="s">
        <v>7511</v>
      </c>
      <c r="V366" t="s">
        <v>7512</v>
      </c>
      <c r="W366" t="s">
        <v>7513</v>
      </c>
      <c r="X366" t="s">
        <v>7514</v>
      </c>
      <c r="Y366" t="s">
        <v>7515</v>
      </c>
      <c r="Z366" t="s">
        <v>7516</v>
      </c>
      <c r="AA366" t="s">
        <v>7517</v>
      </c>
      <c r="AB366" t="s">
        <v>7518</v>
      </c>
      <c r="AC366" t="s">
        <v>7519</v>
      </c>
      <c r="AD366" t="s">
        <v>2200</v>
      </c>
      <c r="AE366" t="s">
        <v>7520</v>
      </c>
      <c r="AF366" t="s">
        <v>74</v>
      </c>
      <c r="AG366">
        <v>43</v>
      </c>
      <c r="AH366">
        <v>1</v>
      </c>
      <c r="AI366">
        <v>1</v>
      </c>
      <c r="AJ366">
        <v>0</v>
      </c>
      <c r="AK366">
        <v>2</v>
      </c>
      <c r="AL366" t="s">
        <v>7521</v>
      </c>
      <c r="AM366" t="s">
        <v>7522</v>
      </c>
      <c r="AN366" t="s">
        <v>7523</v>
      </c>
      <c r="AO366" t="s">
        <v>7524</v>
      </c>
      <c r="AP366" t="s">
        <v>7525</v>
      </c>
      <c r="AQ366" t="s">
        <v>74</v>
      </c>
      <c r="AR366" t="s">
        <v>7526</v>
      </c>
      <c r="AS366" t="s">
        <v>7527</v>
      </c>
      <c r="AT366" t="s">
        <v>3605</v>
      </c>
      <c r="AU366">
        <v>2022</v>
      </c>
      <c r="AV366">
        <v>16</v>
      </c>
      <c r="AW366">
        <v>3</v>
      </c>
      <c r="AX366" t="s">
        <v>74</v>
      </c>
      <c r="AY366" t="s">
        <v>74</v>
      </c>
      <c r="AZ366" t="s">
        <v>74</v>
      </c>
      <c r="BA366" t="s">
        <v>74</v>
      </c>
      <c r="BB366">
        <v>1937</v>
      </c>
      <c r="BC366">
        <v>1961</v>
      </c>
      <c r="BD366" t="s">
        <v>74</v>
      </c>
      <c r="BE366" t="s">
        <v>7528</v>
      </c>
      <c r="BF366" t="str">
        <f>HYPERLINK("http://dx.doi.org/10.1214/21-AOAS1577","http://dx.doi.org/10.1214/21-AOAS1577")</f>
        <v>http://dx.doi.org/10.1214/21-AOAS1577</v>
      </c>
      <c r="BG366" t="s">
        <v>74</v>
      </c>
      <c r="BH366" t="s">
        <v>74</v>
      </c>
      <c r="BI366">
        <v>25</v>
      </c>
      <c r="BJ366" t="s">
        <v>7529</v>
      </c>
      <c r="BK366" t="s">
        <v>100</v>
      </c>
      <c r="BL366" t="s">
        <v>7530</v>
      </c>
      <c r="BM366" t="s">
        <v>7531</v>
      </c>
      <c r="BN366" t="s">
        <v>74</v>
      </c>
      <c r="BO366" t="s">
        <v>7532</v>
      </c>
      <c r="BP366" t="s">
        <v>74</v>
      </c>
      <c r="BQ366" t="s">
        <v>74</v>
      </c>
      <c r="BR366" t="s">
        <v>103</v>
      </c>
      <c r="BS366" t="s">
        <v>7533</v>
      </c>
      <c r="BT366" t="str">
        <f>HYPERLINK("https%3A%2F%2Fwww.webofscience.com%2Fwos%2Fwoscc%2Ffull-record%2FWOS:000828472200032","View Full Record in Web of Science")</f>
        <v>View Full Record in Web of Science</v>
      </c>
    </row>
    <row r="367" spans="1:72" x14ac:dyDescent="0.15">
      <c r="A367" t="s">
        <v>72</v>
      </c>
      <c r="B367" t="s">
        <v>7534</v>
      </c>
      <c r="C367" t="s">
        <v>74</v>
      </c>
      <c r="D367" t="s">
        <v>74</v>
      </c>
      <c r="E367" t="s">
        <v>74</v>
      </c>
      <c r="F367" t="s">
        <v>7535</v>
      </c>
      <c r="G367" t="s">
        <v>74</v>
      </c>
      <c r="H367" t="s">
        <v>74</v>
      </c>
      <c r="I367" t="s">
        <v>7536</v>
      </c>
      <c r="J367" t="s">
        <v>7537</v>
      </c>
      <c r="K367" t="s">
        <v>74</v>
      </c>
      <c r="L367" t="s">
        <v>74</v>
      </c>
      <c r="M367" t="s">
        <v>78</v>
      </c>
      <c r="N367" t="s">
        <v>79</v>
      </c>
      <c r="O367" t="s">
        <v>74</v>
      </c>
      <c r="P367" t="s">
        <v>74</v>
      </c>
      <c r="Q367" t="s">
        <v>74</v>
      </c>
      <c r="R367" t="s">
        <v>74</v>
      </c>
      <c r="S367" t="s">
        <v>74</v>
      </c>
      <c r="T367" t="s">
        <v>7538</v>
      </c>
      <c r="U367" t="s">
        <v>7539</v>
      </c>
      <c r="V367" t="s">
        <v>7540</v>
      </c>
      <c r="W367" t="s">
        <v>7541</v>
      </c>
      <c r="X367" t="s">
        <v>7542</v>
      </c>
      <c r="Y367" t="s">
        <v>7543</v>
      </c>
      <c r="Z367" t="s">
        <v>7544</v>
      </c>
      <c r="AA367" t="s">
        <v>74</v>
      </c>
      <c r="AB367" t="s">
        <v>7545</v>
      </c>
      <c r="AC367" t="s">
        <v>7546</v>
      </c>
      <c r="AD367" t="s">
        <v>7547</v>
      </c>
      <c r="AE367" t="s">
        <v>7548</v>
      </c>
      <c r="AF367" t="s">
        <v>74</v>
      </c>
      <c r="AG367">
        <v>27</v>
      </c>
      <c r="AH367">
        <v>0</v>
      </c>
      <c r="AI367">
        <v>0</v>
      </c>
      <c r="AJ367">
        <v>0</v>
      </c>
      <c r="AK367">
        <v>6</v>
      </c>
      <c r="AL367" t="s">
        <v>7549</v>
      </c>
      <c r="AM367" t="s">
        <v>7550</v>
      </c>
      <c r="AN367" t="s">
        <v>7551</v>
      </c>
      <c r="AO367" t="s">
        <v>7552</v>
      </c>
      <c r="AP367" t="s">
        <v>7553</v>
      </c>
      <c r="AQ367" t="s">
        <v>74</v>
      </c>
      <c r="AR367" t="s">
        <v>7554</v>
      </c>
      <c r="AS367" t="s">
        <v>7555</v>
      </c>
      <c r="AT367" t="s">
        <v>5933</v>
      </c>
      <c r="AU367">
        <v>2022</v>
      </c>
      <c r="AV367">
        <v>36</v>
      </c>
      <c r="AW367">
        <v>3</v>
      </c>
      <c r="AX367" t="s">
        <v>74</v>
      </c>
      <c r="AY367" t="s">
        <v>74</v>
      </c>
      <c r="AZ367" t="s">
        <v>74</v>
      </c>
      <c r="BA367" t="s">
        <v>74</v>
      </c>
      <c r="BB367" t="s">
        <v>74</v>
      </c>
      <c r="BC367" t="s">
        <v>74</v>
      </c>
      <c r="BD367">
        <v>5022001</v>
      </c>
      <c r="BE367" t="s">
        <v>7556</v>
      </c>
      <c r="BF367" t="str">
        <f>HYPERLINK("http://dx.doi.org/10.1061/(ASCE)CR.1943-5495.0000278","http://dx.doi.org/10.1061/(ASCE)CR.1943-5495.0000278")</f>
        <v>http://dx.doi.org/10.1061/(ASCE)CR.1943-5495.0000278</v>
      </c>
      <c r="BG367" t="s">
        <v>74</v>
      </c>
      <c r="BH367" t="s">
        <v>74</v>
      </c>
      <c r="BI367">
        <v>11</v>
      </c>
      <c r="BJ367" t="s">
        <v>7557</v>
      </c>
      <c r="BK367" t="s">
        <v>100</v>
      </c>
      <c r="BL367" t="s">
        <v>7558</v>
      </c>
      <c r="BM367" t="s">
        <v>7559</v>
      </c>
      <c r="BN367" t="s">
        <v>74</v>
      </c>
      <c r="BO367" t="s">
        <v>74</v>
      </c>
      <c r="BP367" t="s">
        <v>74</v>
      </c>
      <c r="BQ367" t="s">
        <v>74</v>
      </c>
      <c r="BR367" t="s">
        <v>103</v>
      </c>
      <c r="BS367" t="s">
        <v>7560</v>
      </c>
      <c r="BT367" t="str">
        <f>HYPERLINK("https%3A%2F%2Fwww.webofscience.com%2Fwos%2Fwoscc%2Ffull-record%2FWOS:000825514600001","View Full Record in Web of Science")</f>
        <v>View Full Record in Web of Science</v>
      </c>
    </row>
    <row r="368" spans="1:72" x14ac:dyDescent="0.15">
      <c r="A368" t="s">
        <v>72</v>
      </c>
      <c r="B368" t="s">
        <v>7561</v>
      </c>
      <c r="C368" t="s">
        <v>74</v>
      </c>
      <c r="D368" t="s">
        <v>74</v>
      </c>
      <c r="E368" t="s">
        <v>74</v>
      </c>
      <c r="F368" t="s">
        <v>7562</v>
      </c>
      <c r="G368" t="s">
        <v>74</v>
      </c>
      <c r="H368" t="s">
        <v>74</v>
      </c>
      <c r="I368" t="s">
        <v>7563</v>
      </c>
      <c r="J368" t="s">
        <v>4531</v>
      </c>
      <c r="K368" t="s">
        <v>74</v>
      </c>
      <c r="L368" t="s">
        <v>74</v>
      </c>
      <c r="M368" t="s">
        <v>78</v>
      </c>
      <c r="N368" t="s">
        <v>79</v>
      </c>
      <c r="O368" t="s">
        <v>74</v>
      </c>
      <c r="P368" t="s">
        <v>74</v>
      </c>
      <c r="Q368" t="s">
        <v>74</v>
      </c>
      <c r="R368" t="s">
        <v>74</v>
      </c>
      <c r="S368" t="s">
        <v>74</v>
      </c>
      <c r="T368" t="s">
        <v>7564</v>
      </c>
      <c r="U368" t="s">
        <v>7565</v>
      </c>
      <c r="V368" t="s">
        <v>7566</v>
      </c>
      <c r="W368" t="s">
        <v>7567</v>
      </c>
      <c r="X368" t="s">
        <v>7568</v>
      </c>
      <c r="Y368" t="s">
        <v>7569</v>
      </c>
      <c r="Z368" t="s">
        <v>7570</v>
      </c>
      <c r="AA368" t="s">
        <v>74</v>
      </c>
      <c r="AB368" t="s">
        <v>74</v>
      </c>
      <c r="AC368" t="s">
        <v>7571</v>
      </c>
      <c r="AD368" t="s">
        <v>7572</v>
      </c>
      <c r="AE368" t="s">
        <v>7573</v>
      </c>
      <c r="AF368" t="s">
        <v>74</v>
      </c>
      <c r="AG368">
        <v>72</v>
      </c>
      <c r="AH368">
        <v>5</v>
      </c>
      <c r="AI368">
        <v>5</v>
      </c>
      <c r="AJ368">
        <v>4</v>
      </c>
      <c r="AK368">
        <v>7</v>
      </c>
      <c r="AL368" t="s">
        <v>121</v>
      </c>
      <c r="AM368" t="s">
        <v>122</v>
      </c>
      <c r="AN368" t="s">
        <v>123</v>
      </c>
      <c r="AO368" t="s">
        <v>4541</v>
      </c>
      <c r="AP368" t="s">
        <v>74</v>
      </c>
      <c r="AQ368" t="s">
        <v>74</v>
      </c>
      <c r="AR368" t="s">
        <v>4542</v>
      </c>
      <c r="AS368" t="s">
        <v>4543</v>
      </c>
      <c r="AT368" t="s">
        <v>7574</v>
      </c>
      <c r="AU368">
        <v>2022</v>
      </c>
      <c r="AV368">
        <v>13</v>
      </c>
      <c r="AW368" t="s">
        <v>74</v>
      </c>
      <c r="AX368" t="s">
        <v>74</v>
      </c>
      <c r="AY368" t="s">
        <v>74</v>
      </c>
      <c r="AZ368" t="s">
        <v>74</v>
      </c>
      <c r="BA368" t="s">
        <v>74</v>
      </c>
      <c r="BB368" t="s">
        <v>74</v>
      </c>
      <c r="BC368" t="s">
        <v>74</v>
      </c>
      <c r="BD368">
        <v>911035</v>
      </c>
      <c r="BE368" t="s">
        <v>7575</v>
      </c>
      <c r="BF368" t="str">
        <f>HYPERLINK("http://dx.doi.org/10.3389/fpls.2022.911035","http://dx.doi.org/10.3389/fpls.2022.911035")</f>
        <v>http://dx.doi.org/10.3389/fpls.2022.911035</v>
      </c>
      <c r="BG368" t="s">
        <v>74</v>
      </c>
      <c r="BH368" t="s">
        <v>74</v>
      </c>
      <c r="BI368">
        <v>16</v>
      </c>
      <c r="BJ368" t="s">
        <v>1438</v>
      </c>
      <c r="BK368" t="s">
        <v>100</v>
      </c>
      <c r="BL368" t="s">
        <v>1438</v>
      </c>
      <c r="BM368" t="s">
        <v>7576</v>
      </c>
      <c r="BN368">
        <v>36119589</v>
      </c>
      <c r="BO368" t="s">
        <v>159</v>
      </c>
      <c r="BP368" t="s">
        <v>74</v>
      </c>
      <c r="BQ368" t="s">
        <v>74</v>
      </c>
      <c r="BR368" t="s">
        <v>103</v>
      </c>
      <c r="BS368" t="s">
        <v>7577</v>
      </c>
      <c r="BT368" t="str">
        <f>HYPERLINK("https%3A%2F%2Fwww.webofscience.com%2Fwos%2Fwoscc%2Ffull-record%2FWOS:000872889100001","View Full Record in Web of Science")</f>
        <v>View Full Record in Web of Science</v>
      </c>
    </row>
    <row r="369" spans="1:72" x14ac:dyDescent="0.15">
      <c r="A369" t="s">
        <v>72</v>
      </c>
      <c r="B369" t="s">
        <v>7578</v>
      </c>
      <c r="C369" t="s">
        <v>74</v>
      </c>
      <c r="D369" t="s">
        <v>74</v>
      </c>
      <c r="E369" t="s">
        <v>74</v>
      </c>
      <c r="F369" t="s">
        <v>7579</v>
      </c>
      <c r="G369" t="s">
        <v>74</v>
      </c>
      <c r="H369" t="s">
        <v>74</v>
      </c>
      <c r="I369" t="s">
        <v>7580</v>
      </c>
      <c r="J369" t="s">
        <v>7581</v>
      </c>
      <c r="K369" t="s">
        <v>74</v>
      </c>
      <c r="L369" t="s">
        <v>74</v>
      </c>
      <c r="M369" t="s">
        <v>78</v>
      </c>
      <c r="N369" t="s">
        <v>79</v>
      </c>
      <c r="O369" t="s">
        <v>74</v>
      </c>
      <c r="P369" t="s">
        <v>74</v>
      </c>
      <c r="Q369" t="s">
        <v>74</v>
      </c>
      <c r="R369" t="s">
        <v>74</v>
      </c>
      <c r="S369" t="s">
        <v>74</v>
      </c>
      <c r="T369" t="s">
        <v>74</v>
      </c>
      <c r="U369" t="s">
        <v>7582</v>
      </c>
      <c r="V369" t="s">
        <v>74</v>
      </c>
      <c r="W369" t="s">
        <v>7583</v>
      </c>
      <c r="X369" t="s">
        <v>7584</v>
      </c>
      <c r="Y369" t="s">
        <v>7585</v>
      </c>
      <c r="Z369" t="s">
        <v>74</v>
      </c>
      <c r="AA369" t="s">
        <v>7586</v>
      </c>
      <c r="AB369" t="s">
        <v>7587</v>
      </c>
      <c r="AC369" t="s">
        <v>74</v>
      </c>
      <c r="AD369" t="s">
        <v>74</v>
      </c>
      <c r="AE369" t="s">
        <v>74</v>
      </c>
      <c r="AF369" t="s">
        <v>74</v>
      </c>
      <c r="AG369">
        <v>299</v>
      </c>
      <c r="AH369">
        <v>0</v>
      </c>
      <c r="AI369">
        <v>0</v>
      </c>
      <c r="AJ369">
        <v>0</v>
      </c>
      <c r="AK369">
        <v>3</v>
      </c>
      <c r="AL369" t="s">
        <v>3827</v>
      </c>
      <c r="AM369" t="s">
        <v>3828</v>
      </c>
      <c r="AN369" t="s">
        <v>3829</v>
      </c>
      <c r="AO369" t="s">
        <v>7588</v>
      </c>
      <c r="AP369" t="s">
        <v>7589</v>
      </c>
      <c r="AQ369" t="s">
        <v>74</v>
      </c>
      <c r="AR369" t="s">
        <v>7590</v>
      </c>
      <c r="AS369" t="s">
        <v>7591</v>
      </c>
      <c r="AT369" t="s">
        <v>7574</v>
      </c>
      <c r="AU369">
        <v>2022</v>
      </c>
      <c r="AV369">
        <v>15</v>
      </c>
      <c r="AW369" t="s">
        <v>74</v>
      </c>
      <c r="AX369" t="s">
        <v>74</v>
      </c>
      <c r="AY369">
        <v>1</v>
      </c>
      <c r="AZ369" t="s">
        <v>186</v>
      </c>
      <c r="BA369" t="s">
        <v>74</v>
      </c>
      <c r="BB369" t="s">
        <v>7592</v>
      </c>
      <c r="BC369" t="s">
        <v>7593</v>
      </c>
      <c r="BD369" t="s">
        <v>74</v>
      </c>
      <c r="BE369" t="s">
        <v>74</v>
      </c>
      <c r="BF369" t="s">
        <v>74</v>
      </c>
      <c r="BG369" t="s">
        <v>74</v>
      </c>
      <c r="BH369" t="s">
        <v>74</v>
      </c>
      <c r="BI369">
        <v>75</v>
      </c>
      <c r="BJ369" t="s">
        <v>1033</v>
      </c>
      <c r="BK369" t="s">
        <v>100</v>
      </c>
      <c r="BL369" t="s">
        <v>1033</v>
      </c>
      <c r="BM369" t="s">
        <v>7594</v>
      </c>
      <c r="BN369" t="s">
        <v>74</v>
      </c>
      <c r="BO369" t="s">
        <v>74</v>
      </c>
      <c r="BP369" t="s">
        <v>74</v>
      </c>
      <c r="BQ369" t="s">
        <v>74</v>
      </c>
      <c r="BR369" t="s">
        <v>103</v>
      </c>
      <c r="BS369" t="s">
        <v>7595</v>
      </c>
      <c r="BT369" t="str">
        <f>HYPERLINK("https%3A%2F%2Fwww.webofscience.com%2Fwos%2Fwoscc%2Ffull-record%2FWOS:000861750400002","View Full Record in Web of Science")</f>
        <v>View Full Record in Web of Science</v>
      </c>
    </row>
    <row r="370" spans="1:72" x14ac:dyDescent="0.15">
      <c r="A370" t="s">
        <v>72</v>
      </c>
      <c r="B370" t="s">
        <v>7596</v>
      </c>
      <c r="C370" t="s">
        <v>74</v>
      </c>
      <c r="D370" t="s">
        <v>74</v>
      </c>
      <c r="E370" t="s">
        <v>74</v>
      </c>
      <c r="F370" t="s">
        <v>7597</v>
      </c>
      <c r="G370" t="s">
        <v>74</v>
      </c>
      <c r="H370" t="s">
        <v>74</v>
      </c>
      <c r="I370" t="s">
        <v>7598</v>
      </c>
      <c r="J370" t="s">
        <v>2473</v>
      </c>
      <c r="K370" t="s">
        <v>74</v>
      </c>
      <c r="L370" t="s">
        <v>74</v>
      </c>
      <c r="M370" t="s">
        <v>78</v>
      </c>
      <c r="N370" t="s">
        <v>79</v>
      </c>
      <c r="O370" t="s">
        <v>74</v>
      </c>
      <c r="P370" t="s">
        <v>74</v>
      </c>
      <c r="Q370" t="s">
        <v>74</v>
      </c>
      <c r="R370" t="s">
        <v>74</v>
      </c>
      <c r="S370" t="s">
        <v>74</v>
      </c>
      <c r="T370" t="s">
        <v>74</v>
      </c>
      <c r="U370" t="s">
        <v>7599</v>
      </c>
      <c r="V370" t="s">
        <v>7600</v>
      </c>
      <c r="W370" t="s">
        <v>7601</v>
      </c>
      <c r="X370" t="s">
        <v>7602</v>
      </c>
      <c r="Y370" t="s">
        <v>7603</v>
      </c>
      <c r="Z370" t="s">
        <v>7604</v>
      </c>
      <c r="AA370" t="s">
        <v>74</v>
      </c>
      <c r="AB370" t="s">
        <v>7605</v>
      </c>
      <c r="AC370" t="s">
        <v>7606</v>
      </c>
      <c r="AD370" t="s">
        <v>7607</v>
      </c>
      <c r="AE370" t="s">
        <v>7608</v>
      </c>
      <c r="AF370" t="s">
        <v>74</v>
      </c>
      <c r="AG370">
        <v>42</v>
      </c>
      <c r="AH370">
        <v>4</v>
      </c>
      <c r="AI370">
        <v>4</v>
      </c>
      <c r="AJ370">
        <v>0</v>
      </c>
      <c r="AK370">
        <v>2</v>
      </c>
      <c r="AL370" t="s">
        <v>2460</v>
      </c>
      <c r="AM370" t="s">
        <v>2461</v>
      </c>
      <c r="AN370" t="s">
        <v>2462</v>
      </c>
      <c r="AO370" t="s">
        <v>2485</v>
      </c>
      <c r="AP370" t="s">
        <v>2486</v>
      </c>
      <c r="AQ370" t="s">
        <v>74</v>
      </c>
      <c r="AR370" t="s">
        <v>2473</v>
      </c>
      <c r="AS370" t="s">
        <v>2487</v>
      </c>
      <c r="AT370" t="s">
        <v>7574</v>
      </c>
      <c r="AU370">
        <v>2022</v>
      </c>
      <c r="AV370">
        <v>16</v>
      </c>
      <c r="AW370">
        <v>9</v>
      </c>
      <c r="AX370" t="s">
        <v>74</v>
      </c>
      <c r="AY370" t="s">
        <v>74</v>
      </c>
      <c r="AZ370" t="s">
        <v>74</v>
      </c>
      <c r="BA370" t="s">
        <v>74</v>
      </c>
      <c r="BB370">
        <v>3413</v>
      </c>
      <c r="BC370">
        <v>3430</v>
      </c>
      <c r="BD370" t="s">
        <v>74</v>
      </c>
      <c r="BE370" t="s">
        <v>7609</v>
      </c>
      <c r="BF370" t="str">
        <f>HYPERLINK("http://dx.doi.org/10.5194/tc-16-3413-2022","http://dx.doi.org/10.5194/tc-16-3413-2022")</f>
        <v>http://dx.doi.org/10.5194/tc-16-3413-2022</v>
      </c>
      <c r="BG370" t="s">
        <v>74</v>
      </c>
      <c r="BH370" t="s">
        <v>74</v>
      </c>
      <c r="BI370">
        <v>18</v>
      </c>
      <c r="BJ370" t="s">
        <v>354</v>
      </c>
      <c r="BK370" t="s">
        <v>100</v>
      </c>
      <c r="BL370" t="s">
        <v>241</v>
      </c>
      <c r="BM370" t="s">
        <v>7610</v>
      </c>
      <c r="BN370" t="s">
        <v>74</v>
      </c>
      <c r="BO370" t="s">
        <v>1195</v>
      </c>
      <c r="BP370" t="s">
        <v>74</v>
      </c>
      <c r="BQ370" t="s">
        <v>74</v>
      </c>
      <c r="BR370" t="s">
        <v>103</v>
      </c>
      <c r="BS370" t="s">
        <v>7611</v>
      </c>
      <c r="BT370" t="str">
        <f>HYPERLINK("https%3A%2F%2Fwww.webofscience.com%2Fwos%2Fwoscc%2Ffull-record%2FWOS:000847670700001","View Full Record in Web of Science")</f>
        <v>View Full Record in Web of Science</v>
      </c>
    </row>
    <row r="371" spans="1:72" x14ac:dyDescent="0.15">
      <c r="A371" t="s">
        <v>72</v>
      </c>
      <c r="B371" t="s">
        <v>7612</v>
      </c>
      <c r="C371" t="s">
        <v>74</v>
      </c>
      <c r="D371" t="s">
        <v>74</v>
      </c>
      <c r="E371" t="s">
        <v>74</v>
      </c>
      <c r="F371" t="s">
        <v>7613</v>
      </c>
      <c r="G371" t="s">
        <v>74</v>
      </c>
      <c r="H371" t="s">
        <v>74</v>
      </c>
      <c r="I371" t="s">
        <v>7614</v>
      </c>
      <c r="J371" t="s">
        <v>5194</v>
      </c>
      <c r="K371" t="s">
        <v>74</v>
      </c>
      <c r="L371" t="s">
        <v>74</v>
      </c>
      <c r="M371" t="s">
        <v>78</v>
      </c>
      <c r="N371" t="s">
        <v>79</v>
      </c>
      <c r="O371" t="s">
        <v>74</v>
      </c>
      <c r="P371" t="s">
        <v>74</v>
      </c>
      <c r="Q371" t="s">
        <v>74</v>
      </c>
      <c r="R371" t="s">
        <v>74</v>
      </c>
      <c r="S371" t="s">
        <v>74</v>
      </c>
      <c r="T371" t="s">
        <v>7615</v>
      </c>
      <c r="U371" t="s">
        <v>7616</v>
      </c>
      <c r="V371" t="s">
        <v>7617</v>
      </c>
      <c r="W371" t="s">
        <v>7618</v>
      </c>
      <c r="X371" t="s">
        <v>7619</v>
      </c>
      <c r="Y371" t="s">
        <v>7620</v>
      </c>
      <c r="Z371" t="s">
        <v>7621</v>
      </c>
      <c r="AA371" t="s">
        <v>7622</v>
      </c>
      <c r="AB371" t="s">
        <v>7623</v>
      </c>
      <c r="AC371" t="s">
        <v>7624</v>
      </c>
      <c r="AD371" t="s">
        <v>7625</v>
      </c>
      <c r="AE371" t="s">
        <v>7626</v>
      </c>
      <c r="AF371" t="s">
        <v>74</v>
      </c>
      <c r="AG371">
        <v>56</v>
      </c>
      <c r="AH371">
        <v>10</v>
      </c>
      <c r="AI371">
        <v>10</v>
      </c>
      <c r="AJ371">
        <v>5</v>
      </c>
      <c r="AK371">
        <v>23</v>
      </c>
      <c r="AL371" t="s">
        <v>231</v>
      </c>
      <c r="AM371" t="s">
        <v>232</v>
      </c>
      <c r="AN371" t="s">
        <v>233</v>
      </c>
      <c r="AO371" t="s">
        <v>5207</v>
      </c>
      <c r="AP371" t="s">
        <v>5208</v>
      </c>
      <c r="AQ371" t="s">
        <v>74</v>
      </c>
      <c r="AR371" t="s">
        <v>5209</v>
      </c>
      <c r="AS371" t="s">
        <v>5210</v>
      </c>
      <c r="AT371" t="s">
        <v>238</v>
      </c>
      <c r="AU371">
        <v>2023</v>
      </c>
      <c r="AV371">
        <v>29</v>
      </c>
      <c r="AW371">
        <v>1</v>
      </c>
      <c r="AX371" t="s">
        <v>74</v>
      </c>
      <c r="AY371" t="s">
        <v>74</v>
      </c>
      <c r="AZ371" t="s">
        <v>74</v>
      </c>
      <c r="BA371" t="s">
        <v>74</v>
      </c>
      <c r="BB371">
        <v>179</v>
      </c>
      <c r="BC371">
        <v>188</v>
      </c>
      <c r="BD371" t="s">
        <v>74</v>
      </c>
      <c r="BE371" t="s">
        <v>7627</v>
      </c>
      <c r="BF371" t="str">
        <f>HYPERLINK("http://dx.doi.org/10.1111/gcb.16402","http://dx.doi.org/10.1111/gcb.16402")</f>
        <v>http://dx.doi.org/10.1111/gcb.16402</v>
      </c>
      <c r="BG371" t="s">
        <v>74</v>
      </c>
      <c r="BH371" t="s">
        <v>7628</v>
      </c>
      <c r="BI371">
        <v>10</v>
      </c>
      <c r="BJ371" t="s">
        <v>3785</v>
      </c>
      <c r="BK371" t="s">
        <v>100</v>
      </c>
      <c r="BL371" t="s">
        <v>1170</v>
      </c>
      <c r="BM371" t="s">
        <v>7629</v>
      </c>
      <c r="BN371">
        <v>36045500</v>
      </c>
      <c r="BO371" t="s">
        <v>74</v>
      </c>
      <c r="BP371" t="s">
        <v>74</v>
      </c>
      <c r="BQ371" t="s">
        <v>74</v>
      </c>
      <c r="BR371" t="s">
        <v>103</v>
      </c>
      <c r="BS371" t="s">
        <v>7630</v>
      </c>
      <c r="BT371" t="str">
        <f>HYPERLINK("https%3A%2F%2Fwww.webofscience.com%2Fwos%2Fwoscc%2Ffull-record%2FWOS:000847919500001","View Full Record in Web of Science")</f>
        <v>View Full Record in Web of Science</v>
      </c>
    </row>
    <row r="372" spans="1:72" x14ac:dyDescent="0.15">
      <c r="A372" t="s">
        <v>72</v>
      </c>
      <c r="B372" t="s">
        <v>7631</v>
      </c>
      <c r="C372" t="s">
        <v>74</v>
      </c>
      <c r="D372" t="s">
        <v>74</v>
      </c>
      <c r="E372" t="s">
        <v>74</v>
      </c>
      <c r="F372" t="s">
        <v>7632</v>
      </c>
      <c r="G372" t="s">
        <v>74</v>
      </c>
      <c r="H372" t="s">
        <v>74</v>
      </c>
      <c r="I372" t="s">
        <v>7633</v>
      </c>
      <c r="J372" t="s">
        <v>2653</v>
      </c>
      <c r="K372" t="s">
        <v>74</v>
      </c>
      <c r="L372" t="s">
        <v>74</v>
      </c>
      <c r="M372" t="s">
        <v>78</v>
      </c>
      <c r="N372" t="s">
        <v>79</v>
      </c>
      <c r="O372" t="s">
        <v>74</v>
      </c>
      <c r="P372" t="s">
        <v>74</v>
      </c>
      <c r="Q372" t="s">
        <v>74</v>
      </c>
      <c r="R372" t="s">
        <v>74</v>
      </c>
      <c r="S372" t="s">
        <v>74</v>
      </c>
      <c r="T372" t="s">
        <v>7634</v>
      </c>
      <c r="U372" t="s">
        <v>7635</v>
      </c>
      <c r="V372" t="s">
        <v>7636</v>
      </c>
      <c r="W372" t="s">
        <v>7637</v>
      </c>
      <c r="X372" t="s">
        <v>7638</v>
      </c>
      <c r="Y372" t="s">
        <v>7639</v>
      </c>
      <c r="Z372" t="s">
        <v>7640</v>
      </c>
      <c r="AA372" t="s">
        <v>74</v>
      </c>
      <c r="AB372" t="s">
        <v>7641</v>
      </c>
      <c r="AC372" t="s">
        <v>7642</v>
      </c>
      <c r="AD372" t="s">
        <v>7643</v>
      </c>
      <c r="AE372" t="s">
        <v>7644</v>
      </c>
      <c r="AF372" t="s">
        <v>74</v>
      </c>
      <c r="AG372">
        <v>36</v>
      </c>
      <c r="AH372">
        <v>1</v>
      </c>
      <c r="AI372">
        <v>1</v>
      </c>
      <c r="AJ372">
        <v>0</v>
      </c>
      <c r="AK372">
        <v>2</v>
      </c>
      <c r="AL372" t="s">
        <v>2275</v>
      </c>
      <c r="AM372" t="s">
        <v>90</v>
      </c>
      <c r="AN372" t="s">
        <v>2276</v>
      </c>
      <c r="AO372" t="s">
        <v>2666</v>
      </c>
      <c r="AP372" t="s">
        <v>2667</v>
      </c>
      <c r="AQ372" t="s">
        <v>74</v>
      </c>
      <c r="AR372" t="s">
        <v>2668</v>
      </c>
      <c r="AS372" t="s">
        <v>2669</v>
      </c>
      <c r="AT372" t="s">
        <v>1633</v>
      </c>
      <c r="AU372">
        <v>2022</v>
      </c>
      <c r="AV372">
        <v>293</v>
      </c>
      <c r="AW372" t="s">
        <v>74</v>
      </c>
      <c r="AX372" t="s">
        <v>74</v>
      </c>
      <c r="AY372" t="s">
        <v>74</v>
      </c>
      <c r="AZ372" t="s">
        <v>74</v>
      </c>
      <c r="BA372" t="s">
        <v>74</v>
      </c>
      <c r="BB372" t="s">
        <v>74</v>
      </c>
      <c r="BC372" t="s">
        <v>74</v>
      </c>
      <c r="BD372">
        <v>107526</v>
      </c>
      <c r="BE372" t="s">
        <v>7645</v>
      </c>
      <c r="BF372" t="str">
        <f>HYPERLINK("http://dx.doi.org/10.1016/j.quascirev.2022.107526","http://dx.doi.org/10.1016/j.quascirev.2022.107526")</f>
        <v>http://dx.doi.org/10.1016/j.quascirev.2022.107526</v>
      </c>
      <c r="BG372" t="s">
        <v>74</v>
      </c>
      <c r="BH372" t="s">
        <v>7628</v>
      </c>
      <c r="BI372">
        <v>8</v>
      </c>
      <c r="BJ372" t="s">
        <v>354</v>
      </c>
      <c r="BK372" t="s">
        <v>100</v>
      </c>
      <c r="BL372" t="s">
        <v>241</v>
      </c>
      <c r="BM372" t="s">
        <v>7646</v>
      </c>
      <c r="BN372" t="s">
        <v>74</v>
      </c>
      <c r="BO372" t="s">
        <v>831</v>
      </c>
      <c r="BP372" t="s">
        <v>74</v>
      </c>
      <c r="BQ372" t="s">
        <v>74</v>
      </c>
      <c r="BR372" t="s">
        <v>103</v>
      </c>
      <c r="BS372" t="s">
        <v>7647</v>
      </c>
      <c r="BT372" t="str">
        <f>HYPERLINK("https%3A%2F%2Fwww.webofscience.com%2Fwos%2Fwoscc%2Ffull-record%2FWOS:000861336500005","View Full Record in Web of Science")</f>
        <v>View Full Record in Web of Science</v>
      </c>
    </row>
    <row r="373" spans="1:72" x14ac:dyDescent="0.15">
      <c r="A373" t="s">
        <v>72</v>
      </c>
      <c r="B373" t="s">
        <v>7648</v>
      </c>
      <c r="C373" t="s">
        <v>74</v>
      </c>
      <c r="D373" t="s">
        <v>74</v>
      </c>
      <c r="E373" t="s">
        <v>74</v>
      </c>
      <c r="F373" t="s">
        <v>7649</v>
      </c>
      <c r="G373" t="s">
        <v>74</v>
      </c>
      <c r="H373" t="s">
        <v>74</v>
      </c>
      <c r="I373" t="s">
        <v>7650</v>
      </c>
      <c r="J373" t="s">
        <v>7651</v>
      </c>
      <c r="K373" t="s">
        <v>74</v>
      </c>
      <c r="L373" t="s">
        <v>74</v>
      </c>
      <c r="M373" t="s">
        <v>78</v>
      </c>
      <c r="N373" t="s">
        <v>79</v>
      </c>
      <c r="O373" t="s">
        <v>74</v>
      </c>
      <c r="P373" t="s">
        <v>74</v>
      </c>
      <c r="Q373" t="s">
        <v>74</v>
      </c>
      <c r="R373" t="s">
        <v>74</v>
      </c>
      <c r="S373" t="s">
        <v>74</v>
      </c>
      <c r="T373" t="s">
        <v>7652</v>
      </c>
      <c r="U373" t="s">
        <v>7653</v>
      </c>
      <c r="V373" t="s">
        <v>7654</v>
      </c>
      <c r="W373" t="s">
        <v>7655</v>
      </c>
      <c r="X373" t="s">
        <v>7656</v>
      </c>
      <c r="Y373" t="s">
        <v>7657</v>
      </c>
      <c r="Z373" t="s">
        <v>7658</v>
      </c>
      <c r="AA373" t="s">
        <v>74</v>
      </c>
      <c r="AB373" t="s">
        <v>7659</v>
      </c>
      <c r="AC373" t="s">
        <v>7660</v>
      </c>
      <c r="AD373" t="s">
        <v>7661</v>
      </c>
      <c r="AE373" t="s">
        <v>7662</v>
      </c>
      <c r="AF373" t="s">
        <v>74</v>
      </c>
      <c r="AG373">
        <v>53</v>
      </c>
      <c r="AH373">
        <v>3</v>
      </c>
      <c r="AI373">
        <v>3</v>
      </c>
      <c r="AJ373">
        <v>0</v>
      </c>
      <c r="AK373">
        <v>7</v>
      </c>
      <c r="AL373" t="s">
        <v>501</v>
      </c>
      <c r="AM373" t="s">
        <v>502</v>
      </c>
      <c r="AN373" t="s">
        <v>503</v>
      </c>
      <c r="AO373" t="s">
        <v>7663</v>
      </c>
      <c r="AP373" t="s">
        <v>7664</v>
      </c>
      <c r="AQ373" t="s">
        <v>74</v>
      </c>
      <c r="AR373" t="s">
        <v>7665</v>
      </c>
      <c r="AS373" t="s">
        <v>7666</v>
      </c>
      <c r="AT373" t="s">
        <v>238</v>
      </c>
      <c r="AU373">
        <v>2023</v>
      </c>
      <c r="AV373">
        <v>144</v>
      </c>
      <c r="AW373" t="s">
        <v>74</v>
      </c>
      <c r="AX373" t="s">
        <v>74</v>
      </c>
      <c r="AY373" t="s">
        <v>74</v>
      </c>
      <c r="AZ373" t="s">
        <v>74</v>
      </c>
      <c r="BA373" t="s">
        <v>74</v>
      </c>
      <c r="BB373" t="s">
        <v>74</v>
      </c>
      <c r="BC373" t="s">
        <v>74</v>
      </c>
      <c r="BD373">
        <v>102766</v>
      </c>
      <c r="BE373" t="s">
        <v>7667</v>
      </c>
      <c r="BF373" t="str">
        <f>HYPERLINK("http://dx.doi.org/10.1016/j.astropartphys.2022.102766","http://dx.doi.org/10.1016/j.astropartphys.2022.102766")</f>
        <v>http://dx.doi.org/10.1016/j.astropartphys.2022.102766</v>
      </c>
      <c r="BG373" t="s">
        <v>74</v>
      </c>
      <c r="BH373" t="s">
        <v>7628</v>
      </c>
      <c r="BI373">
        <v>9</v>
      </c>
      <c r="BJ373" t="s">
        <v>2908</v>
      </c>
      <c r="BK373" t="s">
        <v>100</v>
      </c>
      <c r="BL373" t="s">
        <v>2909</v>
      </c>
      <c r="BM373" t="s">
        <v>7668</v>
      </c>
      <c r="BN373" t="s">
        <v>74</v>
      </c>
      <c r="BO373" t="s">
        <v>7669</v>
      </c>
      <c r="BP373" t="s">
        <v>74</v>
      </c>
      <c r="BQ373" t="s">
        <v>74</v>
      </c>
      <c r="BR373" t="s">
        <v>103</v>
      </c>
      <c r="BS373" t="s">
        <v>7670</v>
      </c>
      <c r="BT373" t="str">
        <f>HYPERLINK("https%3A%2F%2Fwww.webofscience.com%2Fwos%2Fwoscc%2Ffull-record%2FWOS:000856878400001","View Full Record in Web of Science")</f>
        <v>View Full Record in Web of Science</v>
      </c>
    </row>
    <row r="374" spans="1:72" x14ac:dyDescent="0.15">
      <c r="A374" t="s">
        <v>72</v>
      </c>
      <c r="B374" t="s">
        <v>7671</v>
      </c>
      <c r="C374" t="s">
        <v>74</v>
      </c>
      <c r="D374" t="s">
        <v>74</v>
      </c>
      <c r="E374" t="s">
        <v>74</v>
      </c>
      <c r="F374" t="s">
        <v>7672</v>
      </c>
      <c r="G374" t="s">
        <v>74</v>
      </c>
      <c r="H374" t="s">
        <v>74</v>
      </c>
      <c r="I374" t="s">
        <v>7673</v>
      </c>
      <c r="J374" t="s">
        <v>3864</v>
      </c>
      <c r="K374" t="s">
        <v>74</v>
      </c>
      <c r="L374" t="s">
        <v>74</v>
      </c>
      <c r="M374" t="s">
        <v>78</v>
      </c>
      <c r="N374" t="s">
        <v>79</v>
      </c>
      <c r="O374" t="s">
        <v>74</v>
      </c>
      <c r="P374" t="s">
        <v>74</v>
      </c>
      <c r="Q374" t="s">
        <v>74</v>
      </c>
      <c r="R374" t="s">
        <v>74</v>
      </c>
      <c r="S374" t="s">
        <v>74</v>
      </c>
      <c r="T374" t="s">
        <v>7674</v>
      </c>
      <c r="U374" t="s">
        <v>7675</v>
      </c>
      <c r="V374" t="s">
        <v>7676</v>
      </c>
      <c r="W374" t="s">
        <v>7677</v>
      </c>
      <c r="X374" t="s">
        <v>7678</v>
      </c>
      <c r="Y374" t="s">
        <v>7679</v>
      </c>
      <c r="Z374" t="s">
        <v>7680</v>
      </c>
      <c r="AA374" t="s">
        <v>7681</v>
      </c>
      <c r="AB374" t="s">
        <v>7682</v>
      </c>
      <c r="AC374" t="s">
        <v>7683</v>
      </c>
      <c r="AD374" t="s">
        <v>7684</v>
      </c>
      <c r="AE374" t="s">
        <v>7685</v>
      </c>
      <c r="AF374" t="s">
        <v>74</v>
      </c>
      <c r="AG374">
        <v>65</v>
      </c>
      <c r="AH374">
        <v>0</v>
      </c>
      <c r="AI374">
        <v>0</v>
      </c>
      <c r="AJ374">
        <v>5</v>
      </c>
      <c r="AK374">
        <v>27</v>
      </c>
      <c r="AL374" t="s">
        <v>206</v>
      </c>
      <c r="AM374" t="s">
        <v>207</v>
      </c>
      <c r="AN374" t="s">
        <v>208</v>
      </c>
      <c r="AO374" t="s">
        <v>3877</v>
      </c>
      <c r="AP374" t="s">
        <v>74</v>
      </c>
      <c r="AQ374" t="s">
        <v>74</v>
      </c>
      <c r="AR374" t="s">
        <v>3878</v>
      </c>
      <c r="AS374" t="s">
        <v>3879</v>
      </c>
      <c r="AT374" t="s">
        <v>3880</v>
      </c>
      <c r="AU374">
        <v>2022</v>
      </c>
      <c r="AV374">
        <v>10</v>
      </c>
      <c r="AW374">
        <v>5</v>
      </c>
      <c r="AX374" t="s">
        <v>74</v>
      </c>
      <c r="AY374" t="s">
        <v>74</v>
      </c>
      <c r="AZ374" t="s">
        <v>74</v>
      </c>
      <c r="BA374" t="s">
        <v>74</v>
      </c>
      <c r="BB374" t="s">
        <v>74</v>
      </c>
      <c r="BC374" t="s">
        <v>74</v>
      </c>
      <c r="BD374" t="s">
        <v>74</v>
      </c>
      <c r="BE374" t="s">
        <v>7686</v>
      </c>
      <c r="BF374" t="str">
        <f>HYPERLINK("http://dx.doi.org/10.1128/spectrum.00691-22","http://dx.doi.org/10.1128/spectrum.00691-22")</f>
        <v>http://dx.doi.org/10.1128/spectrum.00691-22</v>
      </c>
      <c r="BG374" t="s">
        <v>74</v>
      </c>
      <c r="BH374" t="s">
        <v>7628</v>
      </c>
      <c r="BI374">
        <v>15</v>
      </c>
      <c r="BJ374" t="s">
        <v>214</v>
      </c>
      <c r="BK374" t="s">
        <v>100</v>
      </c>
      <c r="BL374" t="s">
        <v>214</v>
      </c>
      <c r="BM374" t="s">
        <v>3882</v>
      </c>
      <c r="BN374">
        <v>36040174</v>
      </c>
      <c r="BO374" t="s">
        <v>7687</v>
      </c>
      <c r="BP374" t="s">
        <v>74</v>
      </c>
      <c r="BQ374" t="s">
        <v>74</v>
      </c>
      <c r="BR374" t="s">
        <v>103</v>
      </c>
      <c r="BS374" t="s">
        <v>7688</v>
      </c>
      <c r="BT374" t="str">
        <f>HYPERLINK("https%3A%2F%2Fwww.webofscience.com%2Fwos%2Fwoscc%2Ffull-record%2FWOS:000849854500002","View Full Record in Web of Science")</f>
        <v>View Full Record in Web of Science</v>
      </c>
    </row>
    <row r="375" spans="1:72" x14ac:dyDescent="0.15">
      <c r="A375" t="s">
        <v>72</v>
      </c>
      <c r="B375" t="s">
        <v>7689</v>
      </c>
      <c r="C375" t="s">
        <v>74</v>
      </c>
      <c r="D375" t="s">
        <v>74</v>
      </c>
      <c r="E375" t="s">
        <v>74</v>
      </c>
      <c r="F375" t="s">
        <v>7690</v>
      </c>
      <c r="G375" t="s">
        <v>74</v>
      </c>
      <c r="H375" t="s">
        <v>74</v>
      </c>
      <c r="I375" t="s">
        <v>7691</v>
      </c>
      <c r="J375" t="s">
        <v>4697</v>
      </c>
      <c r="K375" t="s">
        <v>74</v>
      </c>
      <c r="L375" t="s">
        <v>74</v>
      </c>
      <c r="M375" t="s">
        <v>78</v>
      </c>
      <c r="N375" t="s">
        <v>79</v>
      </c>
      <c r="O375" t="s">
        <v>74</v>
      </c>
      <c r="P375" t="s">
        <v>74</v>
      </c>
      <c r="Q375" t="s">
        <v>74</v>
      </c>
      <c r="R375" t="s">
        <v>74</v>
      </c>
      <c r="S375" t="s">
        <v>74</v>
      </c>
      <c r="T375" t="s">
        <v>74</v>
      </c>
      <c r="U375" t="s">
        <v>7692</v>
      </c>
      <c r="V375" t="s">
        <v>7693</v>
      </c>
      <c r="W375" t="s">
        <v>7694</v>
      </c>
      <c r="X375" t="s">
        <v>7695</v>
      </c>
      <c r="Y375" t="s">
        <v>7696</v>
      </c>
      <c r="Z375" t="s">
        <v>7697</v>
      </c>
      <c r="AA375" t="s">
        <v>7698</v>
      </c>
      <c r="AB375" t="s">
        <v>7699</v>
      </c>
      <c r="AC375" t="s">
        <v>7700</v>
      </c>
      <c r="AD375" t="s">
        <v>7701</v>
      </c>
      <c r="AE375" t="s">
        <v>7702</v>
      </c>
      <c r="AF375" t="s">
        <v>74</v>
      </c>
      <c r="AG375">
        <v>70</v>
      </c>
      <c r="AH375">
        <v>0</v>
      </c>
      <c r="AI375">
        <v>0</v>
      </c>
      <c r="AJ375">
        <v>5</v>
      </c>
      <c r="AK375">
        <v>24</v>
      </c>
      <c r="AL375" t="s">
        <v>2773</v>
      </c>
      <c r="AM375" t="s">
        <v>2774</v>
      </c>
      <c r="AN375" t="s">
        <v>2775</v>
      </c>
      <c r="AO375" t="s">
        <v>74</v>
      </c>
      <c r="AP375" t="s">
        <v>4709</v>
      </c>
      <c r="AQ375" t="s">
        <v>74</v>
      </c>
      <c r="AR375" t="s">
        <v>4710</v>
      </c>
      <c r="AS375" t="s">
        <v>4711</v>
      </c>
      <c r="AT375" t="s">
        <v>7703</v>
      </c>
      <c r="AU375">
        <v>2022</v>
      </c>
      <c r="AV375">
        <v>3</v>
      </c>
      <c r="AW375">
        <v>1</v>
      </c>
      <c r="AX375" t="s">
        <v>74</v>
      </c>
      <c r="AY375" t="s">
        <v>74</v>
      </c>
      <c r="AZ375" t="s">
        <v>74</v>
      </c>
      <c r="BA375" t="s">
        <v>74</v>
      </c>
      <c r="BB375" t="s">
        <v>74</v>
      </c>
      <c r="BC375" t="s">
        <v>74</v>
      </c>
      <c r="BD375">
        <v>196</v>
      </c>
      <c r="BE375" t="s">
        <v>7704</v>
      </c>
      <c r="BF375" t="str">
        <f>HYPERLINK("http://dx.doi.org/10.1038/s43247-022-00536-0","http://dx.doi.org/10.1038/s43247-022-00536-0")</f>
        <v>http://dx.doi.org/10.1038/s43247-022-00536-0</v>
      </c>
      <c r="BG375" t="s">
        <v>74</v>
      </c>
      <c r="BH375" t="s">
        <v>74</v>
      </c>
      <c r="BI375">
        <v>10</v>
      </c>
      <c r="BJ375" t="s">
        <v>1010</v>
      </c>
      <c r="BK375" t="s">
        <v>100</v>
      </c>
      <c r="BL375" t="s">
        <v>1011</v>
      </c>
      <c r="BM375" t="s">
        <v>7705</v>
      </c>
      <c r="BN375" t="s">
        <v>74</v>
      </c>
      <c r="BO375" t="s">
        <v>132</v>
      </c>
      <c r="BP375" t="s">
        <v>74</v>
      </c>
      <c r="BQ375" t="s">
        <v>74</v>
      </c>
      <c r="BR375" t="s">
        <v>103</v>
      </c>
      <c r="BS375" t="s">
        <v>7706</v>
      </c>
      <c r="BT375" t="str">
        <f>HYPERLINK("https%3A%2F%2Fwww.webofscience.com%2Fwos%2Fwoscc%2Ffull-record%2FWOS:000847685800002","View Full Record in Web of Science")</f>
        <v>View Full Record in Web of Science</v>
      </c>
    </row>
    <row r="376" spans="1:72" x14ac:dyDescent="0.15">
      <c r="A376" t="s">
        <v>72</v>
      </c>
      <c r="B376" t="s">
        <v>7707</v>
      </c>
      <c r="C376" t="s">
        <v>74</v>
      </c>
      <c r="D376" t="s">
        <v>74</v>
      </c>
      <c r="E376" t="s">
        <v>74</v>
      </c>
      <c r="F376" t="s">
        <v>7708</v>
      </c>
      <c r="G376" t="s">
        <v>74</v>
      </c>
      <c r="H376" t="s">
        <v>74</v>
      </c>
      <c r="I376" t="s">
        <v>7709</v>
      </c>
      <c r="J376" t="s">
        <v>7710</v>
      </c>
      <c r="K376" t="s">
        <v>74</v>
      </c>
      <c r="L376" t="s">
        <v>74</v>
      </c>
      <c r="M376" t="s">
        <v>78</v>
      </c>
      <c r="N376" t="s">
        <v>79</v>
      </c>
      <c r="O376" t="s">
        <v>74</v>
      </c>
      <c r="P376" t="s">
        <v>74</v>
      </c>
      <c r="Q376" t="s">
        <v>74</v>
      </c>
      <c r="R376" t="s">
        <v>74</v>
      </c>
      <c r="S376" t="s">
        <v>74</v>
      </c>
      <c r="T376" t="s">
        <v>7711</v>
      </c>
      <c r="U376" t="s">
        <v>7712</v>
      </c>
      <c r="V376" t="s">
        <v>7713</v>
      </c>
      <c r="W376" t="s">
        <v>7714</v>
      </c>
      <c r="X376" t="s">
        <v>7715</v>
      </c>
      <c r="Y376" t="s">
        <v>7716</v>
      </c>
      <c r="Z376" t="s">
        <v>7717</v>
      </c>
      <c r="AA376" t="s">
        <v>7718</v>
      </c>
      <c r="AB376" t="s">
        <v>7719</v>
      </c>
      <c r="AC376" t="s">
        <v>7720</v>
      </c>
      <c r="AD376" t="s">
        <v>7721</v>
      </c>
      <c r="AE376" t="s">
        <v>7722</v>
      </c>
      <c r="AF376" t="s">
        <v>74</v>
      </c>
      <c r="AG376">
        <v>64</v>
      </c>
      <c r="AH376">
        <v>4</v>
      </c>
      <c r="AI376">
        <v>4</v>
      </c>
      <c r="AJ376">
        <v>16</v>
      </c>
      <c r="AK376">
        <v>36</v>
      </c>
      <c r="AL376" t="s">
        <v>5619</v>
      </c>
      <c r="AM376" t="s">
        <v>550</v>
      </c>
      <c r="AN376" t="s">
        <v>7723</v>
      </c>
      <c r="AO376" t="s">
        <v>7724</v>
      </c>
      <c r="AP376" t="s">
        <v>7725</v>
      </c>
      <c r="AQ376" t="s">
        <v>74</v>
      </c>
      <c r="AR376" t="s">
        <v>7726</v>
      </c>
      <c r="AS376" t="s">
        <v>7727</v>
      </c>
      <c r="AT376" t="s">
        <v>238</v>
      </c>
      <c r="AU376">
        <v>2023</v>
      </c>
      <c r="AV376">
        <v>41</v>
      </c>
      <c r="AW376">
        <v>1</v>
      </c>
      <c r="AX376" t="s">
        <v>74</v>
      </c>
      <c r="AY376" t="s">
        <v>74</v>
      </c>
      <c r="AZ376" t="s">
        <v>74</v>
      </c>
      <c r="BA376" t="s">
        <v>74</v>
      </c>
      <c r="BB376">
        <v>138</v>
      </c>
      <c r="BC376">
        <v>149</v>
      </c>
      <c r="BD376" t="s">
        <v>74</v>
      </c>
      <c r="BE376" t="s">
        <v>7728</v>
      </c>
      <c r="BF376" t="str">
        <f>HYPERLINK("http://dx.doi.org/10.1007/s00343-021-1173-z","http://dx.doi.org/10.1007/s00343-021-1173-z")</f>
        <v>http://dx.doi.org/10.1007/s00343-021-1173-z</v>
      </c>
      <c r="BG376" t="s">
        <v>74</v>
      </c>
      <c r="BH376" t="s">
        <v>7628</v>
      </c>
      <c r="BI376">
        <v>12</v>
      </c>
      <c r="BJ376" t="s">
        <v>5082</v>
      </c>
      <c r="BK376" t="s">
        <v>100</v>
      </c>
      <c r="BL376" t="s">
        <v>5083</v>
      </c>
      <c r="BM376" t="s">
        <v>7729</v>
      </c>
      <c r="BN376" t="s">
        <v>74</v>
      </c>
      <c r="BO376" t="s">
        <v>74</v>
      </c>
      <c r="BP376" t="s">
        <v>74</v>
      </c>
      <c r="BQ376" t="s">
        <v>74</v>
      </c>
      <c r="BR376" t="s">
        <v>103</v>
      </c>
      <c r="BS376" t="s">
        <v>7730</v>
      </c>
      <c r="BT376" t="str">
        <f>HYPERLINK("https%3A%2F%2Fwww.webofscience.com%2Fwos%2Fwoscc%2Ffull-record%2FWOS:000847628700012","View Full Record in Web of Science")</f>
        <v>View Full Record in Web of Science</v>
      </c>
    </row>
    <row r="377" spans="1:72" x14ac:dyDescent="0.15">
      <c r="A377" t="s">
        <v>72</v>
      </c>
      <c r="B377" t="s">
        <v>7731</v>
      </c>
      <c r="C377" t="s">
        <v>74</v>
      </c>
      <c r="D377" t="s">
        <v>74</v>
      </c>
      <c r="E377" t="s">
        <v>74</v>
      </c>
      <c r="F377" t="s">
        <v>7732</v>
      </c>
      <c r="G377" t="s">
        <v>74</v>
      </c>
      <c r="H377" t="s">
        <v>74</v>
      </c>
      <c r="I377" t="s">
        <v>7733</v>
      </c>
      <c r="J377" t="s">
        <v>4327</v>
      </c>
      <c r="K377" t="s">
        <v>74</v>
      </c>
      <c r="L377" t="s">
        <v>74</v>
      </c>
      <c r="M377" t="s">
        <v>78</v>
      </c>
      <c r="N377" t="s">
        <v>79</v>
      </c>
      <c r="O377" t="s">
        <v>74</v>
      </c>
      <c r="P377" t="s">
        <v>74</v>
      </c>
      <c r="Q377" t="s">
        <v>74</v>
      </c>
      <c r="R377" t="s">
        <v>74</v>
      </c>
      <c r="S377" t="s">
        <v>74</v>
      </c>
      <c r="T377" t="s">
        <v>7734</v>
      </c>
      <c r="U377" t="s">
        <v>7735</v>
      </c>
      <c r="V377" t="s">
        <v>7736</v>
      </c>
      <c r="W377" t="s">
        <v>7737</v>
      </c>
      <c r="X377" t="s">
        <v>7738</v>
      </c>
      <c r="Y377" t="s">
        <v>7739</v>
      </c>
      <c r="Z377" t="s">
        <v>7740</v>
      </c>
      <c r="AA377" t="s">
        <v>7741</v>
      </c>
      <c r="AB377" t="s">
        <v>7742</v>
      </c>
      <c r="AC377" t="s">
        <v>7743</v>
      </c>
      <c r="AD377" t="s">
        <v>7744</v>
      </c>
      <c r="AE377" t="s">
        <v>7745</v>
      </c>
      <c r="AF377" t="s">
        <v>74</v>
      </c>
      <c r="AG377">
        <v>90</v>
      </c>
      <c r="AH377">
        <v>1</v>
      </c>
      <c r="AI377">
        <v>1</v>
      </c>
      <c r="AJ377">
        <v>0</v>
      </c>
      <c r="AK377">
        <v>2</v>
      </c>
      <c r="AL377" t="s">
        <v>178</v>
      </c>
      <c r="AM377" t="s">
        <v>450</v>
      </c>
      <c r="AN377" t="s">
        <v>668</v>
      </c>
      <c r="AO377" t="s">
        <v>4340</v>
      </c>
      <c r="AP377" t="s">
        <v>4341</v>
      </c>
      <c r="AQ377" t="s">
        <v>74</v>
      </c>
      <c r="AR377" t="s">
        <v>4342</v>
      </c>
      <c r="AS377" t="s">
        <v>4343</v>
      </c>
      <c r="AT377" t="s">
        <v>5386</v>
      </c>
      <c r="AU377">
        <v>2022</v>
      </c>
      <c r="AV377">
        <v>45</v>
      </c>
      <c r="AW377">
        <v>8</v>
      </c>
      <c r="AX377" t="s">
        <v>74</v>
      </c>
      <c r="AY377" t="s">
        <v>74</v>
      </c>
      <c r="AZ377" t="s">
        <v>74</v>
      </c>
      <c r="BA377" t="s">
        <v>74</v>
      </c>
      <c r="BB377">
        <v>1441</v>
      </c>
      <c r="BC377">
        <v>1458</v>
      </c>
      <c r="BD377" t="s">
        <v>74</v>
      </c>
      <c r="BE377" t="s">
        <v>7746</v>
      </c>
      <c r="BF377" t="str">
        <f>HYPERLINK("http://dx.doi.org/10.1007/s00300-022-03076-7","http://dx.doi.org/10.1007/s00300-022-03076-7")</f>
        <v>http://dx.doi.org/10.1007/s00300-022-03076-7</v>
      </c>
      <c r="BG377" t="s">
        <v>74</v>
      </c>
      <c r="BH377" t="s">
        <v>7628</v>
      </c>
      <c r="BI377">
        <v>18</v>
      </c>
      <c r="BJ377" t="s">
        <v>1169</v>
      </c>
      <c r="BK377" t="s">
        <v>100</v>
      </c>
      <c r="BL377" t="s">
        <v>1170</v>
      </c>
      <c r="BM377" t="s">
        <v>7747</v>
      </c>
      <c r="BN377" t="s">
        <v>74</v>
      </c>
      <c r="BO377" t="s">
        <v>1341</v>
      </c>
      <c r="BP377" t="s">
        <v>74</v>
      </c>
      <c r="BQ377" t="s">
        <v>74</v>
      </c>
      <c r="BR377" t="s">
        <v>103</v>
      </c>
      <c r="BS377" t="s">
        <v>7748</v>
      </c>
      <c r="BT377" t="str">
        <f>HYPERLINK("https%3A%2F%2Fwww.webofscience.com%2Fwos%2Fwoscc%2Ffull-record%2FWOS:000847634600001","View Full Record in Web of Science")</f>
        <v>View Full Record in Web of Science</v>
      </c>
    </row>
    <row r="378" spans="1:72" x14ac:dyDescent="0.15">
      <c r="A378" t="s">
        <v>72</v>
      </c>
      <c r="B378" t="s">
        <v>7749</v>
      </c>
      <c r="C378" t="s">
        <v>74</v>
      </c>
      <c r="D378" t="s">
        <v>74</v>
      </c>
      <c r="E378" t="s">
        <v>74</v>
      </c>
      <c r="F378" t="s">
        <v>7750</v>
      </c>
      <c r="G378" t="s">
        <v>74</v>
      </c>
      <c r="H378" t="s">
        <v>74</v>
      </c>
      <c r="I378" t="s">
        <v>7751</v>
      </c>
      <c r="J378" t="s">
        <v>7752</v>
      </c>
      <c r="K378" t="s">
        <v>74</v>
      </c>
      <c r="L378" t="s">
        <v>74</v>
      </c>
      <c r="M378" t="s">
        <v>78</v>
      </c>
      <c r="N378" t="s">
        <v>79</v>
      </c>
      <c r="O378" t="s">
        <v>74</v>
      </c>
      <c r="P378" t="s">
        <v>74</v>
      </c>
      <c r="Q378" t="s">
        <v>74</v>
      </c>
      <c r="R378" t="s">
        <v>74</v>
      </c>
      <c r="S378" t="s">
        <v>74</v>
      </c>
      <c r="T378" t="s">
        <v>7753</v>
      </c>
      <c r="U378" t="s">
        <v>7754</v>
      </c>
      <c r="V378" t="s">
        <v>7755</v>
      </c>
      <c r="W378" t="s">
        <v>7756</v>
      </c>
      <c r="X378" t="s">
        <v>7757</v>
      </c>
      <c r="Y378" t="s">
        <v>7758</v>
      </c>
      <c r="Z378" t="s">
        <v>7759</v>
      </c>
      <c r="AA378" t="s">
        <v>74</v>
      </c>
      <c r="AB378" t="s">
        <v>74</v>
      </c>
      <c r="AC378" t="s">
        <v>7760</v>
      </c>
      <c r="AD378" t="s">
        <v>7761</v>
      </c>
      <c r="AE378" t="s">
        <v>7762</v>
      </c>
      <c r="AF378" t="s">
        <v>74</v>
      </c>
      <c r="AG378">
        <v>37</v>
      </c>
      <c r="AH378">
        <v>0</v>
      </c>
      <c r="AI378">
        <v>0</v>
      </c>
      <c r="AJ378">
        <v>1</v>
      </c>
      <c r="AK378">
        <v>11</v>
      </c>
      <c r="AL378" t="s">
        <v>449</v>
      </c>
      <c r="AM378" t="s">
        <v>450</v>
      </c>
      <c r="AN378" t="s">
        <v>451</v>
      </c>
      <c r="AO378" t="s">
        <v>7763</v>
      </c>
      <c r="AP378" t="s">
        <v>7764</v>
      </c>
      <c r="AQ378" t="s">
        <v>74</v>
      </c>
      <c r="AR378" t="s">
        <v>7765</v>
      </c>
      <c r="AS378" t="s">
        <v>7766</v>
      </c>
      <c r="AT378" t="s">
        <v>325</v>
      </c>
      <c r="AU378">
        <v>2022</v>
      </c>
      <c r="AV378">
        <v>56</v>
      </c>
      <c r="AW378">
        <v>6</v>
      </c>
      <c r="AX378" t="s">
        <v>74</v>
      </c>
      <c r="AY378" t="s">
        <v>74</v>
      </c>
      <c r="AZ378" t="s">
        <v>74</v>
      </c>
      <c r="BA378" t="s">
        <v>74</v>
      </c>
      <c r="BB378">
        <v>1003</v>
      </c>
      <c r="BC378">
        <v>1011</v>
      </c>
      <c r="BD378" t="s">
        <v>74</v>
      </c>
      <c r="BE378" t="s">
        <v>7767</v>
      </c>
      <c r="BF378" t="str">
        <f>HYPERLINK("http://dx.doi.org/10.1134/S0026893322060024","http://dx.doi.org/10.1134/S0026893322060024")</f>
        <v>http://dx.doi.org/10.1134/S0026893322060024</v>
      </c>
      <c r="BG378" t="s">
        <v>74</v>
      </c>
      <c r="BH378" t="s">
        <v>7628</v>
      </c>
      <c r="BI378">
        <v>9</v>
      </c>
      <c r="BJ378" t="s">
        <v>7768</v>
      </c>
      <c r="BK378" t="s">
        <v>100</v>
      </c>
      <c r="BL378" t="s">
        <v>7768</v>
      </c>
      <c r="BM378" t="s">
        <v>7769</v>
      </c>
      <c r="BN378">
        <v>36475491</v>
      </c>
      <c r="BO378" t="s">
        <v>74</v>
      </c>
      <c r="BP378" t="s">
        <v>74</v>
      </c>
      <c r="BQ378" t="s">
        <v>74</v>
      </c>
      <c r="BR378" t="s">
        <v>103</v>
      </c>
      <c r="BS378" t="s">
        <v>7770</v>
      </c>
      <c r="BT378" t="str">
        <f>HYPERLINK("https%3A%2F%2Fwww.webofscience.com%2Fwos%2Fwoscc%2Ffull-record%2FWOS:000847621300002","View Full Record in Web of Science")</f>
        <v>View Full Record in Web of Science</v>
      </c>
    </row>
    <row r="379" spans="1:72" x14ac:dyDescent="0.15">
      <c r="A379" t="s">
        <v>72</v>
      </c>
      <c r="B379" t="s">
        <v>7771</v>
      </c>
      <c r="C379" t="s">
        <v>74</v>
      </c>
      <c r="D379" t="s">
        <v>74</v>
      </c>
      <c r="E379" t="s">
        <v>74</v>
      </c>
      <c r="F379" t="s">
        <v>7772</v>
      </c>
      <c r="G379" t="s">
        <v>74</v>
      </c>
      <c r="H379" t="s">
        <v>74</v>
      </c>
      <c r="I379" t="s">
        <v>7773</v>
      </c>
      <c r="J379" t="s">
        <v>7774</v>
      </c>
      <c r="K379" t="s">
        <v>74</v>
      </c>
      <c r="L379" t="s">
        <v>74</v>
      </c>
      <c r="M379" t="s">
        <v>78</v>
      </c>
      <c r="N379" t="s">
        <v>165</v>
      </c>
      <c r="O379" t="s">
        <v>74</v>
      </c>
      <c r="P379" t="s">
        <v>74</v>
      </c>
      <c r="Q379" t="s">
        <v>74</v>
      </c>
      <c r="R379" t="s">
        <v>74</v>
      </c>
      <c r="S379" t="s">
        <v>74</v>
      </c>
      <c r="T379" t="s">
        <v>7775</v>
      </c>
      <c r="U379" t="s">
        <v>7776</v>
      </c>
      <c r="V379" t="s">
        <v>7777</v>
      </c>
      <c r="W379" t="s">
        <v>7778</v>
      </c>
      <c r="X379" t="s">
        <v>7779</v>
      </c>
      <c r="Y379" t="s">
        <v>7780</v>
      </c>
      <c r="Z379" t="s">
        <v>7781</v>
      </c>
      <c r="AA379" t="s">
        <v>7782</v>
      </c>
      <c r="AB379" t="s">
        <v>7783</v>
      </c>
      <c r="AC379" t="s">
        <v>7784</v>
      </c>
      <c r="AD379" t="s">
        <v>7785</v>
      </c>
      <c r="AE379" t="s">
        <v>7786</v>
      </c>
      <c r="AF379" t="s">
        <v>74</v>
      </c>
      <c r="AG379">
        <v>49</v>
      </c>
      <c r="AH379">
        <v>5</v>
      </c>
      <c r="AI379">
        <v>5</v>
      </c>
      <c r="AJ379">
        <v>5</v>
      </c>
      <c r="AK379">
        <v>15</v>
      </c>
      <c r="AL379" t="s">
        <v>231</v>
      </c>
      <c r="AM379" t="s">
        <v>232</v>
      </c>
      <c r="AN379" t="s">
        <v>233</v>
      </c>
      <c r="AO379" t="s">
        <v>7787</v>
      </c>
      <c r="AP379" t="s">
        <v>74</v>
      </c>
      <c r="AQ379" t="s">
        <v>74</v>
      </c>
      <c r="AR379" t="s">
        <v>7788</v>
      </c>
      <c r="AS379" t="s">
        <v>7789</v>
      </c>
      <c r="AT379" t="s">
        <v>3605</v>
      </c>
      <c r="AU379">
        <v>2022</v>
      </c>
      <c r="AV379">
        <v>15</v>
      </c>
      <c r="AW379">
        <v>5</v>
      </c>
      <c r="AX379" t="s">
        <v>74</v>
      </c>
      <c r="AY379" t="s">
        <v>74</v>
      </c>
      <c r="AZ379" t="s">
        <v>74</v>
      </c>
      <c r="BA379" t="s">
        <v>74</v>
      </c>
      <c r="BB379" t="s">
        <v>74</v>
      </c>
      <c r="BC379" t="s">
        <v>74</v>
      </c>
      <c r="BD379" t="s">
        <v>7790</v>
      </c>
      <c r="BE379" t="s">
        <v>7791</v>
      </c>
      <c r="BF379" t="str">
        <f>HYPERLINK("http://dx.doi.org/10.1111/conl.12918","http://dx.doi.org/10.1111/conl.12918")</f>
        <v>http://dx.doi.org/10.1111/conl.12918</v>
      </c>
      <c r="BG379" t="s">
        <v>74</v>
      </c>
      <c r="BH379" t="s">
        <v>7628</v>
      </c>
      <c r="BI379">
        <v>17</v>
      </c>
      <c r="BJ379" t="s">
        <v>7792</v>
      </c>
      <c r="BK379" t="s">
        <v>100</v>
      </c>
      <c r="BL379" t="s">
        <v>7793</v>
      </c>
      <c r="BM379" t="s">
        <v>7794</v>
      </c>
      <c r="BN379" t="s">
        <v>74</v>
      </c>
      <c r="BO379" t="s">
        <v>266</v>
      </c>
      <c r="BP379" t="s">
        <v>74</v>
      </c>
      <c r="BQ379" t="s">
        <v>74</v>
      </c>
      <c r="BR379" t="s">
        <v>103</v>
      </c>
      <c r="BS379" t="s">
        <v>7795</v>
      </c>
      <c r="BT379" t="str">
        <f>HYPERLINK("https%3A%2F%2Fwww.webofscience.com%2Fwos%2Fwoscc%2Ffull-record%2FWOS:000847437600001","View Full Record in Web of Science")</f>
        <v>View Full Record in Web of Science</v>
      </c>
    </row>
    <row r="380" spans="1:72" x14ac:dyDescent="0.15">
      <c r="A380" t="s">
        <v>72</v>
      </c>
      <c r="B380" t="s">
        <v>7796</v>
      </c>
      <c r="C380" t="s">
        <v>74</v>
      </c>
      <c r="D380" t="s">
        <v>74</v>
      </c>
      <c r="E380" t="s">
        <v>74</v>
      </c>
      <c r="F380" t="s">
        <v>7797</v>
      </c>
      <c r="G380" t="s">
        <v>74</v>
      </c>
      <c r="H380" t="s">
        <v>74</v>
      </c>
      <c r="I380" t="s">
        <v>7798</v>
      </c>
      <c r="J380" t="s">
        <v>7799</v>
      </c>
      <c r="K380" t="s">
        <v>74</v>
      </c>
      <c r="L380" t="s">
        <v>74</v>
      </c>
      <c r="M380" t="s">
        <v>78</v>
      </c>
      <c r="N380" t="s">
        <v>79</v>
      </c>
      <c r="O380" t="s">
        <v>74</v>
      </c>
      <c r="P380" t="s">
        <v>74</v>
      </c>
      <c r="Q380" t="s">
        <v>74</v>
      </c>
      <c r="R380" t="s">
        <v>74</v>
      </c>
      <c r="S380" t="s">
        <v>74</v>
      </c>
      <c r="T380" t="s">
        <v>74</v>
      </c>
      <c r="U380" t="s">
        <v>7800</v>
      </c>
      <c r="V380" t="s">
        <v>7801</v>
      </c>
      <c r="W380" t="s">
        <v>7802</v>
      </c>
      <c r="X380" t="s">
        <v>7803</v>
      </c>
      <c r="Y380" t="s">
        <v>7804</v>
      </c>
      <c r="Z380" t="s">
        <v>7805</v>
      </c>
      <c r="AA380" t="s">
        <v>7806</v>
      </c>
      <c r="AB380" t="s">
        <v>7807</v>
      </c>
      <c r="AC380" t="s">
        <v>7808</v>
      </c>
      <c r="AD380" t="s">
        <v>7808</v>
      </c>
      <c r="AE380" t="s">
        <v>7809</v>
      </c>
      <c r="AF380" t="s">
        <v>74</v>
      </c>
      <c r="AG380">
        <v>120</v>
      </c>
      <c r="AH380">
        <v>2</v>
      </c>
      <c r="AI380">
        <v>2</v>
      </c>
      <c r="AJ380">
        <v>0</v>
      </c>
      <c r="AK380">
        <v>5</v>
      </c>
      <c r="AL380" t="s">
        <v>2460</v>
      </c>
      <c r="AM380" t="s">
        <v>2461</v>
      </c>
      <c r="AN380" t="s">
        <v>2462</v>
      </c>
      <c r="AO380" t="s">
        <v>7810</v>
      </c>
      <c r="AP380" t="s">
        <v>7811</v>
      </c>
      <c r="AQ380" t="s">
        <v>74</v>
      </c>
      <c r="AR380" t="s">
        <v>7812</v>
      </c>
      <c r="AS380" t="s">
        <v>7813</v>
      </c>
      <c r="AT380" t="s">
        <v>7703</v>
      </c>
      <c r="AU380">
        <v>2022</v>
      </c>
      <c r="AV380">
        <v>13</v>
      </c>
      <c r="AW380">
        <v>3</v>
      </c>
      <c r="AX380" t="s">
        <v>74</v>
      </c>
      <c r="AY380" t="s">
        <v>74</v>
      </c>
      <c r="AZ380" t="s">
        <v>74</v>
      </c>
      <c r="BA380" t="s">
        <v>74</v>
      </c>
      <c r="BB380">
        <v>1259</v>
      </c>
      <c r="BC380">
        <v>1287</v>
      </c>
      <c r="BD380" t="s">
        <v>74</v>
      </c>
      <c r="BE380" t="s">
        <v>7814</v>
      </c>
      <c r="BF380" t="str">
        <f>HYPERLINK("http://dx.doi.org/10.5194/esd-13-1259-2022","http://dx.doi.org/10.5194/esd-13-1259-2022")</f>
        <v>http://dx.doi.org/10.5194/esd-13-1259-2022</v>
      </c>
      <c r="BG380" t="s">
        <v>74</v>
      </c>
      <c r="BH380" t="s">
        <v>74</v>
      </c>
      <c r="BI380">
        <v>29</v>
      </c>
      <c r="BJ380" t="s">
        <v>129</v>
      </c>
      <c r="BK380" t="s">
        <v>100</v>
      </c>
      <c r="BL380" t="s">
        <v>130</v>
      </c>
      <c r="BM380" t="s">
        <v>7815</v>
      </c>
      <c r="BN380" t="s">
        <v>74</v>
      </c>
      <c r="BO380" t="s">
        <v>3262</v>
      </c>
      <c r="BP380" t="s">
        <v>74</v>
      </c>
      <c r="BQ380" t="s">
        <v>74</v>
      </c>
      <c r="BR380" t="s">
        <v>103</v>
      </c>
      <c r="BS380" t="s">
        <v>7816</v>
      </c>
      <c r="BT380" t="str">
        <f>HYPERLINK("https%3A%2F%2Fwww.webofscience.com%2Fwos%2Fwoscc%2Ffull-record%2FWOS:000847386700001","View Full Record in Web of Science")</f>
        <v>View Full Record in Web of Science</v>
      </c>
    </row>
    <row r="381" spans="1:72" x14ac:dyDescent="0.15">
      <c r="A381" t="s">
        <v>72</v>
      </c>
      <c r="B381" t="s">
        <v>7817</v>
      </c>
      <c r="C381" t="s">
        <v>74</v>
      </c>
      <c r="D381" t="s">
        <v>74</v>
      </c>
      <c r="E381" t="s">
        <v>74</v>
      </c>
      <c r="F381" t="s">
        <v>7818</v>
      </c>
      <c r="G381" t="s">
        <v>74</v>
      </c>
      <c r="H381" t="s">
        <v>74</v>
      </c>
      <c r="I381" t="s">
        <v>7819</v>
      </c>
      <c r="J381" t="s">
        <v>3244</v>
      </c>
      <c r="K381" t="s">
        <v>74</v>
      </c>
      <c r="L381" t="s">
        <v>74</v>
      </c>
      <c r="M381" t="s">
        <v>78</v>
      </c>
      <c r="N381" t="s">
        <v>79</v>
      </c>
      <c r="O381" t="s">
        <v>74</v>
      </c>
      <c r="P381" t="s">
        <v>74</v>
      </c>
      <c r="Q381" t="s">
        <v>74</v>
      </c>
      <c r="R381" t="s">
        <v>74</v>
      </c>
      <c r="S381" t="s">
        <v>74</v>
      </c>
      <c r="T381" t="s">
        <v>74</v>
      </c>
      <c r="U381" t="s">
        <v>7820</v>
      </c>
      <c r="V381" t="s">
        <v>7821</v>
      </c>
      <c r="W381" t="s">
        <v>7822</v>
      </c>
      <c r="X381" t="s">
        <v>7823</v>
      </c>
      <c r="Y381" t="s">
        <v>7824</v>
      </c>
      <c r="Z381" t="s">
        <v>7825</v>
      </c>
      <c r="AA381" t="s">
        <v>7826</v>
      </c>
      <c r="AB381" t="s">
        <v>7827</v>
      </c>
      <c r="AC381" t="s">
        <v>7828</v>
      </c>
      <c r="AD381" t="s">
        <v>7829</v>
      </c>
      <c r="AE381" t="s">
        <v>7830</v>
      </c>
      <c r="AF381" t="s">
        <v>74</v>
      </c>
      <c r="AG381">
        <v>56</v>
      </c>
      <c r="AH381">
        <v>2</v>
      </c>
      <c r="AI381">
        <v>2</v>
      </c>
      <c r="AJ381">
        <v>0</v>
      </c>
      <c r="AK381">
        <v>4</v>
      </c>
      <c r="AL381" t="s">
        <v>2460</v>
      </c>
      <c r="AM381" t="s">
        <v>2461</v>
      </c>
      <c r="AN381" t="s">
        <v>2462</v>
      </c>
      <c r="AO381" t="s">
        <v>3256</v>
      </c>
      <c r="AP381" t="s">
        <v>3257</v>
      </c>
      <c r="AQ381" t="s">
        <v>74</v>
      </c>
      <c r="AR381" t="s">
        <v>3258</v>
      </c>
      <c r="AS381" t="s">
        <v>3259</v>
      </c>
      <c r="AT381" t="s">
        <v>7703</v>
      </c>
      <c r="AU381">
        <v>2022</v>
      </c>
      <c r="AV381">
        <v>22</v>
      </c>
      <c r="AW381">
        <v>16</v>
      </c>
      <c r="AX381" t="s">
        <v>74</v>
      </c>
      <c r="AY381" t="s">
        <v>74</v>
      </c>
      <c r="AZ381" t="s">
        <v>74</v>
      </c>
      <c r="BA381" t="s">
        <v>74</v>
      </c>
      <c r="BB381">
        <v>10993</v>
      </c>
      <c r="BC381">
        <v>11007</v>
      </c>
      <c r="BD381" t="s">
        <v>74</v>
      </c>
      <c r="BE381" t="s">
        <v>7831</v>
      </c>
      <c r="BF381" t="str">
        <f>HYPERLINK("http://dx.doi.org/10.5194/acp-22-10993-2022","http://dx.doi.org/10.5194/acp-22-10993-2022")</f>
        <v>http://dx.doi.org/10.5194/acp-22-10993-2022</v>
      </c>
      <c r="BG381" t="s">
        <v>74</v>
      </c>
      <c r="BH381" t="s">
        <v>74</v>
      </c>
      <c r="BI381">
        <v>15</v>
      </c>
      <c r="BJ381" t="s">
        <v>1129</v>
      </c>
      <c r="BK381" t="s">
        <v>100</v>
      </c>
      <c r="BL381" t="s">
        <v>1130</v>
      </c>
      <c r="BM381" t="s">
        <v>7832</v>
      </c>
      <c r="BN381" t="s">
        <v>74</v>
      </c>
      <c r="BO381" t="s">
        <v>1195</v>
      </c>
      <c r="BP381" t="s">
        <v>74</v>
      </c>
      <c r="BQ381" t="s">
        <v>74</v>
      </c>
      <c r="BR381" t="s">
        <v>103</v>
      </c>
      <c r="BS381" t="s">
        <v>7833</v>
      </c>
      <c r="BT381" t="str">
        <f>HYPERLINK("https%3A%2F%2Fwww.webofscience.com%2Fwos%2Fwoscc%2Ffull-record%2FWOS:000847385900001","View Full Record in Web of Science")</f>
        <v>View Full Record in Web of Science</v>
      </c>
    </row>
    <row r="382" spans="1:72" x14ac:dyDescent="0.15">
      <c r="A382" t="s">
        <v>72</v>
      </c>
      <c r="B382" t="s">
        <v>7834</v>
      </c>
      <c r="C382" t="s">
        <v>74</v>
      </c>
      <c r="D382" t="s">
        <v>74</v>
      </c>
      <c r="E382" t="s">
        <v>74</v>
      </c>
      <c r="F382" t="s">
        <v>7835</v>
      </c>
      <c r="G382" t="s">
        <v>74</v>
      </c>
      <c r="H382" t="s">
        <v>74</v>
      </c>
      <c r="I382" t="s">
        <v>7836</v>
      </c>
      <c r="J382" t="s">
        <v>7837</v>
      </c>
      <c r="K382" t="s">
        <v>74</v>
      </c>
      <c r="L382" t="s">
        <v>74</v>
      </c>
      <c r="M382" t="s">
        <v>78</v>
      </c>
      <c r="N382" t="s">
        <v>79</v>
      </c>
      <c r="O382" t="s">
        <v>74</v>
      </c>
      <c r="P382" t="s">
        <v>74</v>
      </c>
      <c r="Q382" t="s">
        <v>74</v>
      </c>
      <c r="R382" t="s">
        <v>74</v>
      </c>
      <c r="S382" t="s">
        <v>74</v>
      </c>
      <c r="T382" t="s">
        <v>7838</v>
      </c>
      <c r="U382" t="s">
        <v>7839</v>
      </c>
      <c r="V382" t="s">
        <v>7840</v>
      </c>
      <c r="W382" t="s">
        <v>7841</v>
      </c>
      <c r="X382" t="s">
        <v>7842</v>
      </c>
      <c r="Y382" t="s">
        <v>7843</v>
      </c>
      <c r="Z382" t="s">
        <v>7844</v>
      </c>
      <c r="AA382" t="s">
        <v>7845</v>
      </c>
      <c r="AB382" t="s">
        <v>7846</v>
      </c>
      <c r="AC382" t="s">
        <v>7847</v>
      </c>
      <c r="AD382" t="s">
        <v>447</v>
      </c>
      <c r="AE382" t="s">
        <v>7848</v>
      </c>
      <c r="AF382" t="s">
        <v>74</v>
      </c>
      <c r="AG382">
        <v>35</v>
      </c>
      <c r="AH382">
        <v>1</v>
      </c>
      <c r="AI382">
        <v>1</v>
      </c>
      <c r="AJ382">
        <v>1</v>
      </c>
      <c r="AK382">
        <v>4</v>
      </c>
      <c r="AL382" t="s">
        <v>121</v>
      </c>
      <c r="AM382" t="s">
        <v>122</v>
      </c>
      <c r="AN382" t="s">
        <v>123</v>
      </c>
      <c r="AO382" t="s">
        <v>7849</v>
      </c>
      <c r="AP382" t="s">
        <v>74</v>
      </c>
      <c r="AQ382" t="s">
        <v>74</v>
      </c>
      <c r="AR382" t="s">
        <v>7850</v>
      </c>
      <c r="AS382" t="s">
        <v>7851</v>
      </c>
      <c r="AT382" t="s">
        <v>7852</v>
      </c>
      <c r="AU382">
        <v>2022</v>
      </c>
      <c r="AV382">
        <v>10</v>
      </c>
      <c r="AW382" t="s">
        <v>74</v>
      </c>
      <c r="AX382" t="s">
        <v>74</v>
      </c>
      <c r="AY382" t="s">
        <v>74</v>
      </c>
      <c r="AZ382" t="s">
        <v>74</v>
      </c>
      <c r="BA382" t="s">
        <v>74</v>
      </c>
      <c r="BB382" t="s">
        <v>74</v>
      </c>
      <c r="BC382" t="s">
        <v>74</v>
      </c>
      <c r="BD382">
        <v>977286</v>
      </c>
      <c r="BE382" t="s">
        <v>7853</v>
      </c>
      <c r="BF382" t="str">
        <f>HYPERLINK("http://dx.doi.org/10.3389/fphy.2022.977286","http://dx.doi.org/10.3389/fphy.2022.977286")</f>
        <v>http://dx.doi.org/10.3389/fphy.2022.977286</v>
      </c>
      <c r="BG382" t="s">
        <v>74</v>
      </c>
      <c r="BH382" t="s">
        <v>74</v>
      </c>
      <c r="BI382">
        <v>8</v>
      </c>
      <c r="BJ382" t="s">
        <v>7854</v>
      </c>
      <c r="BK382" t="s">
        <v>100</v>
      </c>
      <c r="BL382" t="s">
        <v>7855</v>
      </c>
      <c r="BM382" t="s">
        <v>7856</v>
      </c>
      <c r="BN382" t="s">
        <v>74</v>
      </c>
      <c r="BO382" t="s">
        <v>266</v>
      </c>
      <c r="BP382" t="s">
        <v>74</v>
      </c>
      <c r="BQ382" t="s">
        <v>74</v>
      </c>
      <c r="BR382" t="s">
        <v>103</v>
      </c>
      <c r="BS382" t="s">
        <v>7857</v>
      </c>
      <c r="BT382" t="str">
        <f>HYPERLINK("https%3A%2F%2Fwww.webofscience.com%2Fwos%2Fwoscc%2Ffull-record%2FWOS:000854045400001","View Full Record in Web of Science")</f>
        <v>View Full Record in Web of Science</v>
      </c>
    </row>
    <row r="383" spans="1:72" x14ac:dyDescent="0.15">
      <c r="A383" t="s">
        <v>72</v>
      </c>
      <c r="B383" t="s">
        <v>7858</v>
      </c>
      <c r="C383" t="s">
        <v>74</v>
      </c>
      <c r="D383" t="s">
        <v>74</v>
      </c>
      <c r="E383" t="s">
        <v>74</v>
      </c>
      <c r="F383" t="s">
        <v>7859</v>
      </c>
      <c r="G383" t="s">
        <v>74</v>
      </c>
      <c r="H383" t="s">
        <v>74</v>
      </c>
      <c r="I383" t="s">
        <v>7860</v>
      </c>
      <c r="J383" t="s">
        <v>4327</v>
      </c>
      <c r="K383" t="s">
        <v>74</v>
      </c>
      <c r="L383" t="s">
        <v>74</v>
      </c>
      <c r="M383" t="s">
        <v>78</v>
      </c>
      <c r="N383" t="s">
        <v>165</v>
      </c>
      <c r="O383" t="s">
        <v>74</v>
      </c>
      <c r="P383" t="s">
        <v>74</v>
      </c>
      <c r="Q383" t="s">
        <v>74</v>
      </c>
      <c r="R383" t="s">
        <v>74</v>
      </c>
      <c r="S383" t="s">
        <v>74</v>
      </c>
      <c r="T383" t="s">
        <v>7861</v>
      </c>
      <c r="U383" t="s">
        <v>7862</v>
      </c>
      <c r="V383" t="s">
        <v>7863</v>
      </c>
      <c r="W383" t="s">
        <v>7864</v>
      </c>
      <c r="X383" t="s">
        <v>7865</v>
      </c>
      <c r="Y383" t="s">
        <v>7866</v>
      </c>
      <c r="Z383" t="s">
        <v>7867</v>
      </c>
      <c r="AA383" t="s">
        <v>7868</v>
      </c>
      <c r="AB383" t="s">
        <v>7869</v>
      </c>
      <c r="AC383" t="s">
        <v>7870</v>
      </c>
      <c r="AD383" t="s">
        <v>7870</v>
      </c>
      <c r="AE383" t="s">
        <v>7871</v>
      </c>
      <c r="AF383" t="s">
        <v>74</v>
      </c>
      <c r="AG383">
        <v>450</v>
      </c>
      <c r="AH383">
        <v>2</v>
      </c>
      <c r="AI383">
        <v>2</v>
      </c>
      <c r="AJ383">
        <v>2</v>
      </c>
      <c r="AK383">
        <v>16</v>
      </c>
      <c r="AL383" t="s">
        <v>178</v>
      </c>
      <c r="AM383" t="s">
        <v>450</v>
      </c>
      <c r="AN383" t="s">
        <v>668</v>
      </c>
      <c r="AO383" t="s">
        <v>4340</v>
      </c>
      <c r="AP383" t="s">
        <v>4341</v>
      </c>
      <c r="AQ383" t="s">
        <v>74</v>
      </c>
      <c r="AR383" t="s">
        <v>4342</v>
      </c>
      <c r="AS383" t="s">
        <v>4343</v>
      </c>
      <c r="AT383" t="s">
        <v>5386</v>
      </c>
      <c r="AU383">
        <v>2022</v>
      </c>
      <c r="AV383">
        <v>45</v>
      </c>
      <c r="AW383">
        <v>8</v>
      </c>
      <c r="AX383" t="s">
        <v>74</v>
      </c>
      <c r="AY383" t="s">
        <v>74</v>
      </c>
      <c r="AZ383" t="s">
        <v>74</v>
      </c>
      <c r="BA383" t="s">
        <v>74</v>
      </c>
      <c r="BB383">
        <v>1313</v>
      </c>
      <c r="BC383">
        <v>1349</v>
      </c>
      <c r="BD383" t="s">
        <v>74</v>
      </c>
      <c r="BE383" t="s">
        <v>7872</v>
      </c>
      <c r="BF383" t="str">
        <f>HYPERLINK("http://dx.doi.org/10.1007/s00300-022-03059-8","http://dx.doi.org/10.1007/s00300-022-03059-8")</f>
        <v>http://dx.doi.org/10.1007/s00300-022-03059-8</v>
      </c>
      <c r="BG383" t="s">
        <v>74</v>
      </c>
      <c r="BH383" t="s">
        <v>7628</v>
      </c>
      <c r="BI383">
        <v>37</v>
      </c>
      <c r="BJ383" t="s">
        <v>1169</v>
      </c>
      <c r="BK383" t="s">
        <v>100</v>
      </c>
      <c r="BL383" t="s">
        <v>1170</v>
      </c>
      <c r="BM383" t="s">
        <v>7747</v>
      </c>
      <c r="BN383" t="s">
        <v>74</v>
      </c>
      <c r="BO383" t="s">
        <v>1221</v>
      </c>
      <c r="BP383" t="s">
        <v>74</v>
      </c>
      <c r="BQ383" t="s">
        <v>74</v>
      </c>
      <c r="BR383" t="s">
        <v>103</v>
      </c>
      <c r="BS383" t="s">
        <v>7873</v>
      </c>
      <c r="BT383" t="str">
        <f>HYPERLINK("https%3A%2F%2Fwww.webofscience.com%2Fwos%2Fwoscc%2Ffull-record%2FWOS:000847284600001","View Full Record in Web of Science")</f>
        <v>View Full Record in Web of Science</v>
      </c>
    </row>
    <row r="384" spans="1:72" x14ac:dyDescent="0.15">
      <c r="A384" t="s">
        <v>72</v>
      </c>
      <c r="B384" t="s">
        <v>7874</v>
      </c>
      <c r="C384" t="s">
        <v>74</v>
      </c>
      <c r="D384" t="s">
        <v>74</v>
      </c>
      <c r="E384" t="s">
        <v>74</v>
      </c>
      <c r="F384" t="s">
        <v>7875</v>
      </c>
      <c r="G384" t="s">
        <v>74</v>
      </c>
      <c r="H384" t="s">
        <v>74</v>
      </c>
      <c r="I384" t="s">
        <v>7876</v>
      </c>
      <c r="J384" t="s">
        <v>7877</v>
      </c>
      <c r="K384" t="s">
        <v>74</v>
      </c>
      <c r="L384" t="s">
        <v>74</v>
      </c>
      <c r="M384" t="s">
        <v>78</v>
      </c>
      <c r="N384" t="s">
        <v>79</v>
      </c>
      <c r="O384" t="s">
        <v>74</v>
      </c>
      <c r="P384" t="s">
        <v>74</v>
      </c>
      <c r="Q384" t="s">
        <v>74</v>
      </c>
      <c r="R384" t="s">
        <v>74</v>
      </c>
      <c r="S384" t="s">
        <v>74</v>
      </c>
      <c r="T384" t="s">
        <v>74</v>
      </c>
      <c r="U384" t="s">
        <v>7878</v>
      </c>
      <c r="V384" t="s">
        <v>7879</v>
      </c>
      <c r="W384" t="s">
        <v>7880</v>
      </c>
      <c r="X384" t="s">
        <v>7881</v>
      </c>
      <c r="Y384" t="s">
        <v>7882</v>
      </c>
      <c r="Z384" t="s">
        <v>7883</v>
      </c>
      <c r="AA384" t="s">
        <v>7884</v>
      </c>
      <c r="AB384" t="s">
        <v>7885</v>
      </c>
      <c r="AC384" t="s">
        <v>7886</v>
      </c>
      <c r="AD384" t="s">
        <v>7887</v>
      </c>
      <c r="AE384" t="s">
        <v>7888</v>
      </c>
      <c r="AF384" t="s">
        <v>74</v>
      </c>
      <c r="AG384">
        <v>133</v>
      </c>
      <c r="AH384">
        <v>2</v>
      </c>
      <c r="AI384">
        <v>3</v>
      </c>
      <c r="AJ384">
        <v>4</v>
      </c>
      <c r="AK384">
        <v>11</v>
      </c>
      <c r="AL384" t="s">
        <v>231</v>
      </c>
      <c r="AM384" t="s">
        <v>232</v>
      </c>
      <c r="AN384" t="s">
        <v>233</v>
      </c>
      <c r="AO384" t="s">
        <v>7889</v>
      </c>
      <c r="AP384" t="s">
        <v>7890</v>
      </c>
      <c r="AQ384" t="s">
        <v>74</v>
      </c>
      <c r="AR384" t="s">
        <v>7891</v>
      </c>
      <c r="AS384" t="s">
        <v>7892</v>
      </c>
      <c r="AT384" t="s">
        <v>428</v>
      </c>
      <c r="AU384">
        <v>2022</v>
      </c>
      <c r="AV384">
        <v>57</v>
      </c>
      <c r="AW384">
        <v>10</v>
      </c>
      <c r="AX384" t="s">
        <v>74</v>
      </c>
      <c r="AY384" t="s">
        <v>74</v>
      </c>
      <c r="AZ384" t="s">
        <v>74</v>
      </c>
      <c r="BA384" t="s">
        <v>74</v>
      </c>
      <c r="BB384">
        <v>1820</v>
      </c>
      <c r="BC384">
        <v>1835</v>
      </c>
      <c r="BD384" t="s">
        <v>74</v>
      </c>
      <c r="BE384" t="s">
        <v>7893</v>
      </c>
      <c r="BF384" t="str">
        <f>HYPERLINK("http://dx.doi.org/10.1111/maps.13904","http://dx.doi.org/10.1111/maps.13904")</f>
        <v>http://dx.doi.org/10.1111/maps.13904</v>
      </c>
      <c r="BG384" t="s">
        <v>74</v>
      </c>
      <c r="BH384" t="s">
        <v>7628</v>
      </c>
      <c r="BI384">
        <v>16</v>
      </c>
      <c r="BJ384" t="s">
        <v>1379</v>
      </c>
      <c r="BK384" t="s">
        <v>100</v>
      </c>
      <c r="BL384" t="s">
        <v>1379</v>
      </c>
      <c r="BM384" t="s">
        <v>7894</v>
      </c>
      <c r="BN384" t="s">
        <v>74</v>
      </c>
      <c r="BO384" t="s">
        <v>3327</v>
      </c>
      <c r="BP384" t="s">
        <v>74</v>
      </c>
      <c r="BQ384" t="s">
        <v>74</v>
      </c>
      <c r="BR384" t="s">
        <v>103</v>
      </c>
      <c r="BS384" t="s">
        <v>7895</v>
      </c>
      <c r="BT384" t="str">
        <f>HYPERLINK("https%3A%2F%2Fwww.webofscience.com%2Fwos%2Fwoscc%2Ffull-record%2FWOS:000846877500001","View Full Record in Web of Science")</f>
        <v>View Full Record in Web of Science</v>
      </c>
    </row>
    <row r="385" spans="1:72" x14ac:dyDescent="0.15">
      <c r="A385" t="s">
        <v>72</v>
      </c>
      <c r="B385" t="s">
        <v>7896</v>
      </c>
      <c r="C385" t="s">
        <v>74</v>
      </c>
      <c r="D385" t="s">
        <v>74</v>
      </c>
      <c r="E385" t="s">
        <v>74</v>
      </c>
      <c r="F385" t="s">
        <v>7897</v>
      </c>
      <c r="G385" t="s">
        <v>74</v>
      </c>
      <c r="H385" t="s">
        <v>74</v>
      </c>
      <c r="I385" t="s">
        <v>7898</v>
      </c>
      <c r="J385" t="s">
        <v>2551</v>
      </c>
      <c r="K385" t="s">
        <v>74</v>
      </c>
      <c r="L385" t="s">
        <v>74</v>
      </c>
      <c r="M385" t="s">
        <v>78</v>
      </c>
      <c r="N385" t="s">
        <v>79</v>
      </c>
      <c r="O385" t="s">
        <v>74</v>
      </c>
      <c r="P385" t="s">
        <v>74</v>
      </c>
      <c r="Q385" t="s">
        <v>74</v>
      </c>
      <c r="R385" t="s">
        <v>74</v>
      </c>
      <c r="S385" t="s">
        <v>74</v>
      </c>
      <c r="T385" t="s">
        <v>74</v>
      </c>
      <c r="U385" t="s">
        <v>7899</v>
      </c>
      <c r="V385" t="s">
        <v>7900</v>
      </c>
      <c r="W385" t="s">
        <v>7901</v>
      </c>
      <c r="X385" t="s">
        <v>7902</v>
      </c>
      <c r="Y385" t="s">
        <v>7903</v>
      </c>
      <c r="Z385" t="s">
        <v>7904</v>
      </c>
      <c r="AA385" t="s">
        <v>74</v>
      </c>
      <c r="AB385" t="s">
        <v>7905</v>
      </c>
      <c r="AC385" t="s">
        <v>7906</v>
      </c>
      <c r="AD385" t="s">
        <v>7907</v>
      </c>
      <c r="AE385" t="s">
        <v>7908</v>
      </c>
      <c r="AF385" t="s">
        <v>74</v>
      </c>
      <c r="AG385">
        <v>50</v>
      </c>
      <c r="AH385">
        <v>7</v>
      </c>
      <c r="AI385">
        <v>7</v>
      </c>
      <c r="AJ385">
        <v>3</v>
      </c>
      <c r="AK385">
        <v>12</v>
      </c>
      <c r="AL385" t="s">
        <v>946</v>
      </c>
      <c r="AM385" t="s">
        <v>207</v>
      </c>
      <c r="AN385" t="s">
        <v>947</v>
      </c>
      <c r="AO385" t="s">
        <v>2563</v>
      </c>
      <c r="AP385" t="s">
        <v>2564</v>
      </c>
      <c r="AQ385" t="s">
        <v>74</v>
      </c>
      <c r="AR385" t="s">
        <v>2565</v>
      </c>
      <c r="AS385" t="s">
        <v>2566</v>
      </c>
      <c r="AT385" t="s">
        <v>7909</v>
      </c>
      <c r="AU385">
        <v>2022</v>
      </c>
      <c r="AV385">
        <v>49</v>
      </c>
      <c r="AW385">
        <v>16</v>
      </c>
      <c r="AX385" t="s">
        <v>74</v>
      </c>
      <c r="AY385" t="s">
        <v>74</v>
      </c>
      <c r="AZ385" t="s">
        <v>74</v>
      </c>
      <c r="BA385" t="s">
        <v>74</v>
      </c>
      <c r="BB385" t="s">
        <v>74</v>
      </c>
      <c r="BC385" t="s">
        <v>74</v>
      </c>
      <c r="BD385" t="s">
        <v>7910</v>
      </c>
      <c r="BE385" t="s">
        <v>7911</v>
      </c>
      <c r="BF385" t="str">
        <f>HYPERLINK("http://dx.doi.org/10.1029/2022GL099543","http://dx.doi.org/10.1029/2022GL099543")</f>
        <v>http://dx.doi.org/10.1029/2022GL099543</v>
      </c>
      <c r="BG385" t="s">
        <v>74</v>
      </c>
      <c r="BH385" t="s">
        <v>74</v>
      </c>
      <c r="BI385">
        <v>11</v>
      </c>
      <c r="BJ385" t="s">
        <v>129</v>
      </c>
      <c r="BK385" t="s">
        <v>100</v>
      </c>
      <c r="BL385" t="s">
        <v>130</v>
      </c>
      <c r="BM385" t="s">
        <v>7912</v>
      </c>
      <c r="BN385" t="s">
        <v>74</v>
      </c>
      <c r="BO385" t="s">
        <v>2260</v>
      </c>
      <c r="BP385" t="s">
        <v>74</v>
      </c>
      <c r="BQ385" t="s">
        <v>74</v>
      </c>
      <c r="BR385" t="s">
        <v>103</v>
      </c>
      <c r="BS385" t="s">
        <v>7913</v>
      </c>
      <c r="BT385" t="str">
        <f>HYPERLINK("https%3A%2F%2Fwww.webofscience.com%2Fwos%2Fwoscc%2Ffull-record%2FWOS:000846926700001","View Full Record in Web of Science")</f>
        <v>View Full Record in Web of Science</v>
      </c>
    </row>
    <row r="386" spans="1:72" x14ac:dyDescent="0.15">
      <c r="A386" t="s">
        <v>72</v>
      </c>
      <c r="B386" t="s">
        <v>7914</v>
      </c>
      <c r="C386" t="s">
        <v>74</v>
      </c>
      <c r="D386" t="s">
        <v>74</v>
      </c>
      <c r="E386" t="s">
        <v>74</v>
      </c>
      <c r="F386" t="s">
        <v>7915</v>
      </c>
      <c r="G386" t="s">
        <v>74</v>
      </c>
      <c r="H386" t="s">
        <v>74</v>
      </c>
      <c r="I386" t="s">
        <v>7916</v>
      </c>
      <c r="J386" t="s">
        <v>2551</v>
      </c>
      <c r="K386" t="s">
        <v>74</v>
      </c>
      <c r="L386" t="s">
        <v>74</v>
      </c>
      <c r="M386" t="s">
        <v>78</v>
      </c>
      <c r="N386" t="s">
        <v>79</v>
      </c>
      <c r="O386" t="s">
        <v>74</v>
      </c>
      <c r="P386" t="s">
        <v>74</v>
      </c>
      <c r="Q386" t="s">
        <v>74</v>
      </c>
      <c r="R386" t="s">
        <v>74</v>
      </c>
      <c r="S386" t="s">
        <v>74</v>
      </c>
      <c r="T386" t="s">
        <v>7917</v>
      </c>
      <c r="U386" t="s">
        <v>7918</v>
      </c>
      <c r="V386" t="s">
        <v>7919</v>
      </c>
      <c r="W386" t="s">
        <v>7920</v>
      </c>
      <c r="X386" t="s">
        <v>7921</v>
      </c>
      <c r="Y386" t="s">
        <v>7922</v>
      </c>
      <c r="Z386" t="s">
        <v>7923</v>
      </c>
      <c r="AA386" t="s">
        <v>7924</v>
      </c>
      <c r="AB386" t="s">
        <v>7925</v>
      </c>
      <c r="AC386" t="s">
        <v>7926</v>
      </c>
      <c r="AD386" t="s">
        <v>7927</v>
      </c>
      <c r="AE386" t="s">
        <v>7928</v>
      </c>
      <c r="AF386" t="s">
        <v>74</v>
      </c>
      <c r="AG386">
        <v>67</v>
      </c>
      <c r="AH386">
        <v>3</v>
      </c>
      <c r="AI386">
        <v>3</v>
      </c>
      <c r="AJ386">
        <v>3</v>
      </c>
      <c r="AK386">
        <v>7</v>
      </c>
      <c r="AL386" t="s">
        <v>946</v>
      </c>
      <c r="AM386" t="s">
        <v>207</v>
      </c>
      <c r="AN386" t="s">
        <v>947</v>
      </c>
      <c r="AO386" t="s">
        <v>2563</v>
      </c>
      <c r="AP386" t="s">
        <v>2564</v>
      </c>
      <c r="AQ386" t="s">
        <v>74</v>
      </c>
      <c r="AR386" t="s">
        <v>2565</v>
      </c>
      <c r="AS386" t="s">
        <v>2566</v>
      </c>
      <c r="AT386" t="s">
        <v>7909</v>
      </c>
      <c r="AU386">
        <v>2022</v>
      </c>
      <c r="AV386">
        <v>49</v>
      </c>
      <c r="AW386">
        <v>16</v>
      </c>
      <c r="AX386" t="s">
        <v>74</v>
      </c>
      <c r="AY386" t="s">
        <v>74</v>
      </c>
      <c r="AZ386" t="s">
        <v>74</v>
      </c>
      <c r="BA386" t="s">
        <v>74</v>
      </c>
      <c r="BB386" t="s">
        <v>74</v>
      </c>
      <c r="BC386" t="s">
        <v>74</v>
      </c>
      <c r="BD386" t="s">
        <v>7929</v>
      </c>
      <c r="BE386" t="s">
        <v>7930</v>
      </c>
      <c r="BF386" t="str">
        <f>HYPERLINK("http://dx.doi.org/10.1029/2022GL099048","http://dx.doi.org/10.1029/2022GL099048")</f>
        <v>http://dx.doi.org/10.1029/2022GL099048</v>
      </c>
      <c r="BG386" t="s">
        <v>74</v>
      </c>
      <c r="BH386" t="s">
        <v>74</v>
      </c>
      <c r="BI386">
        <v>12</v>
      </c>
      <c r="BJ386" t="s">
        <v>129</v>
      </c>
      <c r="BK386" t="s">
        <v>100</v>
      </c>
      <c r="BL386" t="s">
        <v>130</v>
      </c>
      <c r="BM386" t="s">
        <v>7931</v>
      </c>
      <c r="BN386" t="s">
        <v>74</v>
      </c>
      <c r="BO386" t="s">
        <v>2512</v>
      </c>
      <c r="BP386" t="s">
        <v>74</v>
      </c>
      <c r="BQ386" t="s">
        <v>74</v>
      </c>
      <c r="BR386" t="s">
        <v>103</v>
      </c>
      <c r="BS386" t="s">
        <v>7932</v>
      </c>
      <c r="BT386" t="str">
        <f>HYPERLINK("https%3A%2F%2Fwww.webofscience.com%2Fwos%2Fwoscc%2Ffull-record%2FWOS:000846926200001","View Full Record in Web of Science")</f>
        <v>View Full Record in Web of Science</v>
      </c>
    </row>
    <row r="387" spans="1:72" x14ac:dyDescent="0.15">
      <c r="A387" t="s">
        <v>72</v>
      </c>
      <c r="B387" t="s">
        <v>7933</v>
      </c>
      <c r="C387" t="s">
        <v>74</v>
      </c>
      <c r="D387" t="s">
        <v>74</v>
      </c>
      <c r="E387" t="s">
        <v>74</v>
      </c>
      <c r="F387" t="s">
        <v>7934</v>
      </c>
      <c r="G387" t="s">
        <v>74</v>
      </c>
      <c r="H387" t="s">
        <v>74</v>
      </c>
      <c r="I387" t="s">
        <v>7935</v>
      </c>
      <c r="J387" t="s">
        <v>2551</v>
      </c>
      <c r="K387" t="s">
        <v>74</v>
      </c>
      <c r="L387" t="s">
        <v>74</v>
      </c>
      <c r="M387" t="s">
        <v>78</v>
      </c>
      <c r="N387" t="s">
        <v>79</v>
      </c>
      <c r="O387" t="s">
        <v>74</v>
      </c>
      <c r="P387" t="s">
        <v>74</v>
      </c>
      <c r="Q387" t="s">
        <v>74</v>
      </c>
      <c r="R387" t="s">
        <v>74</v>
      </c>
      <c r="S387" t="s">
        <v>74</v>
      </c>
      <c r="T387" t="s">
        <v>7936</v>
      </c>
      <c r="U387" t="s">
        <v>7937</v>
      </c>
      <c r="V387" t="s">
        <v>7938</v>
      </c>
      <c r="W387" t="s">
        <v>7939</v>
      </c>
      <c r="X387" t="s">
        <v>7940</v>
      </c>
      <c r="Y387" t="s">
        <v>7941</v>
      </c>
      <c r="Z387" t="s">
        <v>7942</v>
      </c>
      <c r="AA387" t="s">
        <v>7943</v>
      </c>
      <c r="AB387" t="s">
        <v>7944</v>
      </c>
      <c r="AC387" t="s">
        <v>7945</v>
      </c>
      <c r="AD387" t="s">
        <v>7946</v>
      </c>
      <c r="AE387" t="s">
        <v>7947</v>
      </c>
      <c r="AF387" t="s">
        <v>74</v>
      </c>
      <c r="AG387">
        <v>59</v>
      </c>
      <c r="AH387">
        <v>11</v>
      </c>
      <c r="AI387">
        <v>11</v>
      </c>
      <c r="AJ387">
        <v>1</v>
      </c>
      <c r="AK387">
        <v>10</v>
      </c>
      <c r="AL387" t="s">
        <v>946</v>
      </c>
      <c r="AM387" t="s">
        <v>207</v>
      </c>
      <c r="AN387" t="s">
        <v>947</v>
      </c>
      <c r="AO387" t="s">
        <v>2563</v>
      </c>
      <c r="AP387" t="s">
        <v>2564</v>
      </c>
      <c r="AQ387" t="s">
        <v>74</v>
      </c>
      <c r="AR387" t="s">
        <v>2565</v>
      </c>
      <c r="AS387" t="s">
        <v>2566</v>
      </c>
      <c r="AT387" t="s">
        <v>7909</v>
      </c>
      <c r="AU387">
        <v>2022</v>
      </c>
      <c r="AV387">
        <v>49</v>
      </c>
      <c r="AW387">
        <v>16</v>
      </c>
      <c r="AX387" t="s">
        <v>74</v>
      </c>
      <c r="AY387" t="s">
        <v>74</v>
      </c>
      <c r="AZ387" t="s">
        <v>74</v>
      </c>
      <c r="BA387" t="s">
        <v>74</v>
      </c>
      <c r="BB387" t="s">
        <v>74</v>
      </c>
      <c r="BC387" t="s">
        <v>74</v>
      </c>
      <c r="BD387" t="s">
        <v>7948</v>
      </c>
      <c r="BE387" t="s">
        <v>7949</v>
      </c>
      <c r="BF387" t="str">
        <f>HYPERLINK("http://dx.doi.org/10.1029/2022GL099577","http://dx.doi.org/10.1029/2022GL099577")</f>
        <v>http://dx.doi.org/10.1029/2022GL099577</v>
      </c>
      <c r="BG387" t="s">
        <v>74</v>
      </c>
      <c r="BH387" t="s">
        <v>74</v>
      </c>
      <c r="BI387">
        <v>10</v>
      </c>
      <c r="BJ387" t="s">
        <v>129</v>
      </c>
      <c r="BK387" t="s">
        <v>100</v>
      </c>
      <c r="BL387" t="s">
        <v>130</v>
      </c>
      <c r="BM387" t="s">
        <v>7950</v>
      </c>
      <c r="BN387">
        <v>36249465</v>
      </c>
      <c r="BO387" t="s">
        <v>1341</v>
      </c>
      <c r="BP387" t="s">
        <v>74</v>
      </c>
      <c r="BQ387" t="s">
        <v>74</v>
      </c>
      <c r="BR387" t="s">
        <v>103</v>
      </c>
      <c r="BS387" t="s">
        <v>7951</v>
      </c>
      <c r="BT387" t="str">
        <f>HYPERLINK("https%3A%2F%2Fwww.webofscience.com%2Fwos%2Fwoscc%2Ffull-record%2FWOS:000846926300001","View Full Record in Web of Science")</f>
        <v>View Full Record in Web of Science</v>
      </c>
    </row>
    <row r="388" spans="1:72" x14ac:dyDescent="0.15">
      <c r="A388" t="s">
        <v>72</v>
      </c>
      <c r="B388" t="s">
        <v>7952</v>
      </c>
      <c r="C388" t="s">
        <v>74</v>
      </c>
      <c r="D388" t="s">
        <v>74</v>
      </c>
      <c r="E388" t="s">
        <v>74</v>
      </c>
      <c r="F388" t="s">
        <v>7953</v>
      </c>
      <c r="G388" t="s">
        <v>74</v>
      </c>
      <c r="H388" t="s">
        <v>74</v>
      </c>
      <c r="I388" t="s">
        <v>7954</v>
      </c>
      <c r="J388" t="s">
        <v>4327</v>
      </c>
      <c r="K388" t="s">
        <v>74</v>
      </c>
      <c r="L388" t="s">
        <v>74</v>
      </c>
      <c r="M388" t="s">
        <v>78</v>
      </c>
      <c r="N388" t="s">
        <v>79</v>
      </c>
      <c r="O388" t="s">
        <v>74</v>
      </c>
      <c r="P388" t="s">
        <v>74</v>
      </c>
      <c r="Q388" t="s">
        <v>74</v>
      </c>
      <c r="R388" t="s">
        <v>74</v>
      </c>
      <c r="S388" t="s">
        <v>74</v>
      </c>
      <c r="T388" t="s">
        <v>7955</v>
      </c>
      <c r="U388" t="s">
        <v>7956</v>
      </c>
      <c r="V388" t="s">
        <v>7957</v>
      </c>
      <c r="W388" t="s">
        <v>7958</v>
      </c>
      <c r="X388" t="s">
        <v>7959</v>
      </c>
      <c r="Y388" t="s">
        <v>7960</v>
      </c>
      <c r="Z388" t="s">
        <v>7961</v>
      </c>
      <c r="AA388" t="s">
        <v>74</v>
      </c>
      <c r="AB388" t="s">
        <v>7962</v>
      </c>
      <c r="AC388" t="s">
        <v>7963</v>
      </c>
      <c r="AD388" t="s">
        <v>7964</v>
      </c>
      <c r="AE388" t="s">
        <v>7965</v>
      </c>
      <c r="AF388" t="s">
        <v>74</v>
      </c>
      <c r="AG388">
        <v>52</v>
      </c>
      <c r="AH388">
        <v>2</v>
      </c>
      <c r="AI388">
        <v>2</v>
      </c>
      <c r="AJ388">
        <v>5</v>
      </c>
      <c r="AK388">
        <v>11</v>
      </c>
      <c r="AL388" t="s">
        <v>178</v>
      </c>
      <c r="AM388" t="s">
        <v>450</v>
      </c>
      <c r="AN388" t="s">
        <v>668</v>
      </c>
      <c r="AO388" t="s">
        <v>4340</v>
      </c>
      <c r="AP388" t="s">
        <v>4341</v>
      </c>
      <c r="AQ388" t="s">
        <v>74</v>
      </c>
      <c r="AR388" t="s">
        <v>4342</v>
      </c>
      <c r="AS388" t="s">
        <v>4343</v>
      </c>
      <c r="AT388" t="s">
        <v>5386</v>
      </c>
      <c r="AU388">
        <v>2022</v>
      </c>
      <c r="AV388">
        <v>45</v>
      </c>
      <c r="AW388">
        <v>8</v>
      </c>
      <c r="AX388" t="s">
        <v>74</v>
      </c>
      <c r="AY388" t="s">
        <v>74</v>
      </c>
      <c r="AZ388" t="s">
        <v>74</v>
      </c>
      <c r="BA388" t="s">
        <v>74</v>
      </c>
      <c r="BB388">
        <v>1427</v>
      </c>
      <c r="BC388">
        <v>1440</v>
      </c>
      <c r="BD388" t="s">
        <v>74</v>
      </c>
      <c r="BE388" t="s">
        <v>7966</v>
      </c>
      <c r="BF388" t="str">
        <f>HYPERLINK("http://dx.doi.org/10.1007/s00300-022-03080-x","http://dx.doi.org/10.1007/s00300-022-03080-x")</f>
        <v>http://dx.doi.org/10.1007/s00300-022-03080-x</v>
      </c>
      <c r="BG388" t="s">
        <v>74</v>
      </c>
      <c r="BH388" t="s">
        <v>7628</v>
      </c>
      <c r="BI388">
        <v>14</v>
      </c>
      <c r="BJ388" t="s">
        <v>1169</v>
      </c>
      <c r="BK388" t="s">
        <v>100</v>
      </c>
      <c r="BL388" t="s">
        <v>1170</v>
      </c>
      <c r="BM388" t="s">
        <v>7747</v>
      </c>
      <c r="BN388" t="s">
        <v>74</v>
      </c>
      <c r="BO388" t="s">
        <v>74</v>
      </c>
      <c r="BP388" t="s">
        <v>74</v>
      </c>
      <c r="BQ388" t="s">
        <v>74</v>
      </c>
      <c r="BR388" t="s">
        <v>103</v>
      </c>
      <c r="BS388" t="s">
        <v>7967</v>
      </c>
      <c r="BT388" t="str">
        <f>HYPERLINK("https%3A%2F%2Fwww.webofscience.com%2Fwos%2Fwoscc%2Ffull-record%2FWOS:000846824100001","View Full Record in Web of Science")</f>
        <v>View Full Record in Web of Science</v>
      </c>
    </row>
    <row r="389" spans="1:72" x14ac:dyDescent="0.15">
      <c r="A389" t="s">
        <v>72</v>
      </c>
      <c r="B389" t="s">
        <v>7968</v>
      </c>
      <c r="C389" t="s">
        <v>74</v>
      </c>
      <c r="D389" t="s">
        <v>74</v>
      </c>
      <c r="E389" t="s">
        <v>74</v>
      </c>
      <c r="F389" t="s">
        <v>7969</v>
      </c>
      <c r="G389" t="s">
        <v>74</v>
      </c>
      <c r="H389" t="s">
        <v>74</v>
      </c>
      <c r="I389" t="s">
        <v>7970</v>
      </c>
      <c r="J389" t="s">
        <v>2551</v>
      </c>
      <c r="K389" t="s">
        <v>74</v>
      </c>
      <c r="L389" t="s">
        <v>74</v>
      </c>
      <c r="M389" t="s">
        <v>78</v>
      </c>
      <c r="N389" t="s">
        <v>79</v>
      </c>
      <c r="O389" t="s">
        <v>74</v>
      </c>
      <c r="P389" t="s">
        <v>74</v>
      </c>
      <c r="Q389" t="s">
        <v>74</v>
      </c>
      <c r="R389" t="s">
        <v>74</v>
      </c>
      <c r="S389" t="s">
        <v>74</v>
      </c>
      <c r="T389" t="s">
        <v>7971</v>
      </c>
      <c r="U389" t="s">
        <v>7972</v>
      </c>
      <c r="V389" t="s">
        <v>7973</v>
      </c>
      <c r="W389" t="s">
        <v>7974</v>
      </c>
      <c r="X389" t="s">
        <v>7975</v>
      </c>
      <c r="Y389" t="s">
        <v>7976</v>
      </c>
      <c r="Z389" t="s">
        <v>7977</v>
      </c>
      <c r="AA389" t="s">
        <v>7978</v>
      </c>
      <c r="AB389" t="s">
        <v>7979</v>
      </c>
      <c r="AC389" t="s">
        <v>7980</v>
      </c>
      <c r="AD389" t="s">
        <v>7981</v>
      </c>
      <c r="AE389" t="s">
        <v>7982</v>
      </c>
      <c r="AF389" t="s">
        <v>74</v>
      </c>
      <c r="AG389">
        <v>85</v>
      </c>
      <c r="AH389">
        <v>11</v>
      </c>
      <c r="AI389">
        <v>11</v>
      </c>
      <c r="AJ389">
        <v>3</v>
      </c>
      <c r="AK389">
        <v>19</v>
      </c>
      <c r="AL389" t="s">
        <v>946</v>
      </c>
      <c r="AM389" t="s">
        <v>207</v>
      </c>
      <c r="AN389" t="s">
        <v>947</v>
      </c>
      <c r="AO389" t="s">
        <v>2563</v>
      </c>
      <c r="AP389" t="s">
        <v>2564</v>
      </c>
      <c r="AQ389" t="s">
        <v>74</v>
      </c>
      <c r="AR389" t="s">
        <v>2565</v>
      </c>
      <c r="AS389" t="s">
        <v>2566</v>
      </c>
      <c r="AT389" t="s">
        <v>7909</v>
      </c>
      <c r="AU389">
        <v>2022</v>
      </c>
      <c r="AV389">
        <v>49</v>
      </c>
      <c r="AW389">
        <v>16</v>
      </c>
      <c r="AX389" t="s">
        <v>74</v>
      </c>
      <c r="AY389" t="s">
        <v>74</v>
      </c>
      <c r="AZ389" t="s">
        <v>74</v>
      </c>
      <c r="BA389" t="s">
        <v>74</v>
      </c>
      <c r="BB389" t="s">
        <v>74</v>
      </c>
      <c r="BC389" t="s">
        <v>74</v>
      </c>
      <c r="BD389" t="s">
        <v>7983</v>
      </c>
      <c r="BE389" t="s">
        <v>7984</v>
      </c>
      <c r="BF389" t="str">
        <f>HYPERLINK("http://dx.doi.org/10.1029/2022GL098820","http://dx.doi.org/10.1029/2022GL098820")</f>
        <v>http://dx.doi.org/10.1029/2022GL098820</v>
      </c>
      <c r="BG389" t="s">
        <v>74</v>
      </c>
      <c r="BH389" t="s">
        <v>74</v>
      </c>
      <c r="BI389">
        <v>12</v>
      </c>
      <c r="BJ389" t="s">
        <v>129</v>
      </c>
      <c r="BK389" t="s">
        <v>100</v>
      </c>
      <c r="BL389" t="s">
        <v>130</v>
      </c>
      <c r="BM389" t="s">
        <v>7985</v>
      </c>
      <c r="BN389" t="s">
        <v>74</v>
      </c>
      <c r="BO389" t="s">
        <v>831</v>
      </c>
      <c r="BP389" t="s">
        <v>74</v>
      </c>
      <c r="BQ389" t="s">
        <v>74</v>
      </c>
      <c r="BR389" t="s">
        <v>103</v>
      </c>
      <c r="BS389" t="s">
        <v>7986</v>
      </c>
      <c r="BT389" t="str">
        <f>HYPERLINK("https%3A%2F%2Fwww.webofscience.com%2Fwos%2Fwoscc%2Ffull-record%2FWOS:000844467000001","View Full Record in Web of Science")</f>
        <v>View Full Record in Web of Science</v>
      </c>
    </row>
    <row r="390" spans="1:72" x14ac:dyDescent="0.15">
      <c r="A390" t="s">
        <v>72</v>
      </c>
      <c r="B390" t="s">
        <v>7987</v>
      </c>
      <c r="C390" t="s">
        <v>74</v>
      </c>
      <c r="D390" t="s">
        <v>74</v>
      </c>
      <c r="E390" t="s">
        <v>74</v>
      </c>
      <c r="F390" t="s">
        <v>7988</v>
      </c>
      <c r="G390" t="s">
        <v>74</v>
      </c>
      <c r="H390" t="s">
        <v>74</v>
      </c>
      <c r="I390" t="s">
        <v>7989</v>
      </c>
      <c r="J390" t="s">
        <v>7990</v>
      </c>
      <c r="K390" t="s">
        <v>74</v>
      </c>
      <c r="L390" t="s">
        <v>74</v>
      </c>
      <c r="M390" t="s">
        <v>78</v>
      </c>
      <c r="N390" t="s">
        <v>79</v>
      </c>
      <c r="O390" t="s">
        <v>74</v>
      </c>
      <c r="P390" t="s">
        <v>74</v>
      </c>
      <c r="Q390" t="s">
        <v>74</v>
      </c>
      <c r="R390" t="s">
        <v>74</v>
      </c>
      <c r="S390" t="s">
        <v>74</v>
      </c>
      <c r="T390" t="s">
        <v>7991</v>
      </c>
      <c r="U390" t="s">
        <v>7992</v>
      </c>
      <c r="V390" t="s">
        <v>7993</v>
      </c>
      <c r="W390" t="s">
        <v>7994</v>
      </c>
      <c r="X390" t="s">
        <v>7995</v>
      </c>
      <c r="Y390" t="s">
        <v>7996</v>
      </c>
      <c r="Z390" t="s">
        <v>7997</v>
      </c>
      <c r="AA390" t="s">
        <v>7998</v>
      </c>
      <c r="AB390" t="s">
        <v>4477</v>
      </c>
      <c r="AC390" t="s">
        <v>7999</v>
      </c>
      <c r="AD390" t="s">
        <v>8000</v>
      </c>
      <c r="AE390" t="s">
        <v>8001</v>
      </c>
      <c r="AF390" t="s">
        <v>74</v>
      </c>
      <c r="AG390">
        <v>65</v>
      </c>
      <c r="AH390">
        <v>4</v>
      </c>
      <c r="AI390">
        <v>4</v>
      </c>
      <c r="AJ390">
        <v>14</v>
      </c>
      <c r="AK390">
        <v>41</v>
      </c>
      <c r="AL390" t="s">
        <v>501</v>
      </c>
      <c r="AM390" t="s">
        <v>502</v>
      </c>
      <c r="AN390" t="s">
        <v>503</v>
      </c>
      <c r="AO390" t="s">
        <v>8002</v>
      </c>
      <c r="AP390" t="s">
        <v>8003</v>
      </c>
      <c r="AQ390" t="s">
        <v>74</v>
      </c>
      <c r="AR390" t="s">
        <v>8004</v>
      </c>
      <c r="AS390" t="s">
        <v>8005</v>
      </c>
      <c r="AT390" t="s">
        <v>428</v>
      </c>
      <c r="AU390">
        <v>2022</v>
      </c>
      <c r="AV390">
        <v>49</v>
      </c>
      <c r="AW390" t="s">
        <v>74</v>
      </c>
      <c r="AX390" t="s">
        <v>74</v>
      </c>
      <c r="AY390" t="s">
        <v>74</v>
      </c>
      <c r="AZ390" t="s">
        <v>74</v>
      </c>
      <c r="BA390" t="s">
        <v>74</v>
      </c>
      <c r="BB390" t="s">
        <v>74</v>
      </c>
      <c r="BC390" t="s">
        <v>74</v>
      </c>
      <c r="BD390">
        <v>101987</v>
      </c>
      <c r="BE390" t="s">
        <v>8006</v>
      </c>
      <c r="BF390" t="str">
        <f>HYPERLINK("http://dx.doi.org/10.1016/j.fbio.2022.101987","http://dx.doi.org/10.1016/j.fbio.2022.101987")</f>
        <v>http://dx.doi.org/10.1016/j.fbio.2022.101987</v>
      </c>
      <c r="BG390" t="s">
        <v>74</v>
      </c>
      <c r="BH390" t="s">
        <v>7628</v>
      </c>
      <c r="BI390">
        <v>11</v>
      </c>
      <c r="BJ390" t="s">
        <v>4486</v>
      </c>
      <c r="BK390" t="s">
        <v>100</v>
      </c>
      <c r="BL390" t="s">
        <v>4486</v>
      </c>
      <c r="BM390" t="s">
        <v>8007</v>
      </c>
      <c r="BN390" t="s">
        <v>74</v>
      </c>
      <c r="BO390" t="s">
        <v>74</v>
      </c>
      <c r="BP390" t="s">
        <v>74</v>
      </c>
      <c r="BQ390" t="s">
        <v>74</v>
      </c>
      <c r="BR390" t="s">
        <v>103</v>
      </c>
      <c r="BS390" t="s">
        <v>8008</v>
      </c>
      <c r="BT390" t="str">
        <f>HYPERLINK("https%3A%2F%2Fwww.webofscience.com%2Fwos%2Fwoscc%2Ffull-record%2FWOS:000863320200007","View Full Record in Web of Science")</f>
        <v>View Full Record in Web of Science</v>
      </c>
    </row>
    <row r="391" spans="1:72" x14ac:dyDescent="0.15">
      <c r="A391" t="s">
        <v>72</v>
      </c>
      <c r="B391" t="s">
        <v>8009</v>
      </c>
      <c r="C391" t="s">
        <v>74</v>
      </c>
      <c r="D391" t="s">
        <v>74</v>
      </c>
      <c r="E391" t="s">
        <v>74</v>
      </c>
      <c r="F391" t="s">
        <v>8010</v>
      </c>
      <c r="G391" t="s">
        <v>74</v>
      </c>
      <c r="H391" t="s">
        <v>74</v>
      </c>
      <c r="I391" t="s">
        <v>8011</v>
      </c>
      <c r="J391" t="s">
        <v>2072</v>
      </c>
      <c r="K391" t="s">
        <v>74</v>
      </c>
      <c r="L391" t="s">
        <v>74</v>
      </c>
      <c r="M391" t="s">
        <v>78</v>
      </c>
      <c r="N391" t="s">
        <v>79</v>
      </c>
      <c r="O391" t="s">
        <v>74</v>
      </c>
      <c r="P391" t="s">
        <v>74</v>
      </c>
      <c r="Q391" t="s">
        <v>74</v>
      </c>
      <c r="R391" t="s">
        <v>74</v>
      </c>
      <c r="S391" t="s">
        <v>74</v>
      </c>
      <c r="T391" t="s">
        <v>8012</v>
      </c>
      <c r="U391" t="s">
        <v>8013</v>
      </c>
      <c r="V391" t="s">
        <v>8014</v>
      </c>
      <c r="W391" t="s">
        <v>8015</v>
      </c>
      <c r="X391" t="s">
        <v>8016</v>
      </c>
      <c r="Y391" t="s">
        <v>8017</v>
      </c>
      <c r="Z391" t="s">
        <v>8018</v>
      </c>
      <c r="AA391" t="s">
        <v>8019</v>
      </c>
      <c r="AB391" t="s">
        <v>8020</v>
      </c>
      <c r="AC391" t="s">
        <v>8021</v>
      </c>
      <c r="AD391" t="s">
        <v>8022</v>
      </c>
      <c r="AE391" t="s">
        <v>8023</v>
      </c>
      <c r="AF391" t="s">
        <v>74</v>
      </c>
      <c r="AG391">
        <v>96</v>
      </c>
      <c r="AH391">
        <v>6</v>
      </c>
      <c r="AI391">
        <v>6</v>
      </c>
      <c r="AJ391">
        <v>3</v>
      </c>
      <c r="AK391">
        <v>16</v>
      </c>
      <c r="AL391" t="s">
        <v>501</v>
      </c>
      <c r="AM391" t="s">
        <v>502</v>
      </c>
      <c r="AN391" t="s">
        <v>503</v>
      </c>
      <c r="AO391" t="s">
        <v>2085</v>
      </c>
      <c r="AP391" t="s">
        <v>2086</v>
      </c>
      <c r="AQ391" t="s">
        <v>74</v>
      </c>
      <c r="AR391" t="s">
        <v>2087</v>
      </c>
      <c r="AS391" t="s">
        <v>2088</v>
      </c>
      <c r="AT391" t="s">
        <v>2281</v>
      </c>
      <c r="AU391">
        <v>2022</v>
      </c>
      <c r="AV391">
        <v>235</v>
      </c>
      <c r="AW391" t="s">
        <v>74</v>
      </c>
      <c r="AX391" t="s">
        <v>74</v>
      </c>
      <c r="AY391" t="s">
        <v>74</v>
      </c>
      <c r="AZ391" t="s">
        <v>74</v>
      </c>
      <c r="BA391" t="s">
        <v>74</v>
      </c>
      <c r="BB391" t="s">
        <v>74</v>
      </c>
      <c r="BC391" t="s">
        <v>74</v>
      </c>
      <c r="BD391">
        <v>103785</v>
      </c>
      <c r="BE391" t="s">
        <v>8024</v>
      </c>
      <c r="BF391" t="str">
        <f>HYPERLINK("http://dx.doi.org/10.1016/j.jmarsys.2022.103785","http://dx.doi.org/10.1016/j.jmarsys.2022.103785")</f>
        <v>http://dx.doi.org/10.1016/j.jmarsys.2022.103785</v>
      </c>
      <c r="BG391" t="s">
        <v>74</v>
      </c>
      <c r="BH391" t="s">
        <v>7628</v>
      </c>
      <c r="BI391">
        <v>13</v>
      </c>
      <c r="BJ391" t="s">
        <v>2090</v>
      </c>
      <c r="BK391" t="s">
        <v>100</v>
      </c>
      <c r="BL391" t="s">
        <v>2091</v>
      </c>
      <c r="BM391" t="s">
        <v>8025</v>
      </c>
      <c r="BN391" t="s">
        <v>74</v>
      </c>
      <c r="BO391" t="s">
        <v>74</v>
      </c>
      <c r="BP391" t="s">
        <v>74</v>
      </c>
      <c r="BQ391" t="s">
        <v>74</v>
      </c>
      <c r="BR391" t="s">
        <v>103</v>
      </c>
      <c r="BS391" t="s">
        <v>8026</v>
      </c>
      <c r="BT391" t="str">
        <f>HYPERLINK("https%3A%2F%2Fwww.webofscience.com%2Fwos%2Fwoscc%2Ffull-record%2FWOS:000855040800002","View Full Record in Web of Science")</f>
        <v>View Full Record in Web of Science</v>
      </c>
    </row>
    <row r="392" spans="1:72" x14ac:dyDescent="0.15">
      <c r="A392" t="s">
        <v>72</v>
      </c>
      <c r="B392" t="s">
        <v>8027</v>
      </c>
      <c r="C392" t="s">
        <v>74</v>
      </c>
      <c r="D392" t="s">
        <v>74</v>
      </c>
      <c r="E392" t="s">
        <v>74</v>
      </c>
      <c r="F392" t="s">
        <v>8028</v>
      </c>
      <c r="G392" t="s">
        <v>74</v>
      </c>
      <c r="H392" t="s">
        <v>74</v>
      </c>
      <c r="I392" t="s">
        <v>8029</v>
      </c>
      <c r="J392" t="s">
        <v>8030</v>
      </c>
      <c r="K392" t="s">
        <v>74</v>
      </c>
      <c r="L392" t="s">
        <v>74</v>
      </c>
      <c r="M392" t="s">
        <v>78</v>
      </c>
      <c r="N392" t="s">
        <v>79</v>
      </c>
      <c r="O392" t="s">
        <v>74</v>
      </c>
      <c r="P392" t="s">
        <v>74</v>
      </c>
      <c r="Q392" t="s">
        <v>74</v>
      </c>
      <c r="R392" t="s">
        <v>74</v>
      </c>
      <c r="S392" t="s">
        <v>74</v>
      </c>
      <c r="T392" t="s">
        <v>8031</v>
      </c>
      <c r="U392" t="s">
        <v>8032</v>
      </c>
      <c r="V392" t="s">
        <v>8033</v>
      </c>
      <c r="W392" t="s">
        <v>8034</v>
      </c>
      <c r="X392" t="s">
        <v>8035</v>
      </c>
      <c r="Y392" t="s">
        <v>8036</v>
      </c>
      <c r="Z392" t="s">
        <v>8037</v>
      </c>
      <c r="AA392" t="s">
        <v>8038</v>
      </c>
      <c r="AB392" t="s">
        <v>8039</v>
      </c>
      <c r="AC392" t="s">
        <v>8040</v>
      </c>
      <c r="AD392" t="s">
        <v>8041</v>
      </c>
      <c r="AE392" t="s">
        <v>8042</v>
      </c>
      <c r="AF392" t="s">
        <v>74</v>
      </c>
      <c r="AG392">
        <v>122</v>
      </c>
      <c r="AH392">
        <v>7</v>
      </c>
      <c r="AI392">
        <v>7</v>
      </c>
      <c r="AJ392">
        <v>13</v>
      </c>
      <c r="AK392">
        <v>34</v>
      </c>
      <c r="AL392" t="s">
        <v>501</v>
      </c>
      <c r="AM392" t="s">
        <v>502</v>
      </c>
      <c r="AN392" t="s">
        <v>503</v>
      </c>
      <c r="AO392" t="s">
        <v>8043</v>
      </c>
      <c r="AP392" t="s">
        <v>8044</v>
      </c>
      <c r="AQ392" t="s">
        <v>74</v>
      </c>
      <c r="AR392" t="s">
        <v>8045</v>
      </c>
      <c r="AS392" t="s">
        <v>8046</v>
      </c>
      <c r="AT392" t="s">
        <v>8047</v>
      </c>
      <c r="AU392">
        <v>2022</v>
      </c>
      <c r="AV392">
        <v>609</v>
      </c>
      <c r="AW392" t="s">
        <v>74</v>
      </c>
      <c r="AX392" t="s">
        <v>74</v>
      </c>
      <c r="AY392" t="s">
        <v>74</v>
      </c>
      <c r="AZ392" t="s">
        <v>74</v>
      </c>
      <c r="BA392" t="s">
        <v>74</v>
      </c>
      <c r="BB392" t="s">
        <v>74</v>
      </c>
      <c r="BC392" t="s">
        <v>74</v>
      </c>
      <c r="BD392">
        <v>121067</v>
      </c>
      <c r="BE392" t="s">
        <v>8048</v>
      </c>
      <c r="BF392" t="str">
        <f>HYPERLINK("http://dx.doi.org/10.1016/j.chemgeo.2022.121067","http://dx.doi.org/10.1016/j.chemgeo.2022.121067")</f>
        <v>http://dx.doi.org/10.1016/j.chemgeo.2022.121067</v>
      </c>
      <c r="BG392" t="s">
        <v>74</v>
      </c>
      <c r="BH392" t="s">
        <v>7628</v>
      </c>
      <c r="BI392">
        <v>12</v>
      </c>
      <c r="BJ392" t="s">
        <v>1379</v>
      </c>
      <c r="BK392" t="s">
        <v>100</v>
      </c>
      <c r="BL392" t="s">
        <v>1379</v>
      </c>
      <c r="BM392" t="s">
        <v>8049</v>
      </c>
      <c r="BN392" t="s">
        <v>74</v>
      </c>
      <c r="BO392" t="s">
        <v>74</v>
      </c>
      <c r="BP392" t="s">
        <v>74</v>
      </c>
      <c r="BQ392" t="s">
        <v>74</v>
      </c>
      <c r="BR392" t="s">
        <v>103</v>
      </c>
      <c r="BS392" t="s">
        <v>8050</v>
      </c>
      <c r="BT392" t="str">
        <f>HYPERLINK("https%3A%2F%2Fwww.webofscience.com%2Fwos%2Fwoscc%2Ffull-record%2FWOS:000851373400004","View Full Record in Web of Science")</f>
        <v>View Full Record in Web of Science</v>
      </c>
    </row>
    <row r="393" spans="1:72" x14ac:dyDescent="0.15">
      <c r="A393" t="s">
        <v>72</v>
      </c>
      <c r="B393" t="s">
        <v>8051</v>
      </c>
      <c r="C393" t="s">
        <v>74</v>
      </c>
      <c r="D393" t="s">
        <v>74</v>
      </c>
      <c r="E393" t="s">
        <v>74</v>
      </c>
      <c r="F393" t="s">
        <v>8052</v>
      </c>
      <c r="G393" t="s">
        <v>74</v>
      </c>
      <c r="H393" t="s">
        <v>74</v>
      </c>
      <c r="I393" t="s">
        <v>8053</v>
      </c>
      <c r="J393" t="s">
        <v>2738</v>
      </c>
      <c r="K393" t="s">
        <v>74</v>
      </c>
      <c r="L393" t="s">
        <v>74</v>
      </c>
      <c r="M393" t="s">
        <v>78</v>
      </c>
      <c r="N393" t="s">
        <v>79</v>
      </c>
      <c r="O393" t="s">
        <v>74</v>
      </c>
      <c r="P393" t="s">
        <v>74</v>
      </c>
      <c r="Q393" t="s">
        <v>74</v>
      </c>
      <c r="R393" t="s">
        <v>74</v>
      </c>
      <c r="S393" t="s">
        <v>74</v>
      </c>
      <c r="T393" t="s">
        <v>8054</v>
      </c>
      <c r="U393" t="s">
        <v>8055</v>
      </c>
      <c r="V393" t="s">
        <v>8056</v>
      </c>
      <c r="W393" t="s">
        <v>8057</v>
      </c>
      <c r="X393" t="s">
        <v>8058</v>
      </c>
      <c r="Y393" t="s">
        <v>8059</v>
      </c>
      <c r="Z393" t="s">
        <v>8060</v>
      </c>
      <c r="AA393" t="s">
        <v>8061</v>
      </c>
      <c r="AB393" t="s">
        <v>8062</v>
      </c>
      <c r="AC393" t="s">
        <v>8063</v>
      </c>
      <c r="AD393" t="s">
        <v>8064</v>
      </c>
      <c r="AE393" t="s">
        <v>8065</v>
      </c>
      <c r="AF393" t="s">
        <v>74</v>
      </c>
      <c r="AG393">
        <v>70</v>
      </c>
      <c r="AH393">
        <v>2</v>
      </c>
      <c r="AI393">
        <v>3</v>
      </c>
      <c r="AJ393">
        <v>5</v>
      </c>
      <c r="AK393">
        <v>8</v>
      </c>
      <c r="AL393" t="s">
        <v>946</v>
      </c>
      <c r="AM393" t="s">
        <v>207</v>
      </c>
      <c r="AN393" t="s">
        <v>947</v>
      </c>
      <c r="AO393" t="s">
        <v>2751</v>
      </c>
      <c r="AP393" t="s">
        <v>2752</v>
      </c>
      <c r="AQ393" t="s">
        <v>74</v>
      </c>
      <c r="AR393" t="s">
        <v>2753</v>
      </c>
      <c r="AS393" t="s">
        <v>2754</v>
      </c>
      <c r="AT393" t="s">
        <v>8066</v>
      </c>
      <c r="AU393">
        <v>2022</v>
      </c>
      <c r="AV393">
        <v>127</v>
      </c>
      <c r="AW393">
        <v>16</v>
      </c>
      <c r="AX393" t="s">
        <v>74</v>
      </c>
      <c r="AY393" t="s">
        <v>74</v>
      </c>
      <c r="AZ393" t="s">
        <v>74</v>
      </c>
      <c r="BA393" t="s">
        <v>74</v>
      </c>
      <c r="BB393" t="s">
        <v>74</v>
      </c>
      <c r="BC393" t="s">
        <v>74</v>
      </c>
      <c r="BD393" t="s">
        <v>8067</v>
      </c>
      <c r="BE393" t="s">
        <v>8068</v>
      </c>
      <c r="BF393" t="str">
        <f>HYPERLINK("http://dx.doi.org/10.1029/2021JD035728","http://dx.doi.org/10.1029/2021JD035728")</f>
        <v>http://dx.doi.org/10.1029/2021JD035728</v>
      </c>
      <c r="BG393" t="s">
        <v>74</v>
      </c>
      <c r="BH393" t="s">
        <v>74</v>
      </c>
      <c r="BI393">
        <v>32</v>
      </c>
      <c r="BJ393" t="s">
        <v>457</v>
      </c>
      <c r="BK393" t="s">
        <v>100</v>
      </c>
      <c r="BL393" t="s">
        <v>457</v>
      </c>
      <c r="BM393" t="s">
        <v>8069</v>
      </c>
      <c r="BN393" t="s">
        <v>74</v>
      </c>
      <c r="BO393" t="s">
        <v>2512</v>
      </c>
      <c r="BP393" t="s">
        <v>74</v>
      </c>
      <c r="BQ393" t="s">
        <v>74</v>
      </c>
      <c r="BR393" t="s">
        <v>103</v>
      </c>
      <c r="BS393" t="s">
        <v>8070</v>
      </c>
      <c r="BT393" t="str">
        <f>HYPERLINK("https%3A%2F%2Fwww.webofscience.com%2Fwos%2Fwoscc%2Ffull-record%2FWOS:000842839500001","View Full Record in Web of Science")</f>
        <v>View Full Record in Web of Science</v>
      </c>
    </row>
    <row r="394" spans="1:72" x14ac:dyDescent="0.15">
      <c r="A394" t="s">
        <v>72</v>
      </c>
      <c r="B394" t="s">
        <v>8071</v>
      </c>
      <c r="C394" t="s">
        <v>74</v>
      </c>
      <c r="D394" t="s">
        <v>74</v>
      </c>
      <c r="E394" t="s">
        <v>74</v>
      </c>
      <c r="F394" t="s">
        <v>8072</v>
      </c>
      <c r="G394" t="s">
        <v>74</v>
      </c>
      <c r="H394" t="s">
        <v>74</v>
      </c>
      <c r="I394" t="s">
        <v>8073</v>
      </c>
      <c r="J394" t="s">
        <v>8074</v>
      </c>
      <c r="K394" t="s">
        <v>74</v>
      </c>
      <c r="L394" t="s">
        <v>74</v>
      </c>
      <c r="M394" t="s">
        <v>78</v>
      </c>
      <c r="N394" t="s">
        <v>79</v>
      </c>
      <c r="O394" t="s">
        <v>74</v>
      </c>
      <c r="P394" t="s">
        <v>74</v>
      </c>
      <c r="Q394" t="s">
        <v>74</v>
      </c>
      <c r="R394" t="s">
        <v>74</v>
      </c>
      <c r="S394" t="s">
        <v>74</v>
      </c>
      <c r="T394" t="s">
        <v>8075</v>
      </c>
      <c r="U394" t="s">
        <v>8076</v>
      </c>
      <c r="V394" t="s">
        <v>8077</v>
      </c>
      <c r="W394" t="s">
        <v>8078</v>
      </c>
      <c r="X394" t="s">
        <v>8079</v>
      </c>
      <c r="Y394" t="s">
        <v>8080</v>
      </c>
      <c r="Z394" t="s">
        <v>8081</v>
      </c>
      <c r="AA394" t="s">
        <v>8082</v>
      </c>
      <c r="AB394" t="s">
        <v>8083</v>
      </c>
      <c r="AC394" t="s">
        <v>8084</v>
      </c>
      <c r="AD394" t="s">
        <v>8085</v>
      </c>
      <c r="AE394" t="s">
        <v>8086</v>
      </c>
      <c r="AF394" t="s">
        <v>74</v>
      </c>
      <c r="AG394">
        <v>77</v>
      </c>
      <c r="AH394">
        <v>5</v>
      </c>
      <c r="AI394">
        <v>5</v>
      </c>
      <c r="AJ394">
        <v>5</v>
      </c>
      <c r="AK394">
        <v>23</v>
      </c>
      <c r="AL394" t="s">
        <v>4000</v>
      </c>
      <c r="AM394" t="s">
        <v>4001</v>
      </c>
      <c r="AN394" t="s">
        <v>4002</v>
      </c>
      <c r="AO394" t="s">
        <v>8087</v>
      </c>
      <c r="AP394" t="s">
        <v>8088</v>
      </c>
      <c r="AQ394" t="s">
        <v>74</v>
      </c>
      <c r="AR394" t="s">
        <v>8089</v>
      </c>
      <c r="AS394" t="s">
        <v>8090</v>
      </c>
      <c r="AT394" t="s">
        <v>2281</v>
      </c>
      <c r="AU394">
        <v>2022</v>
      </c>
      <c r="AV394">
        <v>214</v>
      </c>
      <c r="AW394" t="s">
        <v>74</v>
      </c>
      <c r="AX394">
        <v>4</v>
      </c>
      <c r="AY394" t="s">
        <v>74</v>
      </c>
      <c r="AZ394" t="s">
        <v>74</v>
      </c>
      <c r="BA394" t="s">
        <v>74</v>
      </c>
      <c r="BB394" t="s">
        <v>74</v>
      </c>
      <c r="BC394" t="s">
        <v>74</v>
      </c>
      <c r="BD394">
        <v>114157</v>
      </c>
      <c r="BE394" t="s">
        <v>8091</v>
      </c>
      <c r="BF394" t="str">
        <f>HYPERLINK("http://dx.doi.org/10.1016/j.envres.2022.114157","http://dx.doi.org/10.1016/j.envres.2022.114157")</f>
        <v>http://dx.doi.org/10.1016/j.envres.2022.114157</v>
      </c>
      <c r="BG394" t="s">
        <v>74</v>
      </c>
      <c r="BH394" t="s">
        <v>7628</v>
      </c>
      <c r="BI394">
        <v>12</v>
      </c>
      <c r="BJ394" t="s">
        <v>8092</v>
      </c>
      <c r="BK394" t="s">
        <v>100</v>
      </c>
      <c r="BL394" t="s">
        <v>8093</v>
      </c>
      <c r="BM394" t="s">
        <v>8094</v>
      </c>
      <c r="BN394">
        <v>36027956</v>
      </c>
      <c r="BO394" t="s">
        <v>1779</v>
      </c>
      <c r="BP394" t="s">
        <v>74</v>
      </c>
      <c r="BQ394" t="s">
        <v>74</v>
      </c>
      <c r="BR394" t="s">
        <v>103</v>
      </c>
      <c r="BS394" t="s">
        <v>8095</v>
      </c>
      <c r="BT394" t="str">
        <f>HYPERLINK("https%3A%2F%2Fwww.webofscience.com%2Fwos%2Fwoscc%2Ffull-record%2FWOS:000873349200005","View Full Record in Web of Science")</f>
        <v>View Full Record in Web of Science</v>
      </c>
    </row>
    <row r="395" spans="1:72" x14ac:dyDescent="0.15">
      <c r="A395" t="s">
        <v>72</v>
      </c>
      <c r="B395" t="s">
        <v>8096</v>
      </c>
      <c r="C395" t="s">
        <v>74</v>
      </c>
      <c r="D395" t="s">
        <v>74</v>
      </c>
      <c r="E395" t="s">
        <v>74</v>
      </c>
      <c r="F395" t="s">
        <v>8097</v>
      </c>
      <c r="G395" t="s">
        <v>74</v>
      </c>
      <c r="H395" t="s">
        <v>74</v>
      </c>
      <c r="I395" t="s">
        <v>8098</v>
      </c>
      <c r="J395" t="s">
        <v>271</v>
      </c>
      <c r="K395" t="s">
        <v>74</v>
      </c>
      <c r="L395" t="s">
        <v>74</v>
      </c>
      <c r="M395" t="s">
        <v>78</v>
      </c>
      <c r="N395" t="s">
        <v>79</v>
      </c>
      <c r="O395" t="s">
        <v>74</v>
      </c>
      <c r="P395" t="s">
        <v>74</v>
      </c>
      <c r="Q395" t="s">
        <v>74</v>
      </c>
      <c r="R395" t="s">
        <v>74</v>
      </c>
      <c r="S395" t="s">
        <v>74</v>
      </c>
      <c r="T395" t="s">
        <v>74</v>
      </c>
      <c r="U395" t="s">
        <v>8099</v>
      </c>
      <c r="V395" t="s">
        <v>8100</v>
      </c>
      <c r="W395" t="s">
        <v>8101</v>
      </c>
      <c r="X395" t="s">
        <v>8102</v>
      </c>
      <c r="Y395" t="s">
        <v>8103</v>
      </c>
      <c r="Z395" t="s">
        <v>8104</v>
      </c>
      <c r="AA395" t="s">
        <v>8105</v>
      </c>
      <c r="AB395" t="s">
        <v>8106</v>
      </c>
      <c r="AC395" t="s">
        <v>8107</v>
      </c>
      <c r="AD395" t="s">
        <v>8108</v>
      </c>
      <c r="AE395" t="s">
        <v>8109</v>
      </c>
      <c r="AF395" t="s">
        <v>74</v>
      </c>
      <c r="AG395">
        <v>81</v>
      </c>
      <c r="AH395">
        <v>0</v>
      </c>
      <c r="AI395">
        <v>1</v>
      </c>
      <c r="AJ395">
        <v>29</v>
      </c>
      <c r="AK395">
        <v>110</v>
      </c>
      <c r="AL395" t="s">
        <v>149</v>
      </c>
      <c r="AM395" t="s">
        <v>150</v>
      </c>
      <c r="AN395" t="s">
        <v>151</v>
      </c>
      <c r="AO395" t="s">
        <v>283</v>
      </c>
      <c r="AP395" t="s">
        <v>74</v>
      </c>
      <c r="AQ395" t="s">
        <v>74</v>
      </c>
      <c r="AR395" t="s">
        <v>284</v>
      </c>
      <c r="AS395" t="s">
        <v>285</v>
      </c>
      <c r="AT395" t="s">
        <v>8110</v>
      </c>
      <c r="AU395">
        <v>2022</v>
      </c>
      <c r="AV395">
        <v>12</v>
      </c>
      <c r="AW395">
        <v>1</v>
      </c>
      <c r="AX395" t="s">
        <v>74</v>
      </c>
      <c r="AY395" t="s">
        <v>74</v>
      </c>
      <c r="AZ395" t="s">
        <v>74</v>
      </c>
      <c r="BA395" t="s">
        <v>74</v>
      </c>
      <c r="BB395" t="s">
        <v>74</v>
      </c>
      <c r="BC395" t="s">
        <v>74</v>
      </c>
      <c r="BD395">
        <v>13957</v>
      </c>
      <c r="BE395" t="s">
        <v>8111</v>
      </c>
      <c r="BF395" t="str">
        <f>HYPERLINK("http://dx.doi.org/10.1038/s41598-022-17985-4","http://dx.doi.org/10.1038/s41598-022-17985-4")</f>
        <v>http://dx.doi.org/10.1038/s41598-022-17985-4</v>
      </c>
      <c r="BG395" t="s">
        <v>74</v>
      </c>
      <c r="BH395" t="s">
        <v>74</v>
      </c>
      <c r="BI395">
        <v>14</v>
      </c>
      <c r="BJ395" t="s">
        <v>156</v>
      </c>
      <c r="BK395" t="s">
        <v>100</v>
      </c>
      <c r="BL395" t="s">
        <v>157</v>
      </c>
      <c r="BM395" t="s">
        <v>8112</v>
      </c>
      <c r="BN395">
        <v>36028531</v>
      </c>
      <c r="BO395" t="s">
        <v>159</v>
      </c>
      <c r="BP395" t="s">
        <v>74</v>
      </c>
      <c r="BQ395" t="s">
        <v>74</v>
      </c>
      <c r="BR395" t="s">
        <v>103</v>
      </c>
      <c r="BS395" t="s">
        <v>8113</v>
      </c>
      <c r="BT395" t="str">
        <f>HYPERLINK("https%3A%2F%2Fwww.webofscience.com%2Fwos%2Fwoscc%2Ffull-record%2FWOS:000846571700034","View Full Record in Web of Science")</f>
        <v>View Full Record in Web of Science</v>
      </c>
    </row>
    <row r="396" spans="1:72" x14ac:dyDescent="0.15">
      <c r="A396" t="s">
        <v>72</v>
      </c>
      <c r="B396" t="s">
        <v>8114</v>
      </c>
      <c r="C396" t="s">
        <v>74</v>
      </c>
      <c r="D396" t="s">
        <v>74</v>
      </c>
      <c r="E396" t="s">
        <v>74</v>
      </c>
      <c r="F396" t="s">
        <v>8115</v>
      </c>
      <c r="G396" t="s">
        <v>74</v>
      </c>
      <c r="H396" t="s">
        <v>74</v>
      </c>
      <c r="I396" t="s">
        <v>8116</v>
      </c>
      <c r="J396" t="s">
        <v>8117</v>
      </c>
      <c r="K396" t="s">
        <v>74</v>
      </c>
      <c r="L396" t="s">
        <v>74</v>
      </c>
      <c r="M396" t="s">
        <v>78</v>
      </c>
      <c r="N396" t="s">
        <v>79</v>
      </c>
      <c r="O396" t="s">
        <v>74</v>
      </c>
      <c r="P396" t="s">
        <v>74</v>
      </c>
      <c r="Q396" t="s">
        <v>74</v>
      </c>
      <c r="R396" t="s">
        <v>74</v>
      </c>
      <c r="S396" t="s">
        <v>74</v>
      </c>
      <c r="T396" t="s">
        <v>8118</v>
      </c>
      <c r="U396" t="s">
        <v>8119</v>
      </c>
      <c r="V396" t="s">
        <v>8120</v>
      </c>
      <c r="W396" t="s">
        <v>8121</v>
      </c>
      <c r="X396" t="s">
        <v>8122</v>
      </c>
      <c r="Y396" t="s">
        <v>8123</v>
      </c>
      <c r="Z396" t="s">
        <v>8124</v>
      </c>
      <c r="AA396" t="s">
        <v>8125</v>
      </c>
      <c r="AB396" t="s">
        <v>8126</v>
      </c>
      <c r="AC396" t="s">
        <v>8127</v>
      </c>
      <c r="AD396" t="s">
        <v>8128</v>
      </c>
      <c r="AE396" t="s">
        <v>8129</v>
      </c>
      <c r="AF396" t="s">
        <v>74</v>
      </c>
      <c r="AG396">
        <v>95</v>
      </c>
      <c r="AH396">
        <v>2</v>
      </c>
      <c r="AI396">
        <v>2</v>
      </c>
      <c r="AJ396">
        <v>2</v>
      </c>
      <c r="AK396">
        <v>10</v>
      </c>
      <c r="AL396" t="s">
        <v>345</v>
      </c>
      <c r="AM396" t="s">
        <v>450</v>
      </c>
      <c r="AN396" t="s">
        <v>821</v>
      </c>
      <c r="AO396" t="s">
        <v>8130</v>
      </c>
      <c r="AP396" t="s">
        <v>8131</v>
      </c>
      <c r="AQ396" t="s">
        <v>74</v>
      </c>
      <c r="AR396" t="s">
        <v>8132</v>
      </c>
      <c r="AS396" t="s">
        <v>8133</v>
      </c>
      <c r="AT396" t="s">
        <v>428</v>
      </c>
      <c r="AU396">
        <v>2022</v>
      </c>
      <c r="AV396">
        <v>21</v>
      </c>
      <c r="AW396">
        <v>5</v>
      </c>
      <c r="AX396" t="s">
        <v>74</v>
      </c>
      <c r="AY396" t="s">
        <v>74</v>
      </c>
      <c r="AZ396" t="s">
        <v>186</v>
      </c>
      <c r="BA396" t="s">
        <v>74</v>
      </c>
      <c r="BB396">
        <v>329</v>
      </c>
      <c r="BC396">
        <v>351</v>
      </c>
      <c r="BD396" t="s">
        <v>8134</v>
      </c>
      <c r="BE396" t="s">
        <v>8135</v>
      </c>
      <c r="BF396" t="str">
        <f>HYPERLINK("http://dx.doi.org/10.1017/S1473550422000325","http://dx.doi.org/10.1017/S1473550422000325")</f>
        <v>http://dx.doi.org/10.1017/S1473550422000325</v>
      </c>
      <c r="BG396" t="s">
        <v>74</v>
      </c>
      <c r="BH396" t="s">
        <v>7628</v>
      </c>
      <c r="BI396">
        <v>23</v>
      </c>
      <c r="BJ396" t="s">
        <v>8136</v>
      </c>
      <c r="BK396" t="s">
        <v>100</v>
      </c>
      <c r="BL396" t="s">
        <v>8137</v>
      </c>
      <c r="BM396" t="s">
        <v>8138</v>
      </c>
      <c r="BN396" t="s">
        <v>74</v>
      </c>
      <c r="BO396" t="s">
        <v>831</v>
      </c>
      <c r="BP396" t="s">
        <v>74</v>
      </c>
      <c r="BQ396" t="s">
        <v>74</v>
      </c>
      <c r="BR396" t="s">
        <v>103</v>
      </c>
      <c r="BS396" t="s">
        <v>8139</v>
      </c>
      <c r="BT396" t="str">
        <f>HYPERLINK("https%3A%2F%2Fwww.webofscience.com%2Fwos%2Fwoscc%2Ffull-record%2FWOS:000844871400001","View Full Record in Web of Science")</f>
        <v>View Full Record in Web of Science</v>
      </c>
    </row>
    <row r="397" spans="1:72" x14ac:dyDescent="0.15">
      <c r="A397" t="s">
        <v>72</v>
      </c>
      <c r="B397" t="s">
        <v>8140</v>
      </c>
      <c r="C397" t="s">
        <v>74</v>
      </c>
      <c r="D397" t="s">
        <v>74</v>
      </c>
      <c r="E397" t="s">
        <v>74</v>
      </c>
      <c r="F397" t="s">
        <v>8141</v>
      </c>
      <c r="G397" t="s">
        <v>74</v>
      </c>
      <c r="H397" t="s">
        <v>74</v>
      </c>
      <c r="I397" t="s">
        <v>8142</v>
      </c>
      <c r="J397" t="s">
        <v>8143</v>
      </c>
      <c r="K397" t="s">
        <v>74</v>
      </c>
      <c r="L397" t="s">
        <v>74</v>
      </c>
      <c r="M397" t="s">
        <v>78</v>
      </c>
      <c r="N397" t="s">
        <v>79</v>
      </c>
      <c r="O397" t="s">
        <v>74</v>
      </c>
      <c r="P397" t="s">
        <v>74</v>
      </c>
      <c r="Q397" t="s">
        <v>74</v>
      </c>
      <c r="R397" t="s">
        <v>74</v>
      </c>
      <c r="S397" t="s">
        <v>74</v>
      </c>
      <c r="T397" t="s">
        <v>8144</v>
      </c>
      <c r="U397" t="s">
        <v>8145</v>
      </c>
      <c r="V397" t="s">
        <v>8146</v>
      </c>
      <c r="W397" t="s">
        <v>8147</v>
      </c>
      <c r="X397" t="s">
        <v>8148</v>
      </c>
      <c r="Y397" t="s">
        <v>8149</v>
      </c>
      <c r="Z397" t="s">
        <v>8150</v>
      </c>
      <c r="AA397" t="s">
        <v>74</v>
      </c>
      <c r="AB397" t="s">
        <v>74</v>
      </c>
      <c r="AC397" t="s">
        <v>8151</v>
      </c>
      <c r="AD397" t="s">
        <v>8151</v>
      </c>
      <c r="AE397" t="s">
        <v>8152</v>
      </c>
      <c r="AF397" t="s">
        <v>74</v>
      </c>
      <c r="AG397">
        <v>101</v>
      </c>
      <c r="AH397">
        <v>7</v>
      </c>
      <c r="AI397">
        <v>7</v>
      </c>
      <c r="AJ397">
        <v>1</v>
      </c>
      <c r="AK397">
        <v>3</v>
      </c>
      <c r="AL397" t="s">
        <v>2391</v>
      </c>
      <c r="AM397" t="s">
        <v>2392</v>
      </c>
      <c r="AN397" t="s">
        <v>2393</v>
      </c>
      <c r="AO397" t="s">
        <v>8153</v>
      </c>
      <c r="AP397" t="s">
        <v>8154</v>
      </c>
      <c r="AQ397" t="s">
        <v>74</v>
      </c>
      <c r="AR397" t="s">
        <v>8155</v>
      </c>
      <c r="AS397" t="s">
        <v>8156</v>
      </c>
      <c r="AT397" t="s">
        <v>5386</v>
      </c>
      <c r="AU397">
        <v>2022</v>
      </c>
      <c r="AV397">
        <v>102</v>
      </c>
      <c r="AW397">
        <v>4</v>
      </c>
      <c r="AX397" t="s">
        <v>74</v>
      </c>
      <c r="AY397" t="s">
        <v>74</v>
      </c>
      <c r="AZ397" t="s">
        <v>186</v>
      </c>
      <c r="BA397" t="s">
        <v>74</v>
      </c>
      <c r="BB397">
        <v>1525</v>
      </c>
      <c r="BC397">
        <v>1536</v>
      </c>
      <c r="BD397" t="s">
        <v>74</v>
      </c>
      <c r="BE397" t="s">
        <v>8157</v>
      </c>
      <c r="BF397" t="str">
        <f>HYPERLINK("http://dx.doi.org/10.1007/s42991-021-00175-6","http://dx.doi.org/10.1007/s42991-021-00175-6")</f>
        <v>http://dx.doi.org/10.1007/s42991-021-00175-6</v>
      </c>
      <c r="BG397" t="s">
        <v>74</v>
      </c>
      <c r="BH397" t="s">
        <v>7628</v>
      </c>
      <c r="BI397">
        <v>12</v>
      </c>
      <c r="BJ397" t="s">
        <v>2211</v>
      </c>
      <c r="BK397" t="s">
        <v>100</v>
      </c>
      <c r="BL397" t="s">
        <v>2211</v>
      </c>
      <c r="BM397" t="s">
        <v>8158</v>
      </c>
      <c r="BN397" t="s">
        <v>74</v>
      </c>
      <c r="BO397" t="s">
        <v>74</v>
      </c>
      <c r="BP397" t="s">
        <v>74</v>
      </c>
      <c r="BQ397" t="s">
        <v>74</v>
      </c>
      <c r="BR397" t="s">
        <v>103</v>
      </c>
      <c r="BS397" t="s">
        <v>8159</v>
      </c>
      <c r="BT397" t="str">
        <f>HYPERLINK("https%3A%2F%2Fwww.webofscience.com%2Fwos%2Fwoscc%2Ffull-record%2FWOS:000844925400002","View Full Record in Web of Science")</f>
        <v>View Full Record in Web of Science</v>
      </c>
    </row>
    <row r="398" spans="1:72" x14ac:dyDescent="0.15">
      <c r="A398" t="s">
        <v>72</v>
      </c>
      <c r="B398" t="s">
        <v>8160</v>
      </c>
      <c r="C398" t="s">
        <v>74</v>
      </c>
      <c r="D398" t="s">
        <v>74</v>
      </c>
      <c r="E398" t="s">
        <v>74</v>
      </c>
      <c r="F398" t="s">
        <v>8161</v>
      </c>
      <c r="G398" t="s">
        <v>74</v>
      </c>
      <c r="H398" t="s">
        <v>74</v>
      </c>
      <c r="I398" t="s">
        <v>8162</v>
      </c>
      <c r="J398" t="s">
        <v>4627</v>
      </c>
      <c r="K398" t="s">
        <v>74</v>
      </c>
      <c r="L398" t="s">
        <v>74</v>
      </c>
      <c r="M398" t="s">
        <v>78</v>
      </c>
      <c r="N398" t="s">
        <v>79</v>
      </c>
      <c r="O398" t="s">
        <v>74</v>
      </c>
      <c r="P398" t="s">
        <v>74</v>
      </c>
      <c r="Q398" t="s">
        <v>74</v>
      </c>
      <c r="R398" t="s">
        <v>74</v>
      </c>
      <c r="S398" t="s">
        <v>74</v>
      </c>
      <c r="T398" t="s">
        <v>74</v>
      </c>
      <c r="U398" t="s">
        <v>8163</v>
      </c>
      <c r="V398" t="s">
        <v>8164</v>
      </c>
      <c r="W398" t="s">
        <v>8165</v>
      </c>
      <c r="X398" t="s">
        <v>8166</v>
      </c>
      <c r="Y398" t="s">
        <v>8167</v>
      </c>
      <c r="Z398" t="s">
        <v>8168</v>
      </c>
      <c r="AA398" t="s">
        <v>8169</v>
      </c>
      <c r="AB398" t="s">
        <v>8170</v>
      </c>
      <c r="AC398" t="s">
        <v>8171</v>
      </c>
      <c r="AD398" t="s">
        <v>8172</v>
      </c>
      <c r="AE398" t="s">
        <v>8173</v>
      </c>
      <c r="AF398" t="s">
        <v>74</v>
      </c>
      <c r="AG398">
        <v>85</v>
      </c>
      <c r="AH398">
        <v>7</v>
      </c>
      <c r="AI398">
        <v>7</v>
      </c>
      <c r="AJ398">
        <v>12</v>
      </c>
      <c r="AK398">
        <v>30</v>
      </c>
      <c r="AL398" t="s">
        <v>2460</v>
      </c>
      <c r="AM398" t="s">
        <v>2461</v>
      </c>
      <c r="AN398" t="s">
        <v>2462</v>
      </c>
      <c r="AO398" t="s">
        <v>4638</v>
      </c>
      <c r="AP398" t="s">
        <v>4639</v>
      </c>
      <c r="AQ398" t="s">
        <v>74</v>
      </c>
      <c r="AR398" t="s">
        <v>4640</v>
      </c>
      <c r="AS398" t="s">
        <v>4641</v>
      </c>
      <c r="AT398" t="s">
        <v>8110</v>
      </c>
      <c r="AU398">
        <v>2022</v>
      </c>
      <c r="AV398">
        <v>18</v>
      </c>
      <c r="AW398">
        <v>8</v>
      </c>
      <c r="AX398" t="s">
        <v>74</v>
      </c>
      <c r="AY398" t="s">
        <v>74</v>
      </c>
      <c r="AZ398" t="s">
        <v>74</v>
      </c>
      <c r="BA398" t="s">
        <v>74</v>
      </c>
      <c r="BB398">
        <v>1947</v>
      </c>
      <c r="BC398">
        <v>1962</v>
      </c>
      <c r="BD398" t="s">
        <v>74</v>
      </c>
      <c r="BE398" t="s">
        <v>8174</v>
      </c>
      <c r="BF398" t="str">
        <f>HYPERLINK("http://dx.doi.org/10.5194/cp-18-1947-2022","http://dx.doi.org/10.5194/cp-18-1947-2022")</f>
        <v>http://dx.doi.org/10.5194/cp-18-1947-2022</v>
      </c>
      <c r="BG398" t="s">
        <v>74</v>
      </c>
      <c r="BH398" t="s">
        <v>74</v>
      </c>
      <c r="BI398">
        <v>16</v>
      </c>
      <c r="BJ398" t="s">
        <v>3373</v>
      </c>
      <c r="BK398" t="s">
        <v>100</v>
      </c>
      <c r="BL398" t="s">
        <v>3374</v>
      </c>
      <c r="BM398" t="s">
        <v>8175</v>
      </c>
      <c r="BN398" t="s">
        <v>74</v>
      </c>
      <c r="BO398" t="s">
        <v>884</v>
      </c>
      <c r="BP398" t="s">
        <v>74</v>
      </c>
      <c r="BQ398" t="s">
        <v>74</v>
      </c>
      <c r="BR398" t="s">
        <v>103</v>
      </c>
      <c r="BS398" t="s">
        <v>8176</v>
      </c>
      <c r="BT398" t="str">
        <f>HYPERLINK("https%3A%2F%2Fwww.webofscience.com%2Fwos%2Fwoscc%2Ffull-record%2FWOS:000844705800001","View Full Record in Web of Science")</f>
        <v>View Full Record in Web of Science</v>
      </c>
    </row>
    <row r="399" spans="1:72" x14ac:dyDescent="0.15">
      <c r="A399" t="s">
        <v>72</v>
      </c>
      <c r="B399" t="s">
        <v>8177</v>
      </c>
      <c r="C399" t="s">
        <v>74</v>
      </c>
      <c r="D399" t="s">
        <v>74</v>
      </c>
      <c r="E399" t="s">
        <v>74</v>
      </c>
      <c r="F399" t="s">
        <v>8178</v>
      </c>
      <c r="G399" t="s">
        <v>74</v>
      </c>
      <c r="H399" t="s">
        <v>74</v>
      </c>
      <c r="I399" t="s">
        <v>8179</v>
      </c>
      <c r="J399" t="s">
        <v>3613</v>
      </c>
      <c r="K399" t="s">
        <v>74</v>
      </c>
      <c r="L399" t="s">
        <v>74</v>
      </c>
      <c r="M399" t="s">
        <v>78</v>
      </c>
      <c r="N399" t="s">
        <v>79</v>
      </c>
      <c r="O399" t="s">
        <v>74</v>
      </c>
      <c r="P399" t="s">
        <v>74</v>
      </c>
      <c r="Q399" t="s">
        <v>74</v>
      </c>
      <c r="R399" t="s">
        <v>74</v>
      </c>
      <c r="S399" t="s">
        <v>74</v>
      </c>
      <c r="T399" t="s">
        <v>8180</v>
      </c>
      <c r="U399" t="s">
        <v>8181</v>
      </c>
      <c r="V399" t="s">
        <v>8182</v>
      </c>
      <c r="W399" t="s">
        <v>8183</v>
      </c>
      <c r="X399" t="s">
        <v>8184</v>
      </c>
      <c r="Y399" t="s">
        <v>8185</v>
      </c>
      <c r="Z399" t="s">
        <v>8186</v>
      </c>
      <c r="AA399" t="s">
        <v>8187</v>
      </c>
      <c r="AB399" t="s">
        <v>8188</v>
      </c>
      <c r="AC399" t="s">
        <v>8189</v>
      </c>
      <c r="AD399" t="s">
        <v>8190</v>
      </c>
      <c r="AE399" t="s">
        <v>8191</v>
      </c>
      <c r="AF399" t="s">
        <v>74</v>
      </c>
      <c r="AG399">
        <v>90</v>
      </c>
      <c r="AH399">
        <v>2</v>
      </c>
      <c r="AI399">
        <v>2</v>
      </c>
      <c r="AJ399">
        <v>2</v>
      </c>
      <c r="AK399">
        <v>8</v>
      </c>
      <c r="AL399" t="s">
        <v>231</v>
      </c>
      <c r="AM399" t="s">
        <v>232</v>
      </c>
      <c r="AN399" t="s">
        <v>233</v>
      </c>
      <c r="AO399" t="s">
        <v>3621</v>
      </c>
      <c r="AP399" t="s">
        <v>3622</v>
      </c>
      <c r="AQ399" t="s">
        <v>74</v>
      </c>
      <c r="AR399" t="s">
        <v>3623</v>
      </c>
      <c r="AS399" t="s">
        <v>3624</v>
      </c>
      <c r="AT399" t="s">
        <v>238</v>
      </c>
      <c r="AU399">
        <v>2023</v>
      </c>
      <c r="AV399">
        <v>39</v>
      </c>
      <c r="AW399">
        <v>1</v>
      </c>
      <c r="AX399" t="s">
        <v>74</v>
      </c>
      <c r="AY399" t="s">
        <v>74</v>
      </c>
      <c r="AZ399" t="s">
        <v>74</v>
      </c>
      <c r="BA399" t="s">
        <v>74</v>
      </c>
      <c r="BB399">
        <v>131</v>
      </c>
      <c r="BC399">
        <v>150</v>
      </c>
      <c r="BD399" t="s">
        <v>74</v>
      </c>
      <c r="BE399" t="s">
        <v>8192</v>
      </c>
      <c r="BF399" t="str">
        <f>HYPERLINK("http://dx.doi.org/10.1111/mms.12970","http://dx.doi.org/10.1111/mms.12970")</f>
        <v>http://dx.doi.org/10.1111/mms.12970</v>
      </c>
      <c r="BG399" t="s">
        <v>74</v>
      </c>
      <c r="BH399" t="s">
        <v>7628</v>
      </c>
      <c r="BI399">
        <v>20</v>
      </c>
      <c r="BJ399" t="s">
        <v>697</v>
      </c>
      <c r="BK399" t="s">
        <v>100</v>
      </c>
      <c r="BL399" t="s">
        <v>697</v>
      </c>
      <c r="BM399" t="s">
        <v>8193</v>
      </c>
      <c r="BN399" t="s">
        <v>74</v>
      </c>
      <c r="BO399" t="s">
        <v>2512</v>
      </c>
      <c r="BP399" t="s">
        <v>74</v>
      </c>
      <c r="BQ399" t="s">
        <v>74</v>
      </c>
      <c r="BR399" t="s">
        <v>103</v>
      </c>
      <c r="BS399" t="s">
        <v>8194</v>
      </c>
      <c r="BT399" t="str">
        <f>HYPERLINK("https%3A%2F%2Fwww.webofscience.com%2Fwos%2Fwoscc%2Ffull-record%2FWOS:000844547300001","View Full Record in Web of Science")</f>
        <v>View Full Record in Web of Science</v>
      </c>
    </row>
    <row r="400" spans="1:72" x14ac:dyDescent="0.15">
      <c r="A400" t="s">
        <v>72</v>
      </c>
      <c r="B400" t="s">
        <v>8195</v>
      </c>
      <c r="C400" t="s">
        <v>74</v>
      </c>
      <c r="D400" t="s">
        <v>74</v>
      </c>
      <c r="E400" t="s">
        <v>74</v>
      </c>
      <c r="F400" t="s">
        <v>8196</v>
      </c>
      <c r="G400" t="s">
        <v>74</v>
      </c>
      <c r="H400" t="s">
        <v>74</v>
      </c>
      <c r="I400" t="s">
        <v>8197</v>
      </c>
      <c r="J400" t="s">
        <v>3791</v>
      </c>
      <c r="K400" t="s">
        <v>74</v>
      </c>
      <c r="L400" t="s">
        <v>74</v>
      </c>
      <c r="M400" t="s">
        <v>78</v>
      </c>
      <c r="N400" t="s">
        <v>79</v>
      </c>
      <c r="O400" t="s">
        <v>74</v>
      </c>
      <c r="P400" t="s">
        <v>74</v>
      </c>
      <c r="Q400" t="s">
        <v>74</v>
      </c>
      <c r="R400" t="s">
        <v>74</v>
      </c>
      <c r="S400" t="s">
        <v>74</v>
      </c>
      <c r="T400" t="s">
        <v>8198</v>
      </c>
      <c r="U400" t="s">
        <v>8199</v>
      </c>
      <c r="V400" t="s">
        <v>8200</v>
      </c>
      <c r="W400" t="s">
        <v>8201</v>
      </c>
      <c r="X400" t="s">
        <v>8202</v>
      </c>
      <c r="Y400" t="s">
        <v>8203</v>
      </c>
      <c r="Z400" t="s">
        <v>8204</v>
      </c>
      <c r="AA400" t="s">
        <v>8205</v>
      </c>
      <c r="AB400" t="s">
        <v>8206</v>
      </c>
      <c r="AC400" t="s">
        <v>8207</v>
      </c>
      <c r="AD400" t="s">
        <v>8208</v>
      </c>
      <c r="AE400" t="s">
        <v>8209</v>
      </c>
      <c r="AF400" t="s">
        <v>74</v>
      </c>
      <c r="AG400">
        <v>43</v>
      </c>
      <c r="AH400">
        <v>1</v>
      </c>
      <c r="AI400">
        <v>1</v>
      </c>
      <c r="AJ400">
        <v>13</v>
      </c>
      <c r="AK400">
        <v>50</v>
      </c>
      <c r="AL400" t="s">
        <v>2249</v>
      </c>
      <c r="AM400" t="s">
        <v>90</v>
      </c>
      <c r="AN400" t="s">
        <v>2250</v>
      </c>
      <c r="AO400" t="s">
        <v>3804</v>
      </c>
      <c r="AP400" t="s">
        <v>3805</v>
      </c>
      <c r="AQ400" t="s">
        <v>74</v>
      </c>
      <c r="AR400" t="s">
        <v>3806</v>
      </c>
      <c r="AS400" t="s">
        <v>3807</v>
      </c>
      <c r="AT400" t="s">
        <v>2670</v>
      </c>
      <c r="AU400">
        <v>2022</v>
      </c>
      <c r="AV400">
        <v>311</v>
      </c>
      <c r="AW400" t="s">
        <v>74</v>
      </c>
      <c r="AX400" t="s">
        <v>74</v>
      </c>
      <c r="AY400" t="s">
        <v>74</v>
      </c>
      <c r="AZ400" t="s">
        <v>74</v>
      </c>
      <c r="BA400" t="s">
        <v>74</v>
      </c>
      <c r="BB400" t="s">
        <v>74</v>
      </c>
      <c r="BC400" t="s">
        <v>74</v>
      </c>
      <c r="BD400">
        <v>119868</v>
      </c>
      <c r="BE400" t="s">
        <v>8210</v>
      </c>
      <c r="BF400" t="str">
        <f>HYPERLINK("http://dx.doi.org/10.1016/j.envpol.2022.119868","http://dx.doi.org/10.1016/j.envpol.2022.119868")</f>
        <v>http://dx.doi.org/10.1016/j.envpol.2022.119868</v>
      </c>
      <c r="BG400" t="s">
        <v>74</v>
      </c>
      <c r="BH400" t="s">
        <v>7628</v>
      </c>
      <c r="BI400">
        <v>8</v>
      </c>
      <c r="BJ400" t="s">
        <v>2040</v>
      </c>
      <c r="BK400" t="s">
        <v>100</v>
      </c>
      <c r="BL400" t="s">
        <v>2041</v>
      </c>
      <c r="BM400" t="s">
        <v>8211</v>
      </c>
      <c r="BN400">
        <v>36002098</v>
      </c>
      <c r="BO400" t="s">
        <v>3053</v>
      </c>
      <c r="BP400" t="s">
        <v>74</v>
      </c>
      <c r="BQ400" t="s">
        <v>74</v>
      </c>
      <c r="BR400" t="s">
        <v>103</v>
      </c>
      <c r="BS400" t="s">
        <v>8212</v>
      </c>
      <c r="BT400" t="str">
        <f>HYPERLINK("https%3A%2F%2Fwww.webofscience.com%2Fwos%2Fwoscc%2Ffull-record%2FWOS:000876927000001","View Full Record in Web of Science")</f>
        <v>View Full Record in Web of Science</v>
      </c>
    </row>
    <row r="401" spans="1:72" x14ac:dyDescent="0.15">
      <c r="A401" t="s">
        <v>72</v>
      </c>
      <c r="B401" t="s">
        <v>8213</v>
      </c>
      <c r="C401" t="s">
        <v>74</v>
      </c>
      <c r="D401" t="s">
        <v>74</v>
      </c>
      <c r="E401" t="s">
        <v>74</v>
      </c>
      <c r="F401" t="s">
        <v>8214</v>
      </c>
      <c r="G401" t="s">
        <v>74</v>
      </c>
      <c r="H401" t="s">
        <v>74</v>
      </c>
      <c r="I401" t="s">
        <v>8215</v>
      </c>
      <c r="J401" t="s">
        <v>8216</v>
      </c>
      <c r="K401" t="s">
        <v>74</v>
      </c>
      <c r="L401" t="s">
        <v>74</v>
      </c>
      <c r="M401" t="s">
        <v>78</v>
      </c>
      <c r="N401" t="s">
        <v>79</v>
      </c>
      <c r="O401" t="s">
        <v>74</v>
      </c>
      <c r="P401" t="s">
        <v>74</v>
      </c>
      <c r="Q401" t="s">
        <v>74</v>
      </c>
      <c r="R401" t="s">
        <v>74</v>
      </c>
      <c r="S401" t="s">
        <v>74</v>
      </c>
      <c r="T401" t="s">
        <v>74</v>
      </c>
      <c r="U401" t="s">
        <v>8217</v>
      </c>
      <c r="V401" t="s">
        <v>8218</v>
      </c>
      <c r="W401" t="s">
        <v>8219</v>
      </c>
      <c r="X401" t="s">
        <v>8220</v>
      </c>
      <c r="Y401" t="s">
        <v>8221</v>
      </c>
      <c r="Z401" t="s">
        <v>8222</v>
      </c>
      <c r="AA401" t="s">
        <v>8223</v>
      </c>
      <c r="AB401" t="s">
        <v>8224</v>
      </c>
      <c r="AC401" t="s">
        <v>8225</v>
      </c>
      <c r="AD401" t="s">
        <v>8226</v>
      </c>
      <c r="AE401" t="s">
        <v>8227</v>
      </c>
      <c r="AF401" t="s">
        <v>74</v>
      </c>
      <c r="AG401">
        <v>65</v>
      </c>
      <c r="AH401">
        <v>0</v>
      </c>
      <c r="AI401">
        <v>0</v>
      </c>
      <c r="AJ401">
        <v>0</v>
      </c>
      <c r="AK401">
        <v>3</v>
      </c>
      <c r="AL401" t="s">
        <v>4024</v>
      </c>
      <c r="AM401" t="s">
        <v>2774</v>
      </c>
      <c r="AN401" t="s">
        <v>4025</v>
      </c>
      <c r="AO401" t="s">
        <v>8228</v>
      </c>
      <c r="AP401" t="s">
        <v>8229</v>
      </c>
      <c r="AQ401" t="s">
        <v>74</v>
      </c>
      <c r="AR401" t="s">
        <v>8230</v>
      </c>
      <c r="AS401" t="s">
        <v>8231</v>
      </c>
      <c r="AT401" t="s">
        <v>8232</v>
      </c>
      <c r="AU401">
        <v>2022</v>
      </c>
      <c r="AV401">
        <v>2022</v>
      </c>
      <c r="AW401" t="s">
        <v>74</v>
      </c>
      <c r="AX401" t="s">
        <v>74</v>
      </c>
      <c r="AY401" t="s">
        <v>74</v>
      </c>
      <c r="AZ401" t="s">
        <v>74</v>
      </c>
      <c r="BA401" t="s">
        <v>74</v>
      </c>
      <c r="BB401" t="s">
        <v>74</v>
      </c>
      <c r="BC401" t="s">
        <v>74</v>
      </c>
      <c r="BD401">
        <v>1162938</v>
      </c>
      <c r="BE401" t="s">
        <v>8233</v>
      </c>
      <c r="BF401" t="str">
        <f>HYPERLINK("http://dx.doi.org/10.1155/2022/1162938","http://dx.doi.org/10.1155/2022/1162938")</f>
        <v>http://dx.doi.org/10.1155/2022/1162938</v>
      </c>
      <c r="BG401" t="s">
        <v>74</v>
      </c>
      <c r="BH401" t="s">
        <v>74</v>
      </c>
      <c r="BI401">
        <v>12</v>
      </c>
      <c r="BJ401" t="s">
        <v>214</v>
      </c>
      <c r="BK401" t="s">
        <v>215</v>
      </c>
      <c r="BL401" t="s">
        <v>214</v>
      </c>
      <c r="BM401" t="s">
        <v>8234</v>
      </c>
      <c r="BN401">
        <v>36061879</v>
      </c>
      <c r="BO401" t="s">
        <v>159</v>
      </c>
      <c r="BP401" t="s">
        <v>74</v>
      </c>
      <c r="BQ401" t="s">
        <v>74</v>
      </c>
      <c r="BR401" t="s">
        <v>103</v>
      </c>
      <c r="BS401" t="s">
        <v>8235</v>
      </c>
      <c r="BT401" t="str">
        <f>HYPERLINK("https%3A%2F%2Fwww.webofscience.com%2Fwos%2Fwoscc%2Ffull-record%2FWOS:000872564300001","View Full Record in Web of Science")</f>
        <v>View Full Record in Web of Science</v>
      </c>
    </row>
    <row r="402" spans="1:72" x14ac:dyDescent="0.15">
      <c r="A402" t="s">
        <v>72</v>
      </c>
      <c r="B402" t="s">
        <v>8236</v>
      </c>
      <c r="C402" t="s">
        <v>74</v>
      </c>
      <c r="D402" t="s">
        <v>74</v>
      </c>
      <c r="E402" t="s">
        <v>74</v>
      </c>
      <c r="F402" t="s">
        <v>8237</v>
      </c>
      <c r="G402" t="s">
        <v>74</v>
      </c>
      <c r="H402" t="s">
        <v>74</v>
      </c>
      <c r="I402" t="s">
        <v>8238</v>
      </c>
      <c r="J402" t="s">
        <v>3171</v>
      </c>
      <c r="K402" t="s">
        <v>74</v>
      </c>
      <c r="L402" t="s">
        <v>74</v>
      </c>
      <c r="M402" t="s">
        <v>78</v>
      </c>
      <c r="N402" t="s">
        <v>79</v>
      </c>
      <c r="O402" t="s">
        <v>74</v>
      </c>
      <c r="P402" t="s">
        <v>74</v>
      </c>
      <c r="Q402" t="s">
        <v>74</v>
      </c>
      <c r="R402" t="s">
        <v>74</v>
      </c>
      <c r="S402" t="s">
        <v>74</v>
      </c>
      <c r="T402" t="s">
        <v>8239</v>
      </c>
      <c r="U402" t="s">
        <v>8240</v>
      </c>
      <c r="V402" t="s">
        <v>8241</v>
      </c>
      <c r="W402" t="s">
        <v>8242</v>
      </c>
      <c r="X402" t="s">
        <v>8243</v>
      </c>
      <c r="Y402" t="s">
        <v>8244</v>
      </c>
      <c r="Z402" t="s">
        <v>8245</v>
      </c>
      <c r="AA402" t="s">
        <v>8246</v>
      </c>
      <c r="AB402" t="s">
        <v>8247</v>
      </c>
      <c r="AC402" t="s">
        <v>8248</v>
      </c>
      <c r="AD402" t="s">
        <v>8249</v>
      </c>
      <c r="AE402" t="s">
        <v>8250</v>
      </c>
      <c r="AF402" t="s">
        <v>74</v>
      </c>
      <c r="AG402">
        <v>61</v>
      </c>
      <c r="AH402">
        <v>5</v>
      </c>
      <c r="AI402">
        <v>6</v>
      </c>
      <c r="AJ402">
        <v>2</v>
      </c>
      <c r="AK402">
        <v>27</v>
      </c>
      <c r="AL402" t="s">
        <v>121</v>
      </c>
      <c r="AM402" t="s">
        <v>122</v>
      </c>
      <c r="AN402" t="s">
        <v>123</v>
      </c>
      <c r="AO402" t="s">
        <v>74</v>
      </c>
      <c r="AP402" t="s">
        <v>3183</v>
      </c>
      <c r="AQ402" t="s">
        <v>74</v>
      </c>
      <c r="AR402" t="s">
        <v>3184</v>
      </c>
      <c r="AS402" t="s">
        <v>3185</v>
      </c>
      <c r="AT402" t="s">
        <v>8232</v>
      </c>
      <c r="AU402">
        <v>2022</v>
      </c>
      <c r="AV402">
        <v>13</v>
      </c>
      <c r="AW402" t="s">
        <v>74</v>
      </c>
      <c r="AX402" t="s">
        <v>74</v>
      </c>
      <c r="AY402" t="s">
        <v>74</v>
      </c>
      <c r="AZ402" t="s">
        <v>74</v>
      </c>
      <c r="BA402" t="s">
        <v>74</v>
      </c>
      <c r="BB402" t="s">
        <v>74</v>
      </c>
      <c r="BC402" t="s">
        <v>74</v>
      </c>
      <c r="BD402">
        <v>939955</v>
      </c>
      <c r="BE402" t="s">
        <v>8251</v>
      </c>
      <c r="BF402" t="str">
        <f>HYPERLINK("http://dx.doi.org/10.3389/fmicb.2022.939955","http://dx.doi.org/10.3389/fmicb.2022.939955")</f>
        <v>http://dx.doi.org/10.3389/fmicb.2022.939955</v>
      </c>
      <c r="BG402" t="s">
        <v>74</v>
      </c>
      <c r="BH402" t="s">
        <v>74</v>
      </c>
      <c r="BI402">
        <v>11</v>
      </c>
      <c r="BJ402" t="s">
        <v>214</v>
      </c>
      <c r="BK402" t="s">
        <v>100</v>
      </c>
      <c r="BL402" t="s">
        <v>214</v>
      </c>
      <c r="BM402" t="s">
        <v>8252</v>
      </c>
      <c r="BN402">
        <v>36090118</v>
      </c>
      <c r="BO402" t="s">
        <v>132</v>
      </c>
      <c r="BP402" t="s">
        <v>74</v>
      </c>
      <c r="BQ402" t="s">
        <v>74</v>
      </c>
      <c r="BR402" t="s">
        <v>103</v>
      </c>
      <c r="BS402" t="s">
        <v>8253</v>
      </c>
      <c r="BT402" t="str">
        <f>HYPERLINK("https%3A%2F%2Fwww.webofscience.com%2Fwos%2Fwoscc%2Ffull-record%2FWOS:000857210100001","View Full Record in Web of Science")</f>
        <v>View Full Record in Web of Science</v>
      </c>
    </row>
    <row r="403" spans="1:72" x14ac:dyDescent="0.15">
      <c r="A403" t="s">
        <v>72</v>
      </c>
      <c r="B403" t="s">
        <v>8254</v>
      </c>
      <c r="C403" t="s">
        <v>74</v>
      </c>
      <c r="D403" t="s">
        <v>74</v>
      </c>
      <c r="E403" t="s">
        <v>74</v>
      </c>
      <c r="F403" t="s">
        <v>8255</v>
      </c>
      <c r="G403" t="s">
        <v>74</v>
      </c>
      <c r="H403" t="s">
        <v>74</v>
      </c>
      <c r="I403" t="s">
        <v>8256</v>
      </c>
      <c r="J403" t="s">
        <v>271</v>
      </c>
      <c r="K403" t="s">
        <v>74</v>
      </c>
      <c r="L403" t="s">
        <v>74</v>
      </c>
      <c r="M403" t="s">
        <v>78</v>
      </c>
      <c r="N403" t="s">
        <v>79</v>
      </c>
      <c r="O403" t="s">
        <v>74</v>
      </c>
      <c r="P403" t="s">
        <v>74</v>
      </c>
      <c r="Q403" t="s">
        <v>74</v>
      </c>
      <c r="R403" t="s">
        <v>74</v>
      </c>
      <c r="S403" t="s">
        <v>74</v>
      </c>
      <c r="T403" t="s">
        <v>74</v>
      </c>
      <c r="U403" t="s">
        <v>8257</v>
      </c>
      <c r="V403" t="s">
        <v>8258</v>
      </c>
      <c r="W403" t="s">
        <v>8259</v>
      </c>
      <c r="X403" t="s">
        <v>8260</v>
      </c>
      <c r="Y403" t="s">
        <v>8261</v>
      </c>
      <c r="Z403" t="s">
        <v>8262</v>
      </c>
      <c r="AA403" t="s">
        <v>8263</v>
      </c>
      <c r="AB403" t="s">
        <v>8264</v>
      </c>
      <c r="AC403" t="s">
        <v>8265</v>
      </c>
      <c r="AD403" t="s">
        <v>8266</v>
      </c>
      <c r="AE403" t="s">
        <v>8267</v>
      </c>
      <c r="AF403" t="s">
        <v>74</v>
      </c>
      <c r="AG403">
        <v>75</v>
      </c>
      <c r="AH403">
        <v>16</v>
      </c>
      <c r="AI403">
        <v>17</v>
      </c>
      <c r="AJ403">
        <v>4</v>
      </c>
      <c r="AK403">
        <v>34</v>
      </c>
      <c r="AL403" t="s">
        <v>149</v>
      </c>
      <c r="AM403" t="s">
        <v>150</v>
      </c>
      <c r="AN403" t="s">
        <v>151</v>
      </c>
      <c r="AO403" t="s">
        <v>283</v>
      </c>
      <c r="AP403" t="s">
        <v>74</v>
      </c>
      <c r="AQ403" t="s">
        <v>74</v>
      </c>
      <c r="AR403" t="s">
        <v>284</v>
      </c>
      <c r="AS403" t="s">
        <v>285</v>
      </c>
      <c r="AT403" t="s">
        <v>8232</v>
      </c>
      <c r="AU403">
        <v>2022</v>
      </c>
      <c r="AV403">
        <v>12</v>
      </c>
      <c r="AW403">
        <v>1</v>
      </c>
      <c r="AX403" t="s">
        <v>74</v>
      </c>
      <c r="AY403" t="s">
        <v>74</v>
      </c>
      <c r="AZ403" t="s">
        <v>74</v>
      </c>
      <c r="BA403" t="s">
        <v>74</v>
      </c>
      <c r="BB403" t="s">
        <v>74</v>
      </c>
      <c r="BC403" t="s">
        <v>74</v>
      </c>
      <c r="BD403">
        <v>12665</v>
      </c>
      <c r="BE403" t="s">
        <v>8268</v>
      </c>
      <c r="BF403" t="str">
        <f>HYPERLINK("http://dx.doi.org/10.1038/s41598-022-15794-3","http://dx.doi.org/10.1038/s41598-022-15794-3")</f>
        <v>http://dx.doi.org/10.1038/s41598-022-15794-3</v>
      </c>
      <c r="BG403" t="s">
        <v>74</v>
      </c>
      <c r="BH403" t="s">
        <v>74</v>
      </c>
      <c r="BI403">
        <v>15</v>
      </c>
      <c r="BJ403" t="s">
        <v>156</v>
      </c>
      <c r="BK403" t="s">
        <v>100</v>
      </c>
      <c r="BL403" t="s">
        <v>157</v>
      </c>
      <c r="BM403" t="s">
        <v>8269</v>
      </c>
      <c r="BN403">
        <v>36008428</v>
      </c>
      <c r="BO403" t="s">
        <v>132</v>
      </c>
      <c r="BP403" t="s">
        <v>74</v>
      </c>
      <c r="BQ403" t="s">
        <v>74</v>
      </c>
      <c r="BR403" t="s">
        <v>103</v>
      </c>
      <c r="BS403" t="s">
        <v>8270</v>
      </c>
      <c r="BT403" t="str">
        <f>HYPERLINK("https%3A%2F%2Fwww.webofscience.com%2Fwos%2Fwoscc%2Ffull-record%2FWOS:000846214200030","View Full Record in Web of Science")</f>
        <v>View Full Record in Web of Science</v>
      </c>
    </row>
    <row r="404" spans="1:72" x14ac:dyDescent="0.15">
      <c r="A404" t="s">
        <v>72</v>
      </c>
      <c r="B404" t="s">
        <v>8271</v>
      </c>
      <c r="C404" t="s">
        <v>74</v>
      </c>
      <c r="D404" t="s">
        <v>74</v>
      </c>
      <c r="E404" t="s">
        <v>74</v>
      </c>
      <c r="F404" t="s">
        <v>8272</v>
      </c>
      <c r="G404" t="s">
        <v>74</v>
      </c>
      <c r="H404" t="s">
        <v>74</v>
      </c>
      <c r="I404" t="s">
        <v>8273</v>
      </c>
      <c r="J404" t="s">
        <v>3102</v>
      </c>
      <c r="K404" t="s">
        <v>74</v>
      </c>
      <c r="L404" t="s">
        <v>74</v>
      </c>
      <c r="M404" t="s">
        <v>78</v>
      </c>
      <c r="N404" t="s">
        <v>79</v>
      </c>
      <c r="O404" t="s">
        <v>74</v>
      </c>
      <c r="P404" t="s">
        <v>74</v>
      </c>
      <c r="Q404" t="s">
        <v>74</v>
      </c>
      <c r="R404" t="s">
        <v>74</v>
      </c>
      <c r="S404" t="s">
        <v>74</v>
      </c>
      <c r="T404" t="s">
        <v>8274</v>
      </c>
      <c r="U404" t="s">
        <v>8275</v>
      </c>
      <c r="V404" t="s">
        <v>8276</v>
      </c>
      <c r="W404" t="s">
        <v>8277</v>
      </c>
      <c r="X404" t="s">
        <v>8278</v>
      </c>
      <c r="Y404" t="s">
        <v>8279</v>
      </c>
      <c r="Z404" t="s">
        <v>8280</v>
      </c>
      <c r="AA404" t="s">
        <v>8281</v>
      </c>
      <c r="AB404" t="s">
        <v>8282</v>
      </c>
      <c r="AC404" t="s">
        <v>8283</v>
      </c>
      <c r="AD404" t="s">
        <v>8284</v>
      </c>
      <c r="AE404" t="s">
        <v>8285</v>
      </c>
      <c r="AF404" t="s">
        <v>74</v>
      </c>
      <c r="AG404">
        <v>95</v>
      </c>
      <c r="AH404">
        <v>2</v>
      </c>
      <c r="AI404">
        <v>2</v>
      </c>
      <c r="AJ404">
        <v>1</v>
      </c>
      <c r="AK404">
        <v>10</v>
      </c>
      <c r="AL404" t="s">
        <v>178</v>
      </c>
      <c r="AM404" t="s">
        <v>179</v>
      </c>
      <c r="AN404" t="s">
        <v>180</v>
      </c>
      <c r="AO404" t="s">
        <v>3113</v>
      </c>
      <c r="AP404" t="s">
        <v>3114</v>
      </c>
      <c r="AQ404" t="s">
        <v>74</v>
      </c>
      <c r="AR404" t="s">
        <v>3102</v>
      </c>
      <c r="AS404" t="s">
        <v>3115</v>
      </c>
      <c r="AT404" t="s">
        <v>3605</v>
      </c>
      <c r="AU404">
        <v>2022</v>
      </c>
      <c r="AV404">
        <v>31</v>
      </c>
      <c r="AW404">
        <v>7</v>
      </c>
      <c r="AX404" t="s">
        <v>74</v>
      </c>
      <c r="AY404" t="s">
        <v>74</v>
      </c>
      <c r="AZ404" t="s">
        <v>74</v>
      </c>
      <c r="BA404" t="s">
        <v>74</v>
      </c>
      <c r="BB404">
        <v>1068</v>
      </c>
      <c r="BC404">
        <v>1077</v>
      </c>
      <c r="BD404" t="s">
        <v>74</v>
      </c>
      <c r="BE404" t="s">
        <v>8286</v>
      </c>
      <c r="BF404" t="str">
        <f>HYPERLINK("http://dx.doi.org/10.1007/s10646-022-02575-x","http://dx.doi.org/10.1007/s10646-022-02575-x")</f>
        <v>http://dx.doi.org/10.1007/s10646-022-02575-x</v>
      </c>
      <c r="BG404" t="s">
        <v>74</v>
      </c>
      <c r="BH404" t="s">
        <v>7628</v>
      </c>
      <c r="BI404">
        <v>10</v>
      </c>
      <c r="BJ404" t="s">
        <v>3117</v>
      </c>
      <c r="BK404" t="s">
        <v>100</v>
      </c>
      <c r="BL404" t="s">
        <v>3118</v>
      </c>
      <c r="BM404" t="s">
        <v>8287</v>
      </c>
      <c r="BN404">
        <v>36006498</v>
      </c>
      <c r="BO404" t="s">
        <v>1221</v>
      </c>
      <c r="BP404" t="s">
        <v>74</v>
      </c>
      <c r="BQ404" t="s">
        <v>74</v>
      </c>
      <c r="BR404" t="s">
        <v>103</v>
      </c>
      <c r="BS404" t="s">
        <v>8288</v>
      </c>
      <c r="BT404" t="str">
        <f>HYPERLINK("https%3A%2F%2Fwww.webofscience.com%2Fwos%2Fwoscc%2Ffull-record%2FWOS:000844505000001","View Full Record in Web of Science")</f>
        <v>View Full Record in Web of Science</v>
      </c>
    </row>
    <row r="405" spans="1:72" x14ac:dyDescent="0.15">
      <c r="A405" t="s">
        <v>72</v>
      </c>
      <c r="B405" t="s">
        <v>8289</v>
      </c>
      <c r="C405" t="s">
        <v>74</v>
      </c>
      <c r="D405" t="s">
        <v>74</v>
      </c>
      <c r="E405" t="s">
        <v>74</v>
      </c>
      <c r="F405" t="s">
        <v>8290</v>
      </c>
      <c r="G405" t="s">
        <v>74</v>
      </c>
      <c r="H405" t="s">
        <v>74</v>
      </c>
      <c r="I405" t="s">
        <v>8291</v>
      </c>
      <c r="J405" t="s">
        <v>8292</v>
      </c>
      <c r="K405" t="s">
        <v>74</v>
      </c>
      <c r="L405" t="s">
        <v>74</v>
      </c>
      <c r="M405" t="s">
        <v>78</v>
      </c>
      <c r="N405" t="s">
        <v>79</v>
      </c>
      <c r="O405" t="s">
        <v>74</v>
      </c>
      <c r="P405" t="s">
        <v>74</v>
      </c>
      <c r="Q405" t="s">
        <v>74</v>
      </c>
      <c r="R405" t="s">
        <v>74</v>
      </c>
      <c r="S405" t="s">
        <v>74</v>
      </c>
      <c r="T405" t="s">
        <v>8293</v>
      </c>
      <c r="U405" t="s">
        <v>8294</v>
      </c>
      <c r="V405" t="s">
        <v>8295</v>
      </c>
      <c r="W405" t="s">
        <v>8296</v>
      </c>
      <c r="X405" t="s">
        <v>8297</v>
      </c>
      <c r="Y405" t="s">
        <v>8298</v>
      </c>
      <c r="Z405" t="s">
        <v>8299</v>
      </c>
      <c r="AA405" t="s">
        <v>8300</v>
      </c>
      <c r="AB405" t="s">
        <v>8301</v>
      </c>
      <c r="AC405" t="s">
        <v>8302</v>
      </c>
      <c r="AD405" t="s">
        <v>8303</v>
      </c>
      <c r="AE405" t="s">
        <v>8304</v>
      </c>
      <c r="AF405" t="s">
        <v>74</v>
      </c>
      <c r="AG405">
        <v>48</v>
      </c>
      <c r="AH405">
        <v>5</v>
      </c>
      <c r="AI405">
        <v>6</v>
      </c>
      <c r="AJ405">
        <v>2</v>
      </c>
      <c r="AK405">
        <v>23</v>
      </c>
      <c r="AL405" t="s">
        <v>178</v>
      </c>
      <c r="AM405" t="s">
        <v>450</v>
      </c>
      <c r="AN405" t="s">
        <v>668</v>
      </c>
      <c r="AO405" t="s">
        <v>8305</v>
      </c>
      <c r="AP405" t="s">
        <v>8306</v>
      </c>
      <c r="AQ405" t="s">
        <v>74</v>
      </c>
      <c r="AR405" t="s">
        <v>8307</v>
      </c>
      <c r="AS405" t="s">
        <v>8308</v>
      </c>
      <c r="AT405" t="s">
        <v>428</v>
      </c>
      <c r="AU405">
        <v>2022</v>
      </c>
      <c r="AV405">
        <v>105</v>
      </c>
      <c r="AW405">
        <v>10</v>
      </c>
      <c r="AX405" t="s">
        <v>74</v>
      </c>
      <c r="AY405" t="s">
        <v>74</v>
      </c>
      <c r="AZ405" t="s">
        <v>186</v>
      </c>
      <c r="BA405" t="s">
        <v>74</v>
      </c>
      <c r="BB405">
        <v>1301</v>
      </c>
      <c r="BC405">
        <v>1315</v>
      </c>
      <c r="BD405" t="s">
        <v>74</v>
      </c>
      <c r="BE405" t="s">
        <v>8309</v>
      </c>
      <c r="BF405" t="str">
        <f>HYPERLINK("http://dx.doi.org/10.1007/s10641-022-01321-w","http://dx.doi.org/10.1007/s10641-022-01321-w")</f>
        <v>http://dx.doi.org/10.1007/s10641-022-01321-w</v>
      </c>
      <c r="BG405" t="s">
        <v>74</v>
      </c>
      <c r="BH405" t="s">
        <v>7628</v>
      </c>
      <c r="BI405">
        <v>15</v>
      </c>
      <c r="BJ405" t="s">
        <v>2233</v>
      </c>
      <c r="BK405" t="s">
        <v>100</v>
      </c>
      <c r="BL405" t="s">
        <v>264</v>
      </c>
      <c r="BM405" t="s">
        <v>8310</v>
      </c>
      <c r="BN405" t="s">
        <v>74</v>
      </c>
      <c r="BO405" t="s">
        <v>74</v>
      </c>
      <c r="BP405" t="s">
        <v>74</v>
      </c>
      <c r="BQ405" t="s">
        <v>74</v>
      </c>
      <c r="BR405" t="s">
        <v>103</v>
      </c>
      <c r="BS405" t="s">
        <v>8311</v>
      </c>
      <c r="BT405" t="str">
        <f>HYPERLINK("https%3A%2F%2Fwww.webofscience.com%2Fwos%2Fwoscc%2Ffull-record%2FWOS:000844493400001","View Full Record in Web of Science")</f>
        <v>View Full Record in Web of Science</v>
      </c>
    </row>
    <row r="406" spans="1:72" x14ac:dyDescent="0.15">
      <c r="A406" t="s">
        <v>72</v>
      </c>
      <c r="B406" t="s">
        <v>8312</v>
      </c>
      <c r="C406" t="s">
        <v>74</v>
      </c>
      <c r="D406" t="s">
        <v>74</v>
      </c>
      <c r="E406" t="s">
        <v>74</v>
      </c>
      <c r="F406" t="s">
        <v>8313</v>
      </c>
      <c r="G406" t="s">
        <v>74</v>
      </c>
      <c r="H406" t="s">
        <v>74</v>
      </c>
      <c r="I406" t="s">
        <v>8314</v>
      </c>
      <c r="J406" t="s">
        <v>3542</v>
      </c>
      <c r="K406" t="s">
        <v>74</v>
      </c>
      <c r="L406" t="s">
        <v>74</v>
      </c>
      <c r="M406" t="s">
        <v>78</v>
      </c>
      <c r="N406" t="s">
        <v>79</v>
      </c>
      <c r="O406" t="s">
        <v>74</v>
      </c>
      <c r="P406" t="s">
        <v>74</v>
      </c>
      <c r="Q406" t="s">
        <v>74</v>
      </c>
      <c r="R406" t="s">
        <v>74</v>
      </c>
      <c r="S406" t="s">
        <v>74</v>
      </c>
      <c r="T406" t="s">
        <v>8315</v>
      </c>
      <c r="U406" t="s">
        <v>8316</v>
      </c>
      <c r="V406" t="s">
        <v>8317</v>
      </c>
      <c r="W406" t="s">
        <v>8318</v>
      </c>
      <c r="X406" t="s">
        <v>8319</v>
      </c>
      <c r="Y406" t="s">
        <v>8320</v>
      </c>
      <c r="Z406" t="s">
        <v>8321</v>
      </c>
      <c r="AA406" t="s">
        <v>8322</v>
      </c>
      <c r="AB406" t="s">
        <v>8323</v>
      </c>
      <c r="AC406" t="s">
        <v>8324</v>
      </c>
      <c r="AD406" t="s">
        <v>8325</v>
      </c>
      <c r="AE406" t="s">
        <v>8326</v>
      </c>
      <c r="AF406" t="s">
        <v>74</v>
      </c>
      <c r="AG406">
        <v>47</v>
      </c>
      <c r="AH406">
        <v>1</v>
      </c>
      <c r="AI406">
        <v>1</v>
      </c>
      <c r="AJ406">
        <v>2</v>
      </c>
      <c r="AK406">
        <v>8</v>
      </c>
      <c r="AL406" t="s">
        <v>231</v>
      </c>
      <c r="AM406" t="s">
        <v>232</v>
      </c>
      <c r="AN406" t="s">
        <v>233</v>
      </c>
      <c r="AO406" t="s">
        <v>3555</v>
      </c>
      <c r="AP406" t="s">
        <v>3556</v>
      </c>
      <c r="AQ406" t="s">
        <v>74</v>
      </c>
      <c r="AR406" t="s">
        <v>3557</v>
      </c>
      <c r="AS406" t="s">
        <v>3558</v>
      </c>
      <c r="AT406" t="s">
        <v>2281</v>
      </c>
      <c r="AU406">
        <v>2022</v>
      </c>
      <c r="AV406">
        <v>45</v>
      </c>
      <c r="AW406">
        <v>11</v>
      </c>
      <c r="AX406" t="s">
        <v>74</v>
      </c>
      <c r="AY406" t="s">
        <v>74</v>
      </c>
      <c r="AZ406" t="s">
        <v>74</v>
      </c>
      <c r="BA406" t="s">
        <v>74</v>
      </c>
      <c r="BB406">
        <v>1721</v>
      </c>
      <c r="BC406">
        <v>1731</v>
      </c>
      <c r="BD406" t="s">
        <v>74</v>
      </c>
      <c r="BE406" t="s">
        <v>8327</v>
      </c>
      <c r="BF406" t="str">
        <f>HYPERLINK("http://dx.doi.org/10.1111/jfd.13694","http://dx.doi.org/10.1111/jfd.13694")</f>
        <v>http://dx.doi.org/10.1111/jfd.13694</v>
      </c>
      <c r="BG406" t="s">
        <v>74</v>
      </c>
      <c r="BH406" t="s">
        <v>7628</v>
      </c>
      <c r="BI406">
        <v>11</v>
      </c>
      <c r="BJ406" t="s">
        <v>3560</v>
      </c>
      <c r="BK406" t="s">
        <v>100</v>
      </c>
      <c r="BL406" t="s">
        <v>3560</v>
      </c>
      <c r="BM406" t="s">
        <v>8328</v>
      </c>
      <c r="BN406">
        <v>36017570</v>
      </c>
      <c r="BO406" t="s">
        <v>2512</v>
      </c>
      <c r="BP406" t="s">
        <v>74</v>
      </c>
      <c r="BQ406" t="s">
        <v>74</v>
      </c>
      <c r="BR406" t="s">
        <v>103</v>
      </c>
      <c r="BS406" t="s">
        <v>8329</v>
      </c>
      <c r="BT406" t="str">
        <f>HYPERLINK("https%3A%2F%2Fwww.webofscience.com%2Fwos%2Fwoscc%2Ffull-record%2FWOS:000844446700001","View Full Record in Web of Science")</f>
        <v>View Full Record in Web of Science</v>
      </c>
    </row>
    <row r="407" spans="1:72" x14ac:dyDescent="0.15">
      <c r="A407" t="s">
        <v>72</v>
      </c>
      <c r="B407" t="s">
        <v>8330</v>
      </c>
      <c r="C407" t="s">
        <v>74</v>
      </c>
      <c r="D407" t="s">
        <v>74</v>
      </c>
      <c r="E407" t="s">
        <v>74</v>
      </c>
      <c r="F407" t="s">
        <v>8331</v>
      </c>
      <c r="G407" t="s">
        <v>74</v>
      </c>
      <c r="H407" t="s">
        <v>74</v>
      </c>
      <c r="I407" t="s">
        <v>8332</v>
      </c>
      <c r="J407" t="s">
        <v>3302</v>
      </c>
      <c r="K407" t="s">
        <v>74</v>
      </c>
      <c r="L407" t="s">
        <v>74</v>
      </c>
      <c r="M407" t="s">
        <v>78</v>
      </c>
      <c r="N407" t="s">
        <v>79</v>
      </c>
      <c r="O407" t="s">
        <v>74</v>
      </c>
      <c r="P407" t="s">
        <v>74</v>
      </c>
      <c r="Q407" t="s">
        <v>74</v>
      </c>
      <c r="R407" t="s">
        <v>74</v>
      </c>
      <c r="S407" t="s">
        <v>74</v>
      </c>
      <c r="T407" t="s">
        <v>8333</v>
      </c>
      <c r="U407" t="s">
        <v>8334</v>
      </c>
      <c r="V407" t="s">
        <v>8335</v>
      </c>
      <c r="W407" t="s">
        <v>8336</v>
      </c>
      <c r="X407" t="s">
        <v>8148</v>
      </c>
      <c r="Y407" t="s">
        <v>8337</v>
      </c>
      <c r="Z407" t="s">
        <v>8338</v>
      </c>
      <c r="AA407" t="s">
        <v>8339</v>
      </c>
      <c r="AB407" t="s">
        <v>8340</v>
      </c>
      <c r="AC407" t="s">
        <v>8341</v>
      </c>
      <c r="AD407" t="s">
        <v>8342</v>
      </c>
      <c r="AE407" t="s">
        <v>8343</v>
      </c>
      <c r="AF407" t="s">
        <v>74</v>
      </c>
      <c r="AG407">
        <v>106</v>
      </c>
      <c r="AH407">
        <v>2</v>
      </c>
      <c r="AI407">
        <v>2</v>
      </c>
      <c r="AJ407">
        <v>2</v>
      </c>
      <c r="AK407">
        <v>2</v>
      </c>
      <c r="AL407" t="s">
        <v>3315</v>
      </c>
      <c r="AM407" t="s">
        <v>3316</v>
      </c>
      <c r="AN407" t="s">
        <v>3317</v>
      </c>
      <c r="AO407" t="s">
        <v>3318</v>
      </c>
      <c r="AP407" t="s">
        <v>3319</v>
      </c>
      <c r="AQ407" t="s">
        <v>74</v>
      </c>
      <c r="AR407" t="s">
        <v>3320</v>
      </c>
      <c r="AS407" t="s">
        <v>3321</v>
      </c>
      <c r="AT407" t="s">
        <v>8232</v>
      </c>
      <c r="AU407">
        <v>2022</v>
      </c>
      <c r="AV407">
        <v>695</v>
      </c>
      <c r="AW407" t="s">
        <v>74</v>
      </c>
      <c r="AX407" t="s">
        <v>74</v>
      </c>
      <c r="AY407" t="s">
        <v>74</v>
      </c>
      <c r="AZ407" t="s">
        <v>74</v>
      </c>
      <c r="BA407" t="s">
        <v>74</v>
      </c>
      <c r="BB407">
        <v>173</v>
      </c>
      <c r="BC407">
        <v>188</v>
      </c>
      <c r="BD407" t="s">
        <v>74</v>
      </c>
      <c r="BE407" t="s">
        <v>8344</v>
      </c>
      <c r="BF407" t="str">
        <f>HYPERLINK("http://dx.doi.org/10.3354/meps14124","http://dx.doi.org/10.3354/meps14124")</f>
        <v>http://dx.doi.org/10.3354/meps14124</v>
      </c>
      <c r="BG407" t="s">
        <v>74</v>
      </c>
      <c r="BH407" t="s">
        <v>74</v>
      </c>
      <c r="BI407">
        <v>16</v>
      </c>
      <c r="BJ407" t="s">
        <v>3324</v>
      </c>
      <c r="BK407" t="s">
        <v>100</v>
      </c>
      <c r="BL407" t="s">
        <v>3325</v>
      </c>
      <c r="BM407" t="s">
        <v>8345</v>
      </c>
      <c r="BN407" t="s">
        <v>74</v>
      </c>
      <c r="BO407" t="s">
        <v>74</v>
      </c>
      <c r="BP407" t="s">
        <v>74</v>
      </c>
      <c r="BQ407" t="s">
        <v>74</v>
      </c>
      <c r="BR407" t="s">
        <v>103</v>
      </c>
      <c r="BS407" t="s">
        <v>8346</v>
      </c>
      <c r="BT407" t="str">
        <f>HYPERLINK("https%3A%2F%2Fwww.webofscience.com%2Fwos%2Fwoscc%2Ffull-record%2FWOS:001042250200012","View Full Record in Web of Science")</f>
        <v>View Full Record in Web of Science</v>
      </c>
    </row>
    <row r="408" spans="1:72" x14ac:dyDescent="0.15">
      <c r="A408" t="s">
        <v>72</v>
      </c>
      <c r="B408" t="s">
        <v>8347</v>
      </c>
      <c r="C408" t="s">
        <v>74</v>
      </c>
      <c r="D408" t="s">
        <v>74</v>
      </c>
      <c r="E408" t="s">
        <v>74</v>
      </c>
      <c r="F408" t="s">
        <v>8348</v>
      </c>
      <c r="G408" t="s">
        <v>74</v>
      </c>
      <c r="H408" t="s">
        <v>74</v>
      </c>
      <c r="I408" t="s">
        <v>8349</v>
      </c>
      <c r="J408" t="s">
        <v>3302</v>
      </c>
      <c r="K408" t="s">
        <v>74</v>
      </c>
      <c r="L408" t="s">
        <v>74</v>
      </c>
      <c r="M408" t="s">
        <v>78</v>
      </c>
      <c r="N408" t="s">
        <v>79</v>
      </c>
      <c r="O408" t="s">
        <v>74</v>
      </c>
      <c r="P408" t="s">
        <v>74</v>
      </c>
      <c r="Q408" t="s">
        <v>74</v>
      </c>
      <c r="R408" t="s">
        <v>74</v>
      </c>
      <c r="S408" t="s">
        <v>74</v>
      </c>
      <c r="T408" t="s">
        <v>8350</v>
      </c>
      <c r="U408" t="s">
        <v>8351</v>
      </c>
      <c r="V408" t="s">
        <v>8352</v>
      </c>
      <c r="W408" t="s">
        <v>8353</v>
      </c>
      <c r="X408" t="s">
        <v>8354</v>
      </c>
      <c r="Y408" t="s">
        <v>8355</v>
      </c>
      <c r="Z408" t="s">
        <v>8356</v>
      </c>
      <c r="AA408" t="s">
        <v>8357</v>
      </c>
      <c r="AB408" t="s">
        <v>8358</v>
      </c>
      <c r="AC408" t="s">
        <v>8359</v>
      </c>
      <c r="AD408" t="s">
        <v>8360</v>
      </c>
      <c r="AE408" t="s">
        <v>8361</v>
      </c>
      <c r="AF408" t="s">
        <v>74</v>
      </c>
      <c r="AG408">
        <v>85</v>
      </c>
      <c r="AH408">
        <v>0</v>
      </c>
      <c r="AI408">
        <v>0</v>
      </c>
      <c r="AJ408">
        <v>0</v>
      </c>
      <c r="AK408">
        <v>0</v>
      </c>
      <c r="AL408" t="s">
        <v>3315</v>
      </c>
      <c r="AM408" t="s">
        <v>3316</v>
      </c>
      <c r="AN408" t="s">
        <v>3317</v>
      </c>
      <c r="AO408" t="s">
        <v>3318</v>
      </c>
      <c r="AP408" t="s">
        <v>3319</v>
      </c>
      <c r="AQ408" t="s">
        <v>74</v>
      </c>
      <c r="AR408" t="s">
        <v>3320</v>
      </c>
      <c r="AS408" t="s">
        <v>3321</v>
      </c>
      <c r="AT408" t="s">
        <v>8232</v>
      </c>
      <c r="AU408">
        <v>2022</v>
      </c>
      <c r="AV408">
        <v>695</v>
      </c>
      <c r="AW408" t="s">
        <v>74</v>
      </c>
      <c r="AX408" t="s">
        <v>74</v>
      </c>
      <c r="AY408" t="s">
        <v>74</v>
      </c>
      <c r="AZ408" t="s">
        <v>74</v>
      </c>
      <c r="BA408" t="s">
        <v>74</v>
      </c>
      <c r="BB408">
        <v>203</v>
      </c>
      <c r="BC408">
        <v>216</v>
      </c>
      <c r="BD408" t="s">
        <v>74</v>
      </c>
      <c r="BE408" t="s">
        <v>8362</v>
      </c>
      <c r="BF408" t="str">
        <f>HYPERLINK("http://dx.doi.org/10.3354/meps14112","http://dx.doi.org/10.3354/meps14112")</f>
        <v>http://dx.doi.org/10.3354/meps14112</v>
      </c>
      <c r="BG408" t="s">
        <v>74</v>
      </c>
      <c r="BH408" t="s">
        <v>74</v>
      </c>
      <c r="BI408">
        <v>14</v>
      </c>
      <c r="BJ408" t="s">
        <v>3324</v>
      </c>
      <c r="BK408" t="s">
        <v>100</v>
      </c>
      <c r="BL408" t="s">
        <v>3325</v>
      </c>
      <c r="BM408" t="s">
        <v>8345</v>
      </c>
      <c r="BN408" t="s">
        <v>74</v>
      </c>
      <c r="BO408" t="s">
        <v>74</v>
      </c>
      <c r="BP408" t="s">
        <v>74</v>
      </c>
      <c r="BQ408" t="s">
        <v>74</v>
      </c>
      <c r="BR408" t="s">
        <v>103</v>
      </c>
      <c r="BS408" t="s">
        <v>8363</v>
      </c>
      <c r="BT408" t="str">
        <f>HYPERLINK("https%3A%2F%2Fwww.webofscience.com%2Fwos%2Fwoscc%2Ffull-record%2FWOS:001042250200014","View Full Record in Web of Science")</f>
        <v>View Full Record in Web of Science</v>
      </c>
    </row>
    <row r="409" spans="1:72" x14ac:dyDescent="0.15">
      <c r="A409" t="s">
        <v>72</v>
      </c>
      <c r="B409" t="s">
        <v>8364</v>
      </c>
      <c r="C409" t="s">
        <v>74</v>
      </c>
      <c r="D409" t="s">
        <v>74</v>
      </c>
      <c r="E409" t="s">
        <v>74</v>
      </c>
      <c r="F409" t="s">
        <v>8365</v>
      </c>
      <c r="G409" t="s">
        <v>74</v>
      </c>
      <c r="H409" t="s">
        <v>74</v>
      </c>
      <c r="I409" t="s">
        <v>8366</v>
      </c>
      <c r="J409" t="s">
        <v>4169</v>
      </c>
      <c r="K409" t="s">
        <v>74</v>
      </c>
      <c r="L409" t="s">
        <v>74</v>
      </c>
      <c r="M409" t="s">
        <v>78</v>
      </c>
      <c r="N409" t="s">
        <v>79</v>
      </c>
      <c r="O409" t="s">
        <v>74</v>
      </c>
      <c r="P409" t="s">
        <v>74</v>
      </c>
      <c r="Q409" t="s">
        <v>74</v>
      </c>
      <c r="R409" t="s">
        <v>74</v>
      </c>
      <c r="S409" t="s">
        <v>74</v>
      </c>
      <c r="T409" t="s">
        <v>74</v>
      </c>
      <c r="U409" t="s">
        <v>8367</v>
      </c>
      <c r="V409" t="s">
        <v>8368</v>
      </c>
      <c r="W409" t="s">
        <v>8369</v>
      </c>
      <c r="X409" t="s">
        <v>8370</v>
      </c>
      <c r="Y409" t="s">
        <v>8371</v>
      </c>
      <c r="Z409" t="s">
        <v>8372</v>
      </c>
      <c r="AA409" t="s">
        <v>8373</v>
      </c>
      <c r="AB409" t="s">
        <v>8374</v>
      </c>
      <c r="AC409" t="s">
        <v>8375</v>
      </c>
      <c r="AD409" t="s">
        <v>8376</v>
      </c>
      <c r="AE409" t="s">
        <v>8377</v>
      </c>
      <c r="AF409" t="s">
        <v>74</v>
      </c>
      <c r="AG409">
        <v>37</v>
      </c>
      <c r="AH409">
        <v>5</v>
      </c>
      <c r="AI409">
        <v>5</v>
      </c>
      <c r="AJ409">
        <v>1</v>
      </c>
      <c r="AK409">
        <v>9</v>
      </c>
      <c r="AL409" t="s">
        <v>421</v>
      </c>
      <c r="AM409" t="s">
        <v>422</v>
      </c>
      <c r="AN409" t="s">
        <v>423</v>
      </c>
      <c r="AO409" t="s">
        <v>4178</v>
      </c>
      <c r="AP409" t="s">
        <v>74</v>
      </c>
      <c r="AQ409" t="s">
        <v>74</v>
      </c>
      <c r="AR409" t="s">
        <v>4169</v>
      </c>
      <c r="AS409" t="s">
        <v>4179</v>
      </c>
      <c r="AT409" t="s">
        <v>8378</v>
      </c>
      <c r="AU409">
        <v>2022</v>
      </c>
      <c r="AV409">
        <v>17</v>
      </c>
      <c r="AW409">
        <v>8</v>
      </c>
      <c r="AX409" t="s">
        <v>74</v>
      </c>
      <c r="AY409" t="s">
        <v>74</v>
      </c>
      <c r="AZ409" t="s">
        <v>74</v>
      </c>
      <c r="BA409" t="s">
        <v>74</v>
      </c>
      <c r="BB409" t="s">
        <v>74</v>
      </c>
      <c r="BC409" t="s">
        <v>74</v>
      </c>
      <c r="BD409" t="s">
        <v>8379</v>
      </c>
      <c r="BE409" t="s">
        <v>8380</v>
      </c>
      <c r="BF409" t="str">
        <f>HYPERLINK("http://dx.doi.org/10.1371/journal.pone.0271078","http://dx.doi.org/10.1371/journal.pone.0271078")</f>
        <v>http://dx.doi.org/10.1371/journal.pone.0271078</v>
      </c>
      <c r="BG409" t="s">
        <v>74</v>
      </c>
      <c r="BH409" t="s">
        <v>74</v>
      </c>
      <c r="BI409">
        <v>19</v>
      </c>
      <c r="BJ409" t="s">
        <v>156</v>
      </c>
      <c r="BK409" t="s">
        <v>100</v>
      </c>
      <c r="BL409" t="s">
        <v>157</v>
      </c>
      <c r="BM409" t="s">
        <v>8381</v>
      </c>
      <c r="BN409">
        <v>36001623</v>
      </c>
      <c r="BO409" t="s">
        <v>159</v>
      </c>
      <c r="BP409" t="s">
        <v>74</v>
      </c>
      <c r="BQ409" t="s">
        <v>74</v>
      </c>
      <c r="BR409" t="s">
        <v>103</v>
      </c>
      <c r="BS409" t="s">
        <v>8382</v>
      </c>
      <c r="BT409" t="str">
        <f>HYPERLINK("https%3A%2F%2Fwww.webofscience.com%2Fwos%2Fwoscc%2Ffull-record%2FWOS:000853083500016","View Full Record in Web of Science")</f>
        <v>View Full Record in Web of Science</v>
      </c>
    </row>
    <row r="410" spans="1:72" x14ac:dyDescent="0.15">
      <c r="A410" t="s">
        <v>72</v>
      </c>
      <c r="B410" t="s">
        <v>8383</v>
      </c>
      <c r="C410" t="s">
        <v>74</v>
      </c>
      <c r="D410" t="s">
        <v>74</v>
      </c>
      <c r="E410" t="s">
        <v>74</v>
      </c>
      <c r="F410" t="s">
        <v>8384</v>
      </c>
      <c r="G410" t="s">
        <v>74</v>
      </c>
      <c r="H410" t="s">
        <v>74</v>
      </c>
      <c r="I410" t="s">
        <v>8385</v>
      </c>
      <c r="J410" t="s">
        <v>3747</v>
      </c>
      <c r="K410" t="s">
        <v>74</v>
      </c>
      <c r="L410" t="s">
        <v>74</v>
      </c>
      <c r="M410" t="s">
        <v>78</v>
      </c>
      <c r="N410" t="s">
        <v>165</v>
      </c>
      <c r="O410" t="s">
        <v>74</v>
      </c>
      <c r="P410" t="s">
        <v>74</v>
      </c>
      <c r="Q410" t="s">
        <v>74</v>
      </c>
      <c r="R410" t="s">
        <v>74</v>
      </c>
      <c r="S410" t="s">
        <v>74</v>
      </c>
      <c r="T410" t="s">
        <v>8386</v>
      </c>
      <c r="U410" t="s">
        <v>8387</v>
      </c>
      <c r="V410" t="s">
        <v>8388</v>
      </c>
      <c r="W410" t="s">
        <v>8389</v>
      </c>
      <c r="X410" t="s">
        <v>8390</v>
      </c>
      <c r="Y410" t="s">
        <v>8391</v>
      </c>
      <c r="Z410" t="s">
        <v>8392</v>
      </c>
      <c r="AA410" t="s">
        <v>8393</v>
      </c>
      <c r="AB410" t="s">
        <v>8394</v>
      </c>
      <c r="AC410" t="s">
        <v>8395</v>
      </c>
      <c r="AD410" t="s">
        <v>8396</v>
      </c>
      <c r="AE410" t="s">
        <v>8397</v>
      </c>
      <c r="AF410" t="s">
        <v>74</v>
      </c>
      <c r="AG410">
        <v>158</v>
      </c>
      <c r="AH410">
        <v>6</v>
      </c>
      <c r="AI410">
        <v>6</v>
      </c>
      <c r="AJ410">
        <v>8</v>
      </c>
      <c r="AK410">
        <v>80</v>
      </c>
      <c r="AL410" t="s">
        <v>501</v>
      </c>
      <c r="AM410" t="s">
        <v>502</v>
      </c>
      <c r="AN410" t="s">
        <v>503</v>
      </c>
      <c r="AO410" t="s">
        <v>3759</v>
      </c>
      <c r="AP410" t="s">
        <v>3760</v>
      </c>
      <c r="AQ410" t="s">
        <v>74</v>
      </c>
      <c r="AR410" t="s">
        <v>3761</v>
      </c>
      <c r="AS410" t="s">
        <v>3762</v>
      </c>
      <c r="AT410" t="s">
        <v>5781</v>
      </c>
      <c r="AU410">
        <v>2022</v>
      </c>
      <c r="AV410">
        <v>851</v>
      </c>
      <c r="AW410" t="s">
        <v>74</v>
      </c>
      <c r="AX410">
        <v>1</v>
      </c>
      <c r="AY410" t="s">
        <v>74</v>
      </c>
      <c r="AZ410" t="s">
        <v>74</v>
      </c>
      <c r="BA410" t="s">
        <v>74</v>
      </c>
      <c r="BB410" t="s">
        <v>74</v>
      </c>
      <c r="BC410" t="s">
        <v>74</v>
      </c>
      <c r="BD410">
        <v>158116</v>
      </c>
      <c r="BE410" t="s">
        <v>8398</v>
      </c>
      <c r="BF410" t="str">
        <f>HYPERLINK("http://dx.doi.org/10.1016/j.scitotenv.2022.158116","http://dx.doi.org/10.1016/j.scitotenv.2022.158116")</f>
        <v>http://dx.doi.org/10.1016/j.scitotenv.2022.158116</v>
      </c>
      <c r="BG410" t="s">
        <v>74</v>
      </c>
      <c r="BH410" t="s">
        <v>7628</v>
      </c>
      <c r="BI410">
        <v>14</v>
      </c>
      <c r="BJ410" t="s">
        <v>2040</v>
      </c>
      <c r="BK410" t="s">
        <v>100</v>
      </c>
      <c r="BL410" t="s">
        <v>2041</v>
      </c>
      <c r="BM410" t="s">
        <v>8399</v>
      </c>
      <c r="BN410">
        <v>35988631</v>
      </c>
      <c r="BO410" t="s">
        <v>74</v>
      </c>
      <c r="BP410" t="s">
        <v>74</v>
      </c>
      <c r="BQ410" t="s">
        <v>74</v>
      </c>
      <c r="BR410" t="s">
        <v>103</v>
      </c>
      <c r="BS410" t="s">
        <v>8400</v>
      </c>
      <c r="BT410" t="str">
        <f>HYPERLINK("https%3A%2F%2Fwww.webofscience.com%2Fwos%2Fwoscc%2Ffull-record%2FWOS:000861085200012","View Full Record in Web of Science")</f>
        <v>View Full Record in Web of Science</v>
      </c>
    </row>
    <row r="411" spans="1:72" x14ac:dyDescent="0.15">
      <c r="A411" t="s">
        <v>72</v>
      </c>
      <c r="B411" t="s">
        <v>8401</v>
      </c>
      <c r="C411" t="s">
        <v>74</v>
      </c>
      <c r="D411" t="s">
        <v>74</v>
      </c>
      <c r="E411" t="s">
        <v>74</v>
      </c>
      <c r="F411" t="s">
        <v>8402</v>
      </c>
      <c r="G411" t="s">
        <v>74</v>
      </c>
      <c r="H411" t="s">
        <v>74</v>
      </c>
      <c r="I411" t="s">
        <v>8403</v>
      </c>
      <c r="J411" t="s">
        <v>8404</v>
      </c>
      <c r="K411" t="s">
        <v>74</v>
      </c>
      <c r="L411" t="s">
        <v>74</v>
      </c>
      <c r="M411" t="s">
        <v>78</v>
      </c>
      <c r="N411" t="s">
        <v>79</v>
      </c>
      <c r="O411" t="s">
        <v>74</v>
      </c>
      <c r="P411" t="s">
        <v>74</v>
      </c>
      <c r="Q411" t="s">
        <v>74</v>
      </c>
      <c r="R411" t="s">
        <v>74</v>
      </c>
      <c r="S411" t="s">
        <v>74</v>
      </c>
      <c r="T411" t="s">
        <v>8405</v>
      </c>
      <c r="U411" t="s">
        <v>8406</v>
      </c>
      <c r="V411" t="s">
        <v>8407</v>
      </c>
      <c r="W411" t="s">
        <v>8408</v>
      </c>
      <c r="X411" t="s">
        <v>8409</v>
      </c>
      <c r="Y411" t="s">
        <v>8410</v>
      </c>
      <c r="Z411" t="s">
        <v>8411</v>
      </c>
      <c r="AA411" t="s">
        <v>8412</v>
      </c>
      <c r="AB411" t="s">
        <v>8413</v>
      </c>
      <c r="AC411" t="s">
        <v>74</v>
      </c>
      <c r="AD411" t="s">
        <v>74</v>
      </c>
      <c r="AE411" t="s">
        <v>74</v>
      </c>
      <c r="AF411" t="s">
        <v>74</v>
      </c>
      <c r="AG411">
        <v>53</v>
      </c>
      <c r="AH411">
        <v>0</v>
      </c>
      <c r="AI411">
        <v>0</v>
      </c>
      <c r="AJ411">
        <v>4</v>
      </c>
      <c r="AK411">
        <v>22</v>
      </c>
      <c r="AL411" t="s">
        <v>5619</v>
      </c>
      <c r="AM411" t="s">
        <v>550</v>
      </c>
      <c r="AN411" t="s">
        <v>5620</v>
      </c>
      <c r="AO411" t="s">
        <v>8414</v>
      </c>
      <c r="AP411" t="s">
        <v>8415</v>
      </c>
      <c r="AQ411" t="s">
        <v>74</v>
      </c>
      <c r="AR411" t="s">
        <v>8404</v>
      </c>
      <c r="AS411" t="s">
        <v>8416</v>
      </c>
      <c r="AT411" t="s">
        <v>428</v>
      </c>
      <c r="AU411">
        <v>2022</v>
      </c>
      <c r="AV411">
        <v>32</v>
      </c>
      <c r="AW411">
        <v>5</v>
      </c>
      <c r="AX411" t="s">
        <v>74</v>
      </c>
      <c r="AY411" t="s">
        <v>74</v>
      </c>
      <c r="AZ411" t="s">
        <v>74</v>
      </c>
      <c r="BA411" t="s">
        <v>74</v>
      </c>
      <c r="BB411">
        <v>698</v>
      </c>
      <c r="BC411">
        <v>706</v>
      </c>
      <c r="BD411" t="s">
        <v>74</v>
      </c>
      <c r="BE411" t="s">
        <v>8417</v>
      </c>
      <c r="BF411" t="str">
        <f>HYPERLINK("http://dx.doi.org/10.1016/j.pedsph.2022.06.001","http://dx.doi.org/10.1016/j.pedsph.2022.06.001")</f>
        <v>http://dx.doi.org/10.1016/j.pedsph.2022.06.001</v>
      </c>
      <c r="BG411" t="s">
        <v>74</v>
      </c>
      <c r="BH411" t="s">
        <v>7628</v>
      </c>
      <c r="BI411">
        <v>9</v>
      </c>
      <c r="BJ411" t="s">
        <v>3003</v>
      </c>
      <c r="BK411" t="s">
        <v>100</v>
      </c>
      <c r="BL411" t="s">
        <v>3004</v>
      </c>
      <c r="BM411" t="s">
        <v>8418</v>
      </c>
      <c r="BN411" t="s">
        <v>74</v>
      </c>
      <c r="BO411" t="s">
        <v>74</v>
      </c>
      <c r="BP411" t="s">
        <v>74</v>
      </c>
      <c r="BQ411" t="s">
        <v>74</v>
      </c>
      <c r="BR411" t="s">
        <v>103</v>
      </c>
      <c r="BS411" t="s">
        <v>8419</v>
      </c>
      <c r="BT411" t="str">
        <f>HYPERLINK("https%3A%2F%2Fwww.webofscience.com%2Fwos%2Fwoscc%2Ffull-record%2FWOS:000855123900004","View Full Record in Web of Science")</f>
        <v>View Full Record in Web of Science</v>
      </c>
    </row>
    <row r="412" spans="1:72" x14ac:dyDescent="0.15">
      <c r="A412" t="s">
        <v>72</v>
      </c>
      <c r="B412" t="s">
        <v>8420</v>
      </c>
      <c r="C412" t="s">
        <v>74</v>
      </c>
      <c r="D412" t="s">
        <v>74</v>
      </c>
      <c r="E412" t="s">
        <v>74</v>
      </c>
      <c r="F412" t="s">
        <v>8421</v>
      </c>
      <c r="G412" t="s">
        <v>74</v>
      </c>
      <c r="H412" t="s">
        <v>74</v>
      </c>
      <c r="I412" t="s">
        <v>8422</v>
      </c>
      <c r="J412" t="s">
        <v>3171</v>
      </c>
      <c r="K412" t="s">
        <v>74</v>
      </c>
      <c r="L412" t="s">
        <v>74</v>
      </c>
      <c r="M412" t="s">
        <v>78</v>
      </c>
      <c r="N412" t="s">
        <v>79</v>
      </c>
      <c r="O412" t="s">
        <v>74</v>
      </c>
      <c r="P412" t="s">
        <v>74</v>
      </c>
      <c r="Q412" t="s">
        <v>74</v>
      </c>
      <c r="R412" t="s">
        <v>74</v>
      </c>
      <c r="S412" t="s">
        <v>74</v>
      </c>
      <c r="T412" t="s">
        <v>8423</v>
      </c>
      <c r="U412" t="s">
        <v>8424</v>
      </c>
      <c r="V412" t="s">
        <v>8425</v>
      </c>
      <c r="W412" t="s">
        <v>8426</v>
      </c>
      <c r="X412" t="s">
        <v>8427</v>
      </c>
      <c r="Y412" t="s">
        <v>8428</v>
      </c>
      <c r="Z412" t="s">
        <v>8429</v>
      </c>
      <c r="AA412" t="s">
        <v>8430</v>
      </c>
      <c r="AB412" t="s">
        <v>8431</v>
      </c>
      <c r="AC412" t="s">
        <v>8432</v>
      </c>
      <c r="AD412" t="s">
        <v>8433</v>
      </c>
      <c r="AE412" t="s">
        <v>8434</v>
      </c>
      <c r="AF412" t="s">
        <v>74</v>
      </c>
      <c r="AG412">
        <v>101</v>
      </c>
      <c r="AH412">
        <v>3</v>
      </c>
      <c r="AI412">
        <v>3</v>
      </c>
      <c r="AJ412">
        <v>4</v>
      </c>
      <c r="AK412">
        <v>18</v>
      </c>
      <c r="AL412" t="s">
        <v>121</v>
      </c>
      <c r="AM412" t="s">
        <v>122</v>
      </c>
      <c r="AN412" t="s">
        <v>123</v>
      </c>
      <c r="AO412" t="s">
        <v>74</v>
      </c>
      <c r="AP412" t="s">
        <v>3183</v>
      </c>
      <c r="AQ412" t="s">
        <v>74</v>
      </c>
      <c r="AR412" t="s">
        <v>3184</v>
      </c>
      <c r="AS412" t="s">
        <v>3185</v>
      </c>
      <c r="AT412" t="s">
        <v>8378</v>
      </c>
      <c r="AU412">
        <v>2022</v>
      </c>
      <c r="AV412">
        <v>13</v>
      </c>
      <c r="AW412" t="s">
        <v>74</v>
      </c>
      <c r="AX412" t="s">
        <v>74</v>
      </c>
      <c r="AY412" t="s">
        <v>74</v>
      </c>
      <c r="AZ412" t="s">
        <v>74</v>
      </c>
      <c r="BA412" t="s">
        <v>74</v>
      </c>
      <c r="BB412" t="s">
        <v>74</v>
      </c>
      <c r="BC412" t="s">
        <v>74</v>
      </c>
      <c r="BD412">
        <v>960324</v>
      </c>
      <c r="BE412" t="s">
        <v>8435</v>
      </c>
      <c r="BF412" t="str">
        <f>HYPERLINK("http://dx.doi.org/10.3389/fmicb.2022.960324","http://dx.doi.org/10.3389/fmicb.2022.960324")</f>
        <v>http://dx.doi.org/10.3389/fmicb.2022.960324</v>
      </c>
      <c r="BG412" t="s">
        <v>74</v>
      </c>
      <c r="BH412" t="s">
        <v>74</v>
      </c>
      <c r="BI412">
        <v>19</v>
      </c>
      <c r="BJ412" t="s">
        <v>214</v>
      </c>
      <c r="BK412" t="s">
        <v>100</v>
      </c>
      <c r="BL412" t="s">
        <v>214</v>
      </c>
      <c r="BM412" t="s">
        <v>8436</v>
      </c>
      <c r="BN412">
        <v>36090071</v>
      </c>
      <c r="BO412" t="s">
        <v>159</v>
      </c>
      <c r="BP412" t="s">
        <v>74</v>
      </c>
      <c r="BQ412" t="s">
        <v>74</v>
      </c>
      <c r="BR412" t="s">
        <v>103</v>
      </c>
      <c r="BS412" t="s">
        <v>8437</v>
      </c>
      <c r="BT412" t="str">
        <f>HYPERLINK("https%3A%2F%2Fwww.webofscience.com%2Fwos%2Fwoscc%2Ffull-record%2FWOS:000850730600001","View Full Record in Web of Science")</f>
        <v>View Full Record in Web of Science</v>
      </c>
    </row>
    <row r="413" spans="1:72" x14ac:dyDescent="0.15">
      <c r="A413" t="s">
        <v>72</v>
      </c>
      <c r="B413" t="s">
        <v>8438</v>
      </c>
      <c r="C413" t="s">
        <v>74</v>
      </c>
      <c r="D413" t="s">
        <v>74</v>
      </c>
      <c r="E413" t="s">
        <v>74</v>
      </c>
      <c r="F413" t="s">
        <v>8439</v>
      </c>
      <c r="G413" t="s">
        <v>74</v>
      </c>
      <c r="H413" t="s">
        <v>74</v>
      </c>
      <c r="I413" t="s">
        <v>8440</v>
      </c>
      <c r="J413" t="s">
        <v>108</v>
      </c>
      <c r="K413" t="s">
        <v>74</v>
      </c>
      <c r="L413" t="s">
        <v>74</v>
      </c>
      <c r="M413" t="s">
        <v>78</v>
      </c>
      <c r="N413" t="s">
        <v>79</v>
      </c>
      <c r="O413" t="s">
        <v>74</v>
      </c>
      <c r="P413" t="s">
        <v>74</v>
      </c>
      <c r="Q413" t="s">
        <v>74</v>
      </c>
      <c r="R413" t="s">
        <v>74</v>
      </c>
      <c r="S413" t="s">
        <v>74</v>
      </c>
      <c r="T413" t="s">
        <v>8441</v>
      </c>
      <c r="U413" t="s">
        <v>8442</v>
      </c>
      <c r="V413" t="s">
        <v>8443</v>
      </c>
      <c r="W413" t="s">
        <v>8444</v>
      </c>
      <c r="X413" t="s">
        <v>8445</v>
      </c>
      <c r="Y413" t="s">
        <v>8446</v>
      </c>
      <c r="Z413" t="s">
        <v>8447</v>
      </c>
      <c r="AA413" t="s">
        <v>74</v>
      </c>
      <c r="AB413" t="s">
        <v>8448</v>
      </c>
      <c r="AC413" t="s">
        <v>8449</v>
      </c>
      <c r="AD413" t="s">
        <v>8450</v>
      </c>
      <c r="AE413" t="s">
        <v>8451</v>
      </c>
      <c r="AF413" t="s">
        <v>74</v>
      </c>
      <c r="AG413">
        <v>109</v>
      </c>
      <c r="AH413">
        <v>1</v>
      </c>
      <c r="AI413">
        <v>1</v>
      </c>
      <c r="AJ413">
        <v>4</v>
      </c>
      <c r="AK413">
        <v>7</v>
      </c>
      <c r="AL413" t="s">
        <v>121</v>
      </c>
      <c r="AM413" t="s">
        <v>122</v>
      </c>
      <c r="AN413" t="s">
        <v>123</v>
      </c>
      <c r="AO413" t="s">
        <v>74</v>
      </c>
      <c r="AP413" t="s">
        <v>124</v>
      </c>
      <c r="AQ413" t="s">
        <v>74</v>
      </c>
      <c r="AR413" t="s">
        <v>125</v>
      </c>
      <c r="AS413" t="s">
        <v>126</v>
      </c>
      <c r="AT413" t="s">
        <v>8378</v>
      </c>
      <c r="AU413">
        <v>2022</v>
      </c>
      <c r="AV413">
        <v>10</v>
      </c>
      <c r="AW413" t="s">
        <v>74</v>
      </c>
      <c r="AX413" t="s">
        <v>74</v>
      </c>
      <c r="AY413" t="s">
        <v>74</v>
      </c>
      <c r="AZ413" t="s">
        <v>74</v>
      </c>
      <c r="BA413" t="s">
        <v>74</v>
      </c>
      <c r="BB413" t="s">
        <v>74</v>
      </c>
      <c r="BC413" t="s">
        <v>74</v>
      </c>
      <c r="BD413">
        <v>796877</v>
      </c>
      <c r="BE413" t="s">
        <v>8452</v>
      </c>
      <c r="BF413" t="str">
        <f>HYPERLINK("http://dx.doi.org/10.3389/feart.2022.796877","http://dx.doi.org/10.3389/feart.2022.796877")</f>
        <v>http://dx.doi.org/10.3389/feart.2022.796877</v>
      </c>
      <c r="BG413" t="s">
        <v>74</v>
      </c>
      <c r="BH413" t="s">
        <v>74</v>
      </c>
      <c r="BI413">
        <v>22</v>
      </c>
      <c r="BJ413" t="s">
        <v>129</v>
      </c>
      <c r="BK413" t="s">
        <v>100</v>
      </c>
      <c r="BL413" t="s">
        <v>130</v>
      </c>
      <c r="BM413" t="s">
        <v>8453</v>
      </c>
      <c r="BN413" t="s">
        <v>74</v>
      </c>
      <c r="BO413" t="s">
        <v>74</v>
      </c>
      <c r="BP413" t="s">
        <v>74</v>
      </c>
      <c r="BQ413" t="s">
        <v>74</v>
      </c>
      <c r="BR413" t="s">
        <v>103</v>
      </c>
      <c r="BS413" t="s">
        <v>8454</v>
      </c>
      <c r="BT413" t="str">
        <f>HYPERLINK("https%3A%2F%2Fwww.webofscience.com%2Fwos%2Fwoscc%2Ffull-record%2FWOS:000850749600001","View Full Record in Web of Science")</f>
        <v>View Full Record in Web of Science</v>
      </c>
    </row>
    <row r="414" spans="1:72" x14ac:dyDescent="0.15">
      <c r="A414" t="s">
        <v>72</v>
      </c>
      <c r="B414" t="s">
        <v>8455</v>
      </c>
      <c r="C414" t="s">
        <v>74</v>
      </c>
      <c r="D414" t="s">
        <v>74</v>
      </c>
      <c r="E414" t="s">
        <v>74</v>
      </c>
      <c r="F414" t="s">
        <v>8456</v>
      </c>
      <c r="G414" t="s">
        <v>74</v>
      </c>
      <c r="H414" t="s">
        <v>74</v>
      </c>
      <c r="I414" t="s">
        <v>8457</v>
      </c>
      <c r="J414" t="s">
        <v>3441</v>
      </c>
      <c r="K414" t="s">
        <v>74</v>
      </c>
      <c r="L414" t="s">
        <v>74</v>
      </c>
      <c r="M414" t="s">
        <v>78</v>
      </c>
      <c r="N414" t="s">
        <v>165</v>
      </c>
      <c r="O414" t="s">
        <v>74</v>
      </c>
      <c r="P414" t="s">
        <v>74</v>
      </c>
      <c r="Q414" t="s">
        <v>74</v>
      </c>
      <c r="R414" t="s">
        <v>74</v>
      </c>
      <c r="S414" t="s">
        <v>74</v>
      </c>
      <c r="T414" t="s">
        <v>74</v>
      </c>
      <c r="U414" t="s">
        <v>8458</v>
      </c>
      <c r="V414" t="s">
        <v>8459</v>
      </c>
      <c r="W414" t="s">
        <v>8460</v>
      </c>
      <c r="X414" t="s">
        <v>8461</v>
      </c>
      <c r="Y414" t="s">
        <v>8462</v>
      </c>
      <c r="Z414" t="s">
        <v>8463</v>
      </c>
      <c r="AA414" t="s">
        <v>8464</v>
      </c>
      <c r="AB414" t="s">
        <v>8465</v>
      </c>
      <c r="AC414" t="s">
        <v>74</v>
      </c>
      <c r="AD414" t="s">
        <v>74</v>
      </c>
      <c r="AE414" t="s">
        <v>74</v>
      </c>
      <c r="AF414" t="s">
        <v>74</v>
      </c>
      <c r="AG414">
        <v>103</v>
      </c>
      <c r="AH414">
        <v>7</v>
      </c>
      <c r="AI414">
        <v>7</v>
      </c>
      <c r="AJ414">
        <v>15</v>
      </c>
      <c r="AK414">
        <v>57</v>
      </c>
      <c r="AL414" t="s">
        <v>3450</v>
      </c>
      <c r="AM414" t="s">
        <v>346</v>
      </c>
      <c r="AN414" t="s">
        <v>3451</v>
      </c>
      <c r="AO414" t="s">
        <v>3452</v>
      </c>
      <c r="AP414" t="s">
        <v>3453</v>
      </c>
      <c r="AQ414" t="s">
        <v>74</v>
      </c>
      <c r="AR414" t="s">
        <v>3454</v>
      </c>
      <c r="AS414" t="s">
        <v>3455</v>
      </c>
      <c r="AT414" t="s">
        <v>3456</v>
      </c>
      <c r="AU414">
        <v>2022</v>
      </c>
      <c r="AV414">
        <v>24</v>
      </c>
      <c r="AW414">
        <v>10</v>
      </c>
      <c r="AX414" t="s">
        <v>74</v>
      </c>
      <c r="AY414" t="s">
        <v>74</v>
      </c>
      <c r="AZ414" t="s">
        <v>74</v>
      </c>
      <c r="BA414" t="s">
        <v>74</v>
      </c>
      <c r="BB414">
        <v>1631</v>
      </c>
      <c r="BC414">
        <v>1642</v>
      </c>
      <c r="BD414" t="s">
        <v>74</v>
      </c>
      <c r="BE414" t="s">
        <v>8466</v>
      </c>
      <c r="BF414" t="str">
        <f>HYPERLINK("http://dx.doi.org/10.1039/d2em00273f","http://dx.doi.org/10.1039/d2em00273f")</f>
        <v>http://dx.doi.org/10.1039/d2em00273f</v>
      </c>
      <c r="BG414" t="s">
        <v>74</v>
      </c>
      <c r="BH414" t="s">
        <v>7628</v>
      </c>
      <c r="BI414">
        <v>12</v>
      </c>
      <c r="BJ414" t="s">
        <v>3458</v>
      </c>
      <c r="BK414" t="s">
        <v>100</v>
      </c>
      <c r="BL414" t="s">
        <v>3459</v>
      </c>
      <c r="BM414" t="s">
        <v>8467</v>
      </c>
      <c r="BN414">
        <v>36043527</v>
      </c>
      <c r="BO414" t="s">
        <v>1341</v>
      </c>
      <c r="BP414" t="s">
        <v>74</v>
      </c>
      <c r="BQ414" t="s">
        <v>74</v>
      </c>
      <c r="BR414" t="s">
        <v>103</v>
      </c>
      <c r="BS414" t="s">
        <v>8468</v>
      </c>
      <c r="BT414" t="str">
        <f>HYPERLINK("https%3A%2F%2Fwww.webofscience.com%2Fwos%2Fwoscc%2Ffull-record%2FWOS:000847731000001","View Full Record in Web of Science")</f>
        <v>View Full Record in Web of Science</v>
      </c>
    </row>
    <row r="415" spans="1:72" x14ac:dyDescent="0.15">
      <c r="A415" t="s">
        <v>72</v>
      </c>
      <c r="B415" t="s">
        <v>8469</v>
      </c>
      <c r="C415" t="s">
        <v>74</v>
      </c>
      <c r="D415" t="s">
        <v>74</v>
      </c>
      <c r="E415" t="s">
        <v>74</v>
      </c>
      <c r="F415" t="s">
        <v>8470</v>
      </c>
      <c r="G415" t="s">
        <v>74</v>
      </c>
      <c r="H415" t="s">
        <v>74</v>
      </c>
      <c r="I415" t="s">
        <v>8471</v>
      </c>
      <c r="J415" t="s">
        <v>8472</v>
      </c>
      <c r="K415" t="s">
        <v>74</v>
      </c>
      <c r="L415" t="s">
        <v>74</v>
      </c>
      <c r="M415" t="s">
        <v>78</v>
      </c>
      <c r="N415" t="s">
        <v>79</v>
      </c>
      <c r="O415" t="s">
        <v>74</v>
      </c>
      <c r="P415" t="s">
        <v>74</v>
      </c>
      <c r="Q415" t="s">
        <v>74</v>
      </c>
      <c r="R415" t="s">
        <v>74</v>
      </c>
      <c r="S415" t="s">
        <v>74</v>
      </c>
      <c r="T415" t="s">
        <v>8473</v>
      </c>
      <c r="U415" t="s">
        <v>8474</v>
      </c>
      <c r="V415" t="s">
        <v>8475</v>
      </c>
      <c r="W415" t="s">
        <v>8476</v>
      </c>
      <c r="X415" t="s">
        <v>8477</v>
      </c>
      <c r="Y415" t="s">
        <v>8478</v>
      </c>
      <c r="Z415" t="s">
        <v>8479</v>
      </c>
      <c r="AA415" t="s">
        <v>8480</v>
      </c>
      <c r="AB415" t="s">
        <v>74</v>
      </c>
      <c r="AC415" t="s">
        <v>8481</v>
      </c>
      <c r="AD415" t="s">
        <v>8482</v>
      </c>
      <c r="AE415" t="s">
        <v>8483</v>
      </c>
      <c r="AF415" t="s">
        <v>74</v>
      </c>
      <c r="AG415">
        <v>78</v>
      </c>
      <c r="AH415">
        <v>1</v>
      </c>
      <c r="AI415">
        <v>1</v>
      </c>
      <c r="AJ415">
        <v>1</v>
      </c>
      <c r="AK415">
        <v>14</v>
      </c>
      <c r="AL415" t="s">
        <v>178</v>
      </c>
      <c r="AM415" t="s">
        <v>450</v>
      </c>
      <c r="AN415" t="s">
        <v>668</v>
      </c>
      <c r="AO415" t="s">
        <v>8484</v>
      </c>
      <c r="AP415" t="s">
        <v>8485</v>
      </c>
      <c r="AQ415" t="s">
        <v>74</v>
      </c>
      <c r="AR415" t="s">
        <v>8486</v>
      </c>
      <c r="AS415" t="s">
        <v>8487</v>
      </c>
      <c r="AT415" t="s">
        <v>8488</v>
      </c>
      <c r="AU415">
        <v>2023</v>
      </c>
      <c r="AV415">
        <v>60</v>
      </c>
      <c r="AW415" t="s">
        <v>5959</v>
      </c>
      <c r="AX415" t="s">
        <v>74</v>
      </c>
      <c r="AY415" t="s">
        <v>74</v>
      </c>
      <c r="AZ415" t="s">
        <v>74</v>
      </c>
      <c r="BA415" t="s">
        <v>74</v>
      </c>
      <c r="BB415">
        <v>2665</v>
      </c>
      <c r="BC415">
        <v>2685</v>
      </c>
      <c r="BD415" t="s">
        <v>74</v>
      </c>
      <c r="BE415" t="s">
        <v>8489</v>
      </c>
      <c r="BF415" t="str">
        <f>HYPERLINK("http://dx.doi.org/10.1007/s00382-022-06466-z","http://dx.doi.org/10.1007/s00382-022-06466-z")</f>
        <v>http://dx.doi.org/10.1007/s00382-022-06466-z</v>
      </c>
      <c r="BG415" t="s">
        <v>74</v>
      </c>
      <c r="BH415" t="s">
        <v>7628</v>
      </c>
      <c r="BI415">
        <v>21</v>
      </c>
      <c r="BJ415" t="s">
        <v>457</v>
      </c>
      <c r="BK415" t="s">
        <v>100</v>
      </c>
      <c r="BL415" t="s">
        <v>457</v>
      </c>
      <c r="BM415" t="s">
        <v>8490</v>
      </c>
      <c r="BN415">
        <v>36034493</v>
      </c>
      <c r="BO415" t="s">
        <v>2401</v>
      </c>
      <c r="BP415" t="s">
        <v>74</v>
      </c>
      <c r="BQ415" t="s">
        <v>74</v>
      </c>
      <c r="BR415" t="s">
        <v>103</v>
      </c>
      <c r="BS415" t="s">
        <v>8491</v>
      </c>
      <c r="BT415" t="str">
        <f>HYPERLINK("https%3A%2F%2Fwww.webofscience.com%2Fwos%2Fwoscc%2Ffull-record%2FWOS:000844019300003","View Full Record in Web of Science")</f>
        <v>View Full Record in Web of Science</v>
      </c>
    </row>
    <row r="416" spans="1:72" x14ac:dyDescent="0.15">
      <c r="A416" t="s">
        <v>72</v>
      </c>
      <c r="B416" t="s">
        <v>8492</v>
      </c>
      <c r="C416" t="s">
        <v>74</v>
      </c>
      <c r="D416" t="s">
        <v>74</v>
      </c>
      <c r="E416" t="s">
        <v>74</v>
      </c>
      <c r="F416" t="s">
        <v>8493</v>
      </c>
      <c r="G416" t="s">
        <v>74</v>
      </c>
      <c r="H416" t="s">
        <v>74</v>
      </c>
      <c r="I416" t="s">
        <v>8494</v>
      </c>
      <c r="J416" t="s">
        <v>8495</v>
      </c>
      <c r="K416" t="s">
        <v>74</v>
      </c>
      <c r="L416" t="s">
        <v>74</v>
      </c>
      <c r="M416" t="s">
        <v>78</v>
      </c>
      <c r="N416" t="s">
        <v>79</v>
      </c>
      <c r="O416" t="s">
        <v>74</v>
      </c>
      <c r="P416" t="s">
        <v>74</v>
      </c>
      <c r="Q416" t="s">
        <v>74</v>
      </c>
      <c r="R416" t="s">
        <v>74</v>
      </c>
      <c r="S416" t="s">
        <v>74</v>
      </c>
      <c r="T416" t="s">
        <v>8496</v>
      </c>
      <c r="U416" t="s">
        <v>8497</v>
      </c>
      <c r="V416" t="s">
        <v>8498</v>
      </c>
      <c r="W416" t="s">
        <v>8499</v>
      </c>
      <c r="X416" t="s">
        <v>8500</v>
      </c>
      <c r="Y416" t="s">
        <v>8501</v>
      </c>
      <c r="Z416" t="s">
        <v>8502</v>
      </c>
      <c r="AA416" t="s">
        <v>8503</v>
      </c>
      <c r="AB416" t="s">
        <v>8504</v>
      </c>
      <c r="AC416" t="s">
        <v>8505</v>
      </c>
      <c r="AD416" t="s">
        <v>8506</v>
      </c>
      <c r="AE416" t="s">
        <v>8507</v>
      </c>
      <c r="AF416" t="s">
        <v>74</v>
      </c>
      <c r="AG416">
        <v>79</v>
      </c>
      <c r="AH416">
        <v>4</v>
      </c>
      <c r="AI416">
        <v>4</v>
      </c>
      <c r="AJ416">
        <v>6</v>
      </c>
      <c r="AK416">
        <v>18</v>
      </c>
      <c r="AL416" t="s">
        <v>3499</v>
      </c>
      <c r="AM416" t="s">
        <v>2774</v>
      </c>
      <c r="AN416" t="s">
        <v>3500</v>
      </c>
      <c r="AO416" t="s">
        <v>8508</v>
      </c>
      <c r="AP416" t="s">
        <v>8509</v>
      </c>
      <c r="AQ416" t="s">
        <v>74</v>
      </c>
      <c r="AR416" t="s">
        <v>8510</v>
      </c>
      <c r="AS416" t="s">
        <v>8511</v>
      </c>
      <c r="AT416" t="s">
        <v>8378</v>
      </c>
      <c r="AU416">
        <v>2022</v>
      </c>
      <c r="AV416">
        <v>19</v>
      </c>
      <c r="AW416">
        <v>193</v>
      </c>
      <c r="AX416" t="s">
        <v>74</v>
      </c>
      <c r="AY416" t="s">
        <v>74</v>
      </c>
      <c r="AZ416" t="s">
        <v>74</v>
      </c>
      <c r="BA416" t="s">
        <v>74</v>
      </c>
      <c r="BB416" t="s">
        <v>74</v>
      </c>
      <c r="BC416" t="s">
        <v>74</v>
      </c>
      <c r="BD416">
        <v>20220168</v>
      </c>
      <c r="BE416" t="s">
        <v>8512</v>
      </c>
      <c r="BF416" t="str">
        <f>HYPERLINK("http://dx.doi.org/10.1098/rsif.2022.0168","http://dx.doi.org/10.1098/rsif.2022.0168")</f>
        <v>http://dx.doi.org/10.1098/rsif.2022.0168</v>
      </c>
      <c r="BG416" t="s">
        <v>74</v>
      </c>
      <c r="BH416" t="s">
        <v>74</v>
      </c>
      <c r="BI416">
        <v>15</v>
      </c>
      <c r="BJ416" t="s">
        <v>156</v>
      </c>
      <c r="BK416" t="s">
        <v>100</v>
      </c>
      <c r="BL416" t="s">
        <v>157</v>
      </c>
      <c r="BM416" t="s">
        <v>8513</v>
      </c>
      <c r="BN416">
        <v>36000229</v>
      </c>
      <c r="BO416" t="s">
        <v>8514</v>
      </c>
      <c r="BP416" t="s">
        <v>74</v>
      </c>
      <c r="BQ416" t="s">
        <v>74</v>
      </c>
      <c r="BR416" t="s">
        <v>103</v>
      </c>
      <c r="BS416" t="s">
        <v>8515</v>
      </c>
      <c r="BT416" t="str">
        <f>HYPERLINK("https%3A%2F%2Fwww.webofscience.com%2Fwos%2Fwoscc%2Ffull-record%2FWOS:000844309800004","View Full Record in Web of Science")</f>
        <v>View Full Record in Web of Science</v>
      </c>
    </row>
    <row r="417" spans="1:72" x14ac:dyDescent="0.15">
      <c r="A417" t="s">
        <v>72</v>
      </c>
      <c r="B417" t="s">
        <v>8516</v>
      </c>
      <c r="C417" t="s">
        <v>74</v>
      </c>
      <c r="D417" t="s">
        <v>74</v>
      </c>
      <c r="E417" t="s">
        <v>74</v>
      </c>
      <c r="F417" t="s">
        <v>8517</v>
      </c>
      <c r="G417" t="s">
        <v>74</v>
      </c>
      <c r="H417" t="s">
        <v>74</v>
      </c>
      <c r="I417" t="s">
        <v>8518</v>
      </c>
      <c r="J417" t="s">
        <v>2473</v>
      </c>
      <c r="K417" t="s">
        <v>74</v>
      </c>
      <c r="L417" t="s">
        <v>74</v>
      </c>
      <c r="M417" t="s">
        <v>78</v>
      </c>
      <c r="N417" t="s">
        <v>79</v>
      </c>
      <c r="O417" t="s">
        <v>74</v>
      </c>
      <c r="P417" t="s">
        <v>74</v>
      </c>
      <c r="Q417" t="s">
        <v>74</v>
      </c>
      <c r="R417" t="s">
        <v>74</v>
      </c>
      <c r="S417" t="s">
        <v>74</v>
      </c>
      <c r="T417" t="s">
        <v>74</v>
      </c>
      <c r="U417" t="s">
        <v>8519</v>
      </c>
      <c r="V417" t="s">
        <v>8520</v>
      </c>
      <c r="W417" t="s">
        <v>8521</v>
      </c>
      <c r="X417" t="s">
        <v>8522</v>
      </c>
      <c r="Y417" t="s">
        <v>8523</v>
      </c>
      <c r="Z417" t="s">
        <v>8524</v>
      </c>
      <c r="AA417" t="s">
        <v>8525</v>
      </c>
      <c r="AB417" t="s">
        <v>8526</v>
      </c>
      <c r="AC417" t="s">
        <v>8527</v>
      </c>
      <c r="AD417" t="s">
        <v>8528</v>
      </c>
      <c r="AE417" t="s">
        <v>8529</v>
      </c>
      <c r="AF417" t="s">
        <v>74</v>
      </c>
      <c r="AG417">
        <v>40</v>
      </c>
      <c r="AH417">
        <v>2</v>
      </c>
      <c r="AI417">
        <v>2</v>
      </c>
      <c r="AJ417">
        <v>0</v>
      </c>
      <c r="AK417">
        <v>7</v>
      </c>
      <c r="AL417" t="s">
        <v>2460</v>
      </c>
      <c r="AM417" t="s">
        <v>2461</v>
      </c>
      <c r="AN417" t="s">
        <v>2462</v>
      </c>
      <c r="AO417" t="s">
        <v>2485</v>
      </c>
      <c r="AP417" t="s">
        <v>2486</v>
      </c>
      <c r="AQ417" t="s">
        <v>74</v>
      </c>
      <c r="AR417" t="s">
        <v>2473</v>
      </c>
      <c r="AS417" t="s">
        <v>2487</v>
      </c>
      <c r="AT417" t="s">
        <v>8378</v>
      </c>
      <c r="AU417">
        <v>2022</v>
      </c>
      <c r="AV417">
        <v>16</v>
      </c>
      <c r="AW417">
        <v>8</v>
      </c>
      <c r="AX417" t="s">
        <v>74</v>
      </c>
      <c r="AY417" t="s">
        <v>74</v>
      </c>
      <c r="AZ417" t="s">
        <v>74</v>
      </c>
      <c r="BA417" t="s">
        <v>74</v>
      </c>
      <c r="BB417">
        <v>3313</v>
      </c>
      <c r="BC417">
        <v>3329</v>
      </c>
      <c r="BD417" t="s">
        <v>74</v>
      </c>
      <c r="BE417" t="s">
        <v>8530</v>
      </c>
      <c r="BF417" t="str">
        <f>HYPERLINK("http://dx.doi.org/10.5194/tc-16-3313-2022","http://dx.doi.org/10.5194/tc-16-3313-2022")</f>
        <v>http://dx.doi.org/10.5194/tc-16-3313-2022</v>
      </c>
      <c r="BG417" t="s">
        <v>74</v>
      </c>
      <c r="BH417" t="s">
        <v>74</v>
      </c>
      <c r="BI417">
        <v>17</v>
      </c>
      <c r="BJ417" t="s">
        <v>354</v>
      </c>
      <c r="BK417" t="s">
        <v>100</v>
      </c>
      <c r="BL417" t="s">
        <v>241</v>
      </c>
      <c r="BM417" t="s">
        <v>8531</v>
      </c>
      <c r="BN417" t="s">
        <v>74</v>
      </c>
      <c r="BO417" t="s">
        <v>483</v>
      </c>
      <c r="BP417" t="s">
        <v>74</v>
      </c>
      <c r="BQ417" t="s">
        <v>74</v>
      </c>
      <c r="BR417" t="s">
        <v>103</v>
      </c>
      <c r="BS417" t="s">
        <v>8532</v>
      </c>
      <c r="BT417" t="str">
        <f>HYPERLINK("https%3A%2F%2Fwww.webofscience.com%2Fwos%2Fwoscc%2Ffull-record%2FWOS:000843652600001","View Full Record in Web of Science")</f>
        <v>View Full Record in Web of Science</v>
      </c>
    </row>
    <row r="418" spans="1:72" x14ac:dyDescent="0.15">
      <c r="A418" t="s">
        <v>72</v>
      </c>
      <c r="B418" t="s">
        <v>8533</v>
      </c>
      <c r="C418" t="s">
        <v>74</v>
      </c>
      <c r="D418" t="s">
        <v>74</v>
      </c>
      <c r="E418" t="s">
        <v>74</v>
      </c>
      <c r="F418" t="s">
        <v>8534</v>
      </c>
      <c r="G418" t="s">
        <v>74</v>
      </c>
      <c r="H418" t="s">
        <v>74</v>
      </c>
      <c r="I418" t="s">
        <v>8535</v>
      </c>
      <c r="J418" t="s">
        <v>8536</v>
      </c>
      <c r="K418" t="s">
        <v>74</v>
      </c>
      <c r="L418" t="s">
        <v>74</v>
      </c>
      <c r="M418" t="s">
        <v>78</v>
      </c>
      <c r="N418" t="s">
        <v>79</v>
      </c>
      <c r="O418" t="s">
        <v>74</v>
      </c>
      <c r="P418" t="s">
        <v>74</v>
      </c>
      <c r="Q418" t="s">
        <v>74</v>
      </c>
      <c r="R418" t="s">
        <v>74</v>
      </c>
      <c r="S418" t="s">
        <v>74</v>
      </c>
      <c r="T418" t="s">
        <v>8537</v>
      </c>
      <c r="U418" t="s">
        <v>8538</v>
      </c>
      <c r="V418" t="s">
        <v>8539</v>
      </c>
      <c r="W418" t="s">
        <v>8540</v>
      </c>
      <c r="X418" t="s">
        <v>8541</v>
      </c>
      <c r="Y418" t="s">
        <v>8542</v>
      </c>
      <c r="Z418" t="s">
        <v>8543</v>
      </c>
      <c r="AA418" t="s">
        <v>8544</v>
      </c>
      <c r="AB418" t="s">
        <v>8545</v>
      </c>
      <c r="AC418" t="s">
        <v>8546</v>
      </c>
      <c r="AD418" t="s">
        <v>8547</v>
      </c>
      <c r="AE418" t="s">
        <v>8548</v>
      </c>
      <c r="AF418" t="s">
        <v>74</v>
      </c>
      <c r="AG418">
        <v>63</v>
      </c>
      <c r="AH418">
        <v>8</v>
      </c>
      <c r="AI418">
        <v>8</v>
      </c>
      <c r="AJ418">
        <v>2</v>
      </c>
      <c r="AK418">
        <v>6</v>
      </c>
      <c r="AL418" t="s">
        <v>231</v>
      </c>
      <c r="AM418" t="s">
        <v>232</v>
      </c>
      <c r="AN418" t="s">
        <v>8549</v>
      </c>
      <c r="AO418" t="s">
        <v>74</v>
      </c>
      <c r="AP418" t="s">
        <v>8550</v>
      </c>
      <c r="AQ418" t="s">
        <v>74</v>
      </c>
      <c r="AR418" t="s">
        <v>8551</v>
      </c>
      <c r="AS418" t="s">
        <v>8552</v>
      </c>
      <c r="AT418" t="s">
        <v>3663</v>
      </c>
      <c r="AU418">
        <v>2023</v>
      </c>
      <c r="AV418">
        <v>9</v>
      </c>
      <c r="AW418">
        <v>1</v>
      </c>
      <c r="AX418" t="s">
        <v>74</v>
      </c>
      <c r="AY418" t="s">
        <v>74</v>
      </c>
      <c r="AZ418" t="s">
        <v>74</v>
      </c>
      <c r="BA418" t="s">
        <v>74</v>
      </c>
      <c r="BB418">
        <v>104</v>
      </c>
      <c r="BC418">
        <v>116</v>
      </c>
      <c r="BD418" t="s">
        <v>74</v>
      </c>
      <c r="BE418" t="s">
        <v>8553</v>
      </c>
      <c r="BF418" t="str">
        <f>HYPERLINK("http://dx.doi.org/10.1002/rse2.297","http://dx.doi.org/10.1002/rse2.297")</f>
        <v>http://dx.doi.org/10.1002/rse2.297</v>
      </c>
      <c r="BG418" t="s">
        <v>74</v>
      </c>
      <c r="BH418" t="s">
        <v>7628</v>
      </c>
      <c r="BI418">
        <v>13</v>
      </c>
      <c r="BJ418" t="s">
        <v>8554</v>
      </c>
      <c r="BK418" t="s">
        <v>100</v>
      </c>
      <c r="BL418" t="s">
        <v>4582</v>
      </c>
      <c r="BM418" t="s">
        <v>8555</v>
      </c>
      <c r="BN418" t="s">
        <v>74</v>
      </c>
      <c r="BO418" t="s">
        <v>74</v>
      </c>
      <c r="BP418" t="s">
        <v>74</v>
      </c>
      <c r="BQ418" t="s">
        <v>74</v>
      </c>
      <c r="BR418" t="s">
        <v>103</v>
      </c>
      <c r="BS418" t="s">
        <v>8556</v>
      </c>
      <c r="BT418" t="str">
        <f>HYPERLINK("https%3A%2F%2Fwww.webofscience.com%2Fwos%2Fwoscc%2Ffull-record%2FWOS:000843537300001","View Full Record in Web of Science")</f>
        <v>View Full Record in Web of Science</v>
      </c>
    </row>
    <row r="419" spans="1:72" x14ac:dyDescent="0.15">
      <c r="A419" t="s">
        <v>72</v>
      </c>
      <c r="B419" t="s">
        <v>8557</v>
      </c>
      <c r="C419" t="s">
        <v>74</v>
      </c>
      <c r="D419" t="s">
        <v>74</v>
      </c>
      <c r="E419" t="s">
        <v>74</v>
      </c>
      <c r="F419" t="s">
        <v>8558</v>
      </c>
      <c r="G419" t="s">
        <v>74</v>
      </c>
      <c r="H419" t="s">
        <v>74</v>
      </c>
      <c r="I419" t="s">
        <v>8559</v>
      </c>
      <c r="J419" t="s">
        <v>8560</v>
      </c>
      <c r="K419" t="s">
        <v>74</v>
      </c>
      <c r="L419" t="s">
        <v>74</v>
      </c>
      <c r="M419" t="s">
        <v>78</v>
      </c>
      <c r="N419" t="s">
        <v>79</v>
      </c>
      <c r="O419" t="s">
        <v>74</v>
      </c>
      <c r="P419" t="s">
        <v>74</v>
      </c>
      <c r="Q419" t="s">
        <v>74</v>
      </c>
      <c r="R419" t="s">
        <v>74</v>
      </c>
      <c r="S419" t="s">
        <v>74</v>
      </c>
      <c r="T419" t="s">
        <v>8561</v>
      </c>
      <c r="U419" t="s">
        <v>8562</v>
      </c>
      <c r="V419" t="s">
        <v>8563</v>
      </c>
      <c r="W419" t="s">
        <v>8564</v>
      </c>
      <c r="X419" t="s">
        <v>8565</v>
      </c>
      <c r="Y419" t="s">
        <v>8566</v>
      </c>
      <c r="Z419" t="s">
        <v>8567</v>
      </c>
      <c r="AA419" t="s">
        <v>74</v>
      </c>
      <c r="AB419" t="s">
        <v>8568</v>
      </c>
      <c r="AC419" t="s">
        <v>8569</v>
      </c>
      <c r="AD419" t="s">
        <v>8570</v>
      </c>
      <c r="AE419" t="s">
        <v>8571</v>
      </c>
      <c r="AF419" t="s">
        <v>74</v>
      </c>
      <c r="AG419">
        <v>29</v>
      </c>
      <c r="AH419">
        <v>8</v>
      </c>
      <c r="AI419">
        <v>8</v>
      </c>
      <c r="AJ419">
        <v>2</v>
      </c>
      <c r="AK419">
        <v>8</v>
      </c>
      <c r="AL419" t="s">
        <v>178</v>
      </c>
      <c r="AM419" t="s">
        <v>179</v>
      </c>
      <c r="AN419" t="s">
        <v>180</v>
      </c>
      <c r="AO419" t="s">
        <v>8572</v>
      </c>
      <c r="AP419" t="s">
        <v>8573</v>
      </c>
      <c r="AQ419" t="s">
        <v>74</v>
      </c>
      <c r="AR419" t="s">
        <v>8574</v>
      </c>
      <c r="AS419" t="s">
        <v>8575</v>
      </c>
      <c r="AT419" t="s">
        <v>325</v>
      </c>
      <c r="AU419">
        <v>2022</v>
      </c>
      <c r="AV419">
        <v>24</v>
      </c>
      <c r="AW419">
        <v>12</v>
      </c>
      <c r="AX419" t="s">
        <v>74</v>
      </c>
      <c r="AY419" t="s">
        <v>74</v>
      </c>
      <c r="AZ419" t="s">
        <v>74</v>
      </c>
      <c r="BA419" t="s">
        <v>74</v>
      </c>
      <c r="BB419">
        <v>3665</v>
      </c>
      <c r="BC419">
        <v>3674</v>
      </c>
      <c r="BD419" t="s">
        <v>74</v>
      </c>
      <c r="BE419" t="s">
        <v>8576</v>
      </c>
      <c r="BF419" t="str">
        <f>HYPERLINK("http://dx.doi.org/10.1007/s10530-022-02878-4","http://dx.doi.org/10.1007/s10530-022-02878-4")</f>
        <v>http://dx.doi.org/10.1007/s10530-022-02878-4</v>
      </c>
      <c r="BG419" t="s">
        <v>74</v>
      </c>
      <c r="BH419" t="s">
        <v>7628</v>
      </c>
      <c r="BI419">
        <v>10</v>
      </c>
      <c r="BJ419" t="s">
        <v>1169</v>
      </c>
      <c r="BK419" t="s">
        <v>100</v>
      </c>
      <c r="BL419" t="s">
        <v>1170</v>
      </c>
      <c r="BM419" t="s">
        <v>8577</v>
      </c>
      <c r="BN419" t="s">
        <v>74</v>
      </c>
      <c r="BO419" t="s">
        <v>74</v>
      </c>
      <c r="BP419" t="s">
        <v>74</v>
      </c>
      <c r="BQ419" t="s">
        <v>74</v>
      </c>
      <c r="BR419" t="s">
        <v>103</v>
      </c>
      <c r="BS419" t="s">
        <v>8578</v>
      </c>
      <c r="BT419" t="str">
        <f>HYPERLINK("https%3A%2F%2Fwww.webofscience.com%2Fwos%2Fwoscc%2Ffull-record%2FWOS:000843424900001","View Full Record in Web of Science")</f>
        <v>View Full Record in Web of Science</v>
      </c>
    </row>
    <row r="420" spans="1:72" x14ac:dyDescent="0.15">
      <c r="A420" t="s">
        <v>72</v>
      </c>
      <c r="B420" t="s">
        <v>8579</v>
      </c>
      <c r="C420" t="s">
        <v>74</v>
      </c>
      <c r="D420" t="s">
        <v>74</v>
      </c>
      <c r="E420" t="s">
        <v>74</v>
      </c>
      <c r="F420" t="s">
        <v>8580</v>
      </c>
      <c r="G420" t="s">
        <v>74</v>
      </c>
      <c r="H420" t="s">
        <v>74</v>
      </c>
      <c r="I420" t="s">
        <v>8581</v>
      </c>
      <c r="J420" t="s">
        <v>3791</v>
      </c>
      <c r="K420" t="s">
        <v>74</v>
      </c>
      <c r="L420" t="s">
        <v>74</v>
      </c>
      <c r="M420" t="s">
        <v>78</v>
      </c>
      <c r="N420" t="s">
        <v>79</v>
      </c>
      <c r="O420" t="s">
        <v>74</v>
      </c>
      <c r="P420" t="s">
        <v>74</v>
      </c>
      <c r="Q420" t="s">
        <v>74</v>
      </c>
      <c r="R420" t="s">
        <v>74</v>
      </c>
      <c r="S420" t="s">
        <v>74</v>
      </c>
      <c r="T420" t="s">
        <v>8582</v>
      </c>
      <c r="U420" t="s">
        <v>8583</v>
      </c>
      <c r="V420" t="s">
        <v>8584</v>
      </c>
      <c r="W420" t="s">
        <v>8585</v>
      </c>
      <c r="X420" t="s">
        <v>8586</v>
      </c>
      <c r="Y420" t="s">
        <v>8587</v>
      </c>
      <c r="Z420" t="s">
        <v>8588</v>
      </c>
      <c r="AA420" t="s">
        <v>74</v>
      </c>
      <c r="AB420" t="s">
        <v>8589</v>
      </c>
      <c r="AC420" t="s">
        <v>8590</v>
      </c>
      <c r="AD420" t="s">
        <v>8591</v>
      </c>
      <c r="AE420" t="s">
        <v>8592</v>
      </c>
      <c r="AF420" t="s">
        <v>74</v>
      </c>
      <c r="AG420">
        <v>79</v>
      </c>
      <c r="AH420">
        <v>2</v>
      </c>
      <c r="AI420">
        <v>2</v>
      </c>
      <c r="AJ420">
        <v>1</v>
      </c>
      <c r="AK420">
        <v>11</v>
      </c>
      <c r="AL420" t="s">
        <v>2249</v>
      </c>
      <c r="AM420" t="s">
        <v>90</v>
      </c>
      <c r="AN420" t="s">
        <v>2250</v>
      </c>
      <c r="AO420" t="s">
        <v>3804</v>
      </c>
      <c r="AP420" t="s">
        <v>3805</v>
      </c>
      <c r="AQ420" t="s">
        <v>74</v>
      </c>
      <c r="AR420" t="s">
        <v>3806</v>
      </c>
      <c r="AS420" t="s">
        <v>3807</v>
      </c>
      <c r="AT420" t="s">
        <v>2670</v>
      </c>
      <c r="AU420">
        <v>2022</v>
      </c>
      <c r="AV420">
        <v>311</v>
      </c>
      <c r="AW420" t="s">
        <v>74</v>
      </c>
      <c r="AX420" t="s">
        <v>74</v>
      </c>
      <c r="AY420" t="s">
        <v>74</v>
      </c>
      <c r="AZ420" t="s">
        <v>74</v>
      </c>
      <c r="BA420" t="s">
        <v>74</v>
      </c>
      <c r="BB420" t="s">
        <v>74</v>
      </c>
      <c r="BC420" t="s">
        <v>74</v>
      </c>
      <c r="BD420">
        <v>119885</v>
      </c>
      <c r="BE420" t="s">
        <v>8593</v>
      </c>
      <c r="BF420" t="str">
        <f>HYPERLINK("http://dx.doi.org/10.1016/j.envpol.2022.119885","http://dx.doi.org/10.1016/j.envpol.2022.119885")</f>
        <v>http://dx.doi.org/10.1016/j.envpol.2022.119885</v>
      </c>
      <c r="BG420" t="s">
        <v>74</v>
      </c>
      <c r="BH420" t="s">
        <v>7628</v>
      </c>
      <c r="BI420">
        <v>10</v>
      </c>
      <c r="BJ420" t="s">
        <v>2040</v>
      </c>
      <c r="BK420" t="s">
        <v>100</v>
      </c>
      <c r="BL420" t="s">
        <v>2041</v>
      </c>
      <c r="BM420" t="s">
        <v>8594</v>
      </c>
      <c r="BN420">
        <v>35977637</v>
      </c>
      <c r="BO420" t="s">
        <v>74</v>
      </c>
      <c r="BP420" t="s">
        <v>74</v>
      </c>
      <c r="BQ420" t="s">
        <v>74</v>
      </c>
      <c r="BR420" t="s">
        <v>103</v>
      </c>
      <c r="BS420" t="s">
        <v>8595</v>
      </c>
      <c r="BT420" t="str">
        <f>HYPERLINK("https%3A%2F%2Fwww.webofscience.com%2Fwos%2Fwoscc%2Ffull-record%2FWOS:000860693500008","View Full Record in Web of Science")</f>
        <v>View Full Record in Web of Science</v>
      </c>
    </row>
    <row r="421" spans="1:72" x14ac:dyDescent="0.15">
      <c r="A421" t="s">
        <v>72</v>
      </c>
      <c r="B421" t="s">
        <v>8596</v>
      </c>
      <c r="C421" t="s">
        <v>74</v>
      </c>
      <c r="D421" t="s">
        <v>74</v>
      </c>
      <c r="E421" t="s">
        <v>74</v>
      </c>
      <c r="F421" t="s">
        <v>8597</v>
      </c>
      <c r="G421" t="s">
        <v>74</v>
      </c>
      <c r="H421" t="s">
        <v>74</v>
      </c>
      <c r="I421" t="s">
        <v>8598</v>
      </c>
      <c r="J421" t="s">
        <v>8599</v>
      </c>
      <c r="K421" t="s">
        <v>74</v>
      </c>
      <c r="L421" t="s">
        <v>74</v>
      </c>
      <c r="M421" t="s">
        <v>78</v>
      </c>
      <c r="N421" t="s">
        <v>79</v>
      </c>
      <c r="O421" t="s">
        <v>74</v>
      </c>
      <c r="P421" t="s">
        <v>74</v>
      </c>
      <c r="Q421" t="s">
        <v>74</v>
      </c>
      <c r="R421" t="s">
        <v>74</v>
      </c>
      <c r="S421" t="s">
        <v>74</v>
      </c>
      <c r="T421" t="s">
        <v>8600</v>
      </c>
      <c r="U421" t="s">
        <v>8601</v>
      </c>
      <c r="V421" t="s">
        <v>8602</v>
      </c>
      <c r="W421" t="s">
        <v>8603</v>
      </c>
      <c r="X421" t="s">
        <v>8604</v>
      </c>
      <c r="Y421" t="s">
        <v>8605</v>
      </c>
      <c r="Z421" t="s">
        <v>8606</v>
      </c>
      <c r="AA421" t="s">
        <v>8607</v>
      </c>
      <c r="AB421" t="s">
        <v>8608</v>
      </c>
      <c r="AC421" t="s">
        <v>8609</v>
      </c>
      <c r="AD421" t="s">
        <v>8610</v>
      </c>
      <c r="AE421" t="s">
        <v>8611</v>
      </c>
      <c r="AF421" t="s">
        <v>74</v>
      </c>
      <c r="AG421">
        <v>54</v>
      </c>
      <c r="AH421">
        <v>6</v>
      </c>
      <c r="AI421">
        <v>6</v>
      </c>
      <c r="AJ421">
        <v>4</v>
      </c>
      <c r="AK421">
        <v>14</v>
      </c>
      <c r="AL421" t="s">
        <v>3089</v>
      </c>
      <c r="AM421" t="s">
        <v>2774</v>
      </c>
      <c r="AN421" t="s">
        <v>3090</v>
      </c>
      <c r="AO421" t="s">
        <v>8612</v>
      </c>
      <c r="AP421" t="s">
        <v>8613</v>
      </c>
      <c r="AQ421" t="s">
        <v>74</v>
      </c>
      <c r="AR421" t="s">
        <v>8614</v>
      </c>
      <c r="AS421" t="s">
        <v>8615</v>
      </c>
      <c r="AT421" t="s">
        <v>428</v>
      </c>
      <c r="AU421">
        <v>2022</v>
      </c>
      <c r="AV421">
        <v>83</v>
      </c>
      <c r="AW421" t="s">
        <v>74</v>
      </c>
      <c r="AX421" t="s">
        <v>74</v>
      </c>
      <c r="AY421" t="s">
        <v>74</v>
      </c>
      <c r="AZ421" t="s">
        <v>74</v>
      </c>
      <c r="BA421" t="s">
        <v>74</v>
      </c>
      <c r="BB421" t="s">
        <v>74</v>
      </c>
      <c r="BC421" t="s">
        <v>74</v>
      </c>
      <c r="BD421">
        <v>101853</v>
      </c>
      <c r="BE421" t="s">
        <v>8616</v>
      </c>
      <c r="BF421" t="str">
        <f>HYPERLINK("http://dx.doi.org/10.1016/j.jenvp.2022.101853","http://dx.doi.org/10.1016/j.jenvp.2022.101853")</f>
        <v>http://dx.doi.org/10.1016/j.jenvp.2022.101853</v>
      </c>
      <c r="BG421" t="s">
        <v>74</v>
      </c>
      <c r="BH421" t="s">
        <v>7628</v>
      </c>
      <c r="BI421">
        <v>9</v>
      </c>
      <c r="BJ421" t="s">
        <v>8617</v>
      </c>
      <c r="BK421" t="s">
        <v>2257</v>
      </c>
      <c r="BL421" t="s">
        <v>8618</v>
      </c>
      <c r="BM421" t="s">
        <v>8619</v>
      </c>
      <c r="BN421" t="s">
        <v>74</v>
      </c>
      <c r="BO421" t="s">
        <v>831</v>
      </c>
      <c r="BP421" t="s">
        <v>74</v>
      </c>
      <c r="BQ421" t="s">
        <v>74</v>
      </c>
      <c r="BR421" t="s">
        <v>103</v>
      </c>
      <c r="BS421" t="s">
        <v>8620</v>
      </c>
      <c r="BT421" t="str">
        <f>HYPERLINK("https%3A%2F%2Fwww.webofscience.com%2Fwos%2Fwoscc%2Ffull-record%2FWOS:000861231100001","View Full Record in Web of Science")</f>
        <v>View Full Record in Web of Science</v>
      </c>
    </row>
    <row r="422" spans="1:72" x14ac:dyDescent="0.15">
      <c r="A422" t="s">
        <v>72</v>
      </c>
      <c r="B422" t="s">
        <v>8621</v>
      </c>
      <c r="C422" t="s">
        <v>74</v>
      </c>
      <c r="D422" t="s">
        <v>74</v>
      </c>
      <c r="E422" t="s">
        <v>74</v>
      </c>
      <c r="F422" t="s">
        <v>8622</v>
      </c>
      <c r="G422" t="s">
        <v>74</v>
      </c>
      <c r="H422" t="s">
        <v>74</v>
      </c>
      <c r="I422" t="s">
        <v>8623</v>
      </c>
      <c r="J422" t="s">
        <v>2872</v>
      </c>
      <c r="K422" t="s">
        <v>74</v>
      </c>
      <c r="L422" t="s">
        <v>74</v>
      </c>
      <c r="M422" t="s">
        <v>78</v>
      </c>
      <c r="N422" t="s">
        <v>79</v>
      </c>
      <c r="O422" t="s">
        <v>74</v>
      </c>
      <c r="P422" t="s">
        <v>74</v>
      </c>
      <c r="Q422" t="s">
        <v>74</v>
      </c>
      <c r="R422" t="s">
        <v>74</v>
      </c>
      <c r="S422" t="s">
        <v>74</v>
      </c>
      <c r="T422" t="s">
        <v>74</v>
      </c>
      <c r="U422" t="s">
        <v>8624</v>
      </c>
      <c r="V422" t="s">
        <v>8625</v>
      </c>
      <c r="W422" t="s">
        <v>8626</v>
      </c>
      <c r="X422" t="s">
        <v>8627</v>
      </c>
      <c r="Y422" t="s">
        <v>8628</v>
      </c>
      <c r="Z422" t="s">
        <v>8629</v>
      </c>
      <c r="AA422" t="s">
        <v>8630</v>
      </c>
      <c r="AB422" t="s">
        <v>8631</v>
      </c>
      <c r="AC422" t="s">
        <v>8632</v>
      </c>
      <c r="AD422" t="s">
        <v>8633</v>
      </c>
      <c r="AE422" t="s">
        <v>8634</v>
      </c>
      <c r="AF422" t="s">
        <v>74</v>
      </c>
      <c r="AG422">
        <v>75</v>
      </c>
      <c r="AH422">
        <v>10</v>
      </c>
      <c r="AI422">
        <v>10</v>
      </c>
      <c r="AJ422">
        <v>0</v>
      </c>
      <c r="AK422">
        <v>29</v>
      </c>
      <c r="AL422" t="s">
        <v>2876</v>
      </c>
      <c r="AM422" t="s">
        <v>346</v>
      </c>
      <c r="AN422" t="s">
        <v>2877</v>
      </c>
      <c r="AO422" t="s">
        <v>2878</v>
      </c>
      <c r="AP422" t="s">
        <v>2879</v>
      </c>
      <c r="AQ422" t="s">
        <v>74</v>
      </c>
      <c r="AR422" t="s">
        <v>2880</v>
      </c>
      <c r="AS422" t="s">
        <v>2881</v>
      </c>
      <c r="AT422" t="s">
        <v>8635</v>
      </c>
      <c r="AU422">
        <v>2022</v>
      </c>
      <c r="AV422">
        <v>32</v>
      </c>
      <c r="AW422">
        <v>16</v>
      </c>
      <c r="AX422" t="s">
        <v>74</v>
      </c>
      <c r="AY422" t="s">
        <v>74</v>
      </c>
      <c r="AZ422" t="s">
        <v>74</v>
      </c>
      <c r="BA422" t="s">
        <v>74</v>
      </c>
      <c r="BB422">
        <v>3650</v>
      </c>
      <c r="BC422" t="s">
        <v>2114</v>
      </c>
      <c r="BD422" t="s">
        <v>74</v>
      </c>
      <c r="BE422" t="s">
        <v>8636</v>
      </c>
      <c r="BF422" t="str">
        <f>HYPERLINK("http://dx.doi.org/10.1016/j.cub.2022.06.036","http://dx.doi.org/10.1016/j.cub.2022.06.036")</f>
        <v>http://dx.doi.org/10.1016/j.cub.2022.06.036</v>
      </c>
      <c r="BG422" t="s">
        <v>74</v>
      </c>
      <c r="BH422" t="s">
        <v>7628</v>
      </c>
      <c r="BI422">
        <v>13</v>
      </c>
      <c r="BJ422" t="s">
        <v>2884</v>
      </c>
      <c r="BK422" t="s">
        <v>100</v>
      </c>
      <c r="BL422" t="s">
        <v>2885</v>
      </c>
      <c r="BM422" t="s">
        <v>8637</v>
      </c>
      <c r="BN422">
        <v>35779528</v>
      </c>
      <c r="BO422" t="s">
        <v>831</v>
      </c>
      <c r="BP422" t="s">
        <v>74</v>
      </c>
      <c r="BQ422" t="s">
        <v>74</v>
      </c>
      <c r="BR422" t="s">
        <v>103</v>
      </c>
      <c r="BS422" t="s">
        <v>8638</v>
      </c>
      <c r="BT422" t="str">
        <f>HYPERLINK("https%3A%2F%2Fwww.webofscience.com%2Fwos%2Fwoscc%2Ffull-record%2FWOS:000848556500012","View Full Record in Web of Science")</f>
        <v>View Full Record in Web of Science</v>
      </c>
    </row>
    <row r="423" spans="1:72" x14ac:dyDescent="0.15">
      <c r="A423" t="s">
        <v>72</v>
      </c>
      <c r="B423" t="s">
        <v>8639</v>
      </c>
      <c r="C423" t="s">
        <v>74</v>
      </c>
      <c r="D423" t="s">
        <v>74</v>
      </c>
      <c r="E423" t="s">
        <v>74</v>
      </c>
      <c r="F423" t="s">
        <v>8640</v>
      </c>
      <c r="G423" t="s">
        <v>74</v>
      </c>
      <c r="H423" t="s">
        <v>74</v>
      </c>
      <c r="I423" t="s">
        <v>8641</v>
      </c>
      <c r="J423" t="s">
        <v>247</v>
      </c>
      <c r="K423" t="s">
        <v>74</v>
      </c>
      <c r="L423" t="s">
        <v>74</v>
      </c>
      <c r="M423" t="s">
        <v>78</v>
      </c>
      <c r="N423" t="s">
        <v>79</v>
      </c>
      <c r="O423" t="s">
        <v>74</v>
      </c>
      <c r="P423" t="s">
        <v>74</v>
      </c>
      <c r="Q423" t="s">
        <v>74</v>
      </c>
      <c r="R423" t="s">
        <v>74</v>
      </c>
      <c r="S423" t="s">
        <v>74</v>
      </c>
      <c r="T423" t="s">
        <v>8642</v>
      </c>
      <c r="U423" t="s">
        <v>8643</v>
      </c>
      <c r="V423" t="s">
        <v>8644</v>
      </c>
      <c r="W423" t="s">
        <v>8645</v>
      </c>
      <c r="X423" t="s">
        <v>8646</v>
      </c>
      <c r="Y423" t="s">
        <v>8647</v>
      </c>
      <c r="Z423" t="s">
        <v>8372</v>
      </c>
      <c r="AA423" t="s">
        <v>8648</v>
      </c>
      <c r="AB423" t="s">
        <v>8649</v>
      </c>
      <c r="AC423" t="s">
        <v>8650</v>
      </c>
      <c r="AD423" t="s">
        <v>8651</v>
      </c>
      <c r="AE423" t="s">
        <v>8652</v>
      </c>
      <c r="AF423" t="s">
        <v>74</v>
      </c>
      <c r="AG423">
        <v>46</v>
      </c>
      <c r="AH423">
        <v>2</v>
      </c>
      <c r="AI423">
        <v>2</v>
      </c>
      <c r="AJ423">
        <v>0</v>
      </c>
      <c r="AK423">
        <v>10</v>
      </c>
      <c r="AL423" t="s">
        <v>121</v>
      </c>
      <c r="AM423" t="s">
        <v>122</v>
      </c>
      <c r="AN423" t="s">
        <v>123</v>
      </c>
      <c r="AO423" t="s">
        <v>74</v>
      </c>
      <c r="AP423" t="s">
        <v>258</v>
      </c>
      <c r="AQ423" t="s">
        <v>74</v>
      </c>
      <c r="AR423" t="s">
        <v>259</v>
      </c>
      <c r="AS423" t="s">
        <v>260</v>
      </c>
      <c r="AT423" t="s">
        <v>8635</v>
      </c>
      <c r="AU423">
        <v>2022</v>
      </c>
      <c r="AV423">
        <v>9</v>
      </c>
      <c r="AW423" t="s">
        <v>74</v>
      </c>
      <c r="AX423" t="s">
        <v>74</v>
      </c>
      <c r="AY423" t="s">
        <v>74</v>
      </c>
      <c r="AZ423" t="s">
        <v>74</v>
      </c>
      <c r="BA423" t="s">
        <v>74</v>
      </c>
      <c r="BB423" t="s">
        <v>74</v>
      </c>
      <c r="BC423" t="s">
        <v>74</v>
      </c>
      <c r="BD423">
        <v>903035</v>
      </c>
      <c r="BE423" t="s">
        <v>8653</v>
      </c>
      <c r="BF423" t="str">
        <f>HYPERLINK("http://dx.doi.org/10.3389/fmars.2022.903035","http://dx.doi.org/10.3389/fmars.2022.903035")</f>
        <v>http://dx.doi.org/10.3389/fmars.2022.903035</v>
      </c>
      <c r="BG423" t="s">
        <v>74</v>
      </c>
      <c r="BH423" t="s">
        <v>74</v>
      </c>
      <c r="BI423">
        <v>19</v>
      </c>
      <c r="BJ423" t="s">
        <v>263</v>
      </c>
      <c r="BK423" t="s">
        <v>100</v>
      </c>
      <c r="BL423" t="s">
        <v>264</v>
      </c>
      <c r="BM423" t="s">
        <v>8654</v>
      </c>
      <c r="BN423" t="s">
        <v>74</v>
      </c>
      <c r="BO423" t="s">
        <v>132</v>
      </c>
      <c r="BP423" t="s">
        <v>74</v>
      </c>
      <c r="BQ423" t="s">
        <v>74</v>
      </c>
      <c r="BR423" t="s">
        <v>103</v>
      </c>
      <c r="BS423" t="s">
        <v>8655</v>
      </c>
      <c r="BT423" t="str">
        <f>HYPERLINK("https%3A%2F%2Fwww.webofscience.com%2Fwos%2Fwoscc%2Ffull-record%2FWOS:000850672500001","View Full Record in Web of Science")</f>
        <v>View Full Record in Web of Science</v>
      </c>
    </row>
    <row r="424" spans="1:72" x14ac:dyDescent="0.15">
      <c r="A424" t="s">
        <v>72</v>
      </c>
      <c r="B424" t="s">
        <v>8656</v>
      </c>
      <c r="C424" t="s">
        <v>74</v>
      </c>
      <c r="D424" t="s">
        <v>74</v>
      </c>
      <c r="E424" t="s">
        <v>74</v>
      </c>
      <c r="F424" t="s">
        <v>8657</v>
      </c>
      <c r="G424" t="s">
        <v>74</v>
      </c>
      <c r="H424" t="s">
        <v>74</v>
      </c>
      <c r="I424" t="s">
        <v>8658</v>
      </c>
      <c r="J424" t="s">
        <v>8659</v>
      </c>
      <c r="K424" t="s">
        <v>74</v>
      </c>
      <c r="L424" t="s">
        <v>74</v>
      </c>
      <c r="M424" t="s">
        <v>78</v>
      </c>
      <c r="N424" t="s">
        <v>79</v>
      </c>
      <c r="O424" t="s">
        <v>74</v>
      </c>
      <c r="P424" t="s">
        <v>74</v>
      </c>
      <c r="Q424" t="s">
        <v>74</v>
      </c>
      <c r="R424" t="s">
        <v>74</v>
      </c>
      <c r="S424" t="s">
        <v>74</v>
      </c>
      <c r="T424" t="s">
        <v>8660</v>
      </c>
      <c r="U424" t="s">
        <v>8661</v>
      </c>
      <c r="V424" t="s">
        <v>8662</v>
      </c>
      <c r="W424" t="s">
        <v>8663</v>
      </c>
      <c r="X424" t="s">
        <v>8664</v>
      </c>
      <c r="Y424" t="s">
        <v>8665</v>
      </c>
      <c r="Z424" t="s">
        <v>8666</v>
      </c>
      <c r="AA424" t="s">
        <v>8667</v>
      </c>
      <c r="AB424" t="s">
        <v>8668</v>
      </c>
      <c r="AC424" t="s">
        <v>74</v>
      </c>
      <c r="AD424" t="s">
        <v>74</v>
      </c>
      <c r="AE424" t="s">
        <v>74</v>
      </c>
      <c r="AF424" t="s">
        <v>74</v>
      </c>
      <c r="AG424">
        <v>47</v>
      </c>
      <c r="AH424">
        <v>5</v>
      </c>
      <c r="AI424">
        <v>5</v>
      </c>
      <c r="AJ424">
        <v>1</v>
      </c>
      <c r="AK424">
        <v>8</v>
      </c>
      <c r="AL424" t="s">
        <v>8669</v>
      </c>
      <c r="AM424" t="s">
        <v>8670</v>
      </c>
      <c r="AN424" t="s">
        <v>8671</v>
      </c>
      <c r="AO424" t="s">
        <v>8672</v>
      </c>
      <c r="AP424" t="s">
        <v>74</v>
      </c>
      <c r="AQ424" t="s">
        <v>74</v>
      </c>
      <c r="AR424" t="s">
        <v>8673</v>
      </c>
      <c r="AS424" t="s">
        <v>8674</v>
      </c>
      <c r="AT424" t="s">
        <v>8635</v>
      </c>
      <c r="AU424">
        <v>2022</v>
      </c>
      <c r="AV424">
        <v>13</v>
      </c>
      <c r="AW424" t="s">
        <v>74</v>
      </c>
      <c r="AX424" t="s">
        <v>74</v>
      </c>
      <c r="AY424" t="s">
        <v>74</v>
      </c>
      <c r="AZ424" t="s">
        <v>74</v>
      </c>
      <c r="BA424" t="s">
        <v>74</v>
      </c>
      <c r="BB424">
        <v>807</v>
      </c>
      <c r="BC424">
        <v>816</v>
      </c>
      <c r="BD424" t="s">
        <v>74</v>
      </c>
      <c r="BE424" t="s">
        <v>8675</v>
      </c>
      <c r="BF424" t="str">
        <f>HYPERLINK("http://dx.doi.org/10.3762/bjnano.13.71","http://dx.doi.org/10.3762/bjnano.13.71")</f>
        <v>http://dx.doi.org/10.3762/bjnano.13.71</v>
      </c>
      <c r="BG424" t="s">
        <v>74</v>
      </c>
      <c r="BH424" t="s">
        <v>74</v>
      </c>
      <c r="BI424">
        <v>10</v>
      </c>
      <c r="BJ424" t="s">
        <v>8676</v>
      </c>
      <c r="BK424" t="s">
        <v>100</v>
      </c>
      <c r="BL424" t="s">
        <v>8677</v>
      </c>
      <c r="BM424" t="s">
        <v>8678</v>
      </c>
      <c r="BN424">
        <v>36105691</v>
      </c>
      <c r="BO424" t="s">
        <v>132</v>
      </c>
      <c r="BP424" t="s">
        <v>74</v>
      </c>
      <c r="BQ424" t="s">
        <v>74</v>
      </c>
      <c r="BR424" t="s">
        <v>103</v>
      </c>
      <c r="BS424" t="s">
        <v>8679</v>
      </c>
      <c r="BT424" t="str">
        <f>HYPERLINK("https%3A%2F%2Fwww.webofscience.com%2Fwos%2Fwoscc%2Ffull-record%2FWOS:000844877400001","View Full Record in Web of Science")</f>
        <v>View Full Record in Web of Science</v>
      </c>
    </row>
    <row r="425" spans="1:72" x14ac:dyDescent="0.15">
      <c r="A425" t="s">
        <v>72</v>
      </c>
      <c r="B425" t="s">
        <v>8680</v>
      </c>
      <c r="C425" t="s">
        <v>74</v>
      </c>
      <c r="D425" t="s">
        <v>74</v>
      </c>
      <c r="E425" t="s">
        <v>74</v>
      </c>
      <c r="F425" t="s">
        <v>8681</v>
      </c>
      <c r="G425" t="s">
        <v>74</v>
      </c>
      <c r="H425" t="s">
        <v>74</v>
      </c>
      <c r="I425" t="s">
        <v>8682</v>
      </c>
      <c r="J425" t="s">
        <v>8683</v>
      </c>
      <c r="K425" t="s">
        <v>74</v>
      </c>
      <c r="L425" t="s">
        <v>74</v>
      </c>
      <c r="M425" t="s">
        <v>78</v>
      </c>
      <c r="N425" t="s">
        <v>79</v>
      </c>
      <c r="O425" t="s">
        <v>74</v>
      </c>
      <c r="P425" t="s">
        <v>74</v>
      </c>
      <c r="Q425" t="s">
        <v>74</v>
      </c>
      <c r="R425" t="s">
        <v>74</v>
      </c>
      <c r="S425" t="s">
        <v>74</v>
      </c>
      <c r="T425" t="s">
        <v>74</v>
      </c>
      <c r="U425" t="s">
        <v>8684</v>
      </c>
      <c r="V425" t="s">
        <v>8685</v>
      </c>
      <c r="W425" t="s">
        <v>8686</v>
      </c>
      <c r="X425" t="s">
        <v>8687</v>
      </c>
      <c r="Y425" t="s">
        <v>8688</v>
      </c>
      <c r="Z425" t="s">
        <v>8689</v>
      </c>
      <c r="AA425" t="s">
        <v>8690</v>
      </c>
      <c r="AB425" t="s">
        <v>8691</v>
      </c>
      <c r="AC425" t="s">
        <v>74</v>
      </c>
      <c r="AD425" t="s">
        <v>74</v>
      </c>
      <c r="AE425" t="s">
        <v>74</v>
      </c>
      <c r="AF425" t="s">
        <v>74</v>
      </c>
      <c r="AG425">
        <v>55</v>
      </c>
      <c r="AH425">
        <v>0</v>
      </c>
      <c r="AI425">
        <v>0</v>
      </c>
      <c r="AJ425">
        <v>2</v>
      </c>
      <c r="AK425">
        <v>4</v>
      </c>
      <c r="AL425" t="s">
        <v>2174</v>
      </c>
      <c r="AM425" t="s">
        <v>207</v>
      </c>
      <c r="AN425" t="s">
        <v>2175</v>
      </c>
      <c r="AO425" t="s">
        <v>8692</v>
      </c>
      <c r="AP425" t="s">
        <v>8693</v>
      </c>
      <c r="AQ425" t="s">
        <v>74</v>
      </c>
      <c r="AR425" t="s">
        <v>8694</v>
      </c>
      <c r="AS425" t="s">
        <v>8695</v>
      </c>
      <c r="AT425" t="s">
        <v>8635</v>
      </c>
      <c r="AU425">
        <v>2022</v>
      </c>
      <c r="AV425">
        <v>62</v>
      </c>
      <c r="AW425">
        <v>16</v>
      </c>
      <c r="AX425" t="s">
        <v>74</v>
      </c>
      <c r="AY425" t="s">
        <v>74</v>
      </c>
      <c r="AZ425" t="s">
        <v>74</v>
      </c>
      <c r="BA425" t="s">
        <v>74</v>
      </c>
      <c r="BB425">
        <v>3874</v>
      </c>
      <c r="BC425">
        <v>3884</v>
      </c>
      <c r="BD425" t="s">
        <v>74</v>
      </c>
      <c r="BE425" t="s">
        <v>8696</v>
      </c>
      <c r="BF425" t="str">
        <f>HYPERLINK("http://dx.doi.org/10.1021/acs.jcim.2c00727","http://dx.doi.org/10.1021/acs.jcim.2c00727")</f>
        <v>http://dx.doi.org/10.1021/acs.jcim.2c00727</v>
      </c>
      <c r="BG425" t="s">
        <v>74</v>
      </c>
      <c r="BH425" t="s">
        <v>74</v>
      </c>
      <c r="BI425">
        <v>11</v>
      </c>
      <c r="BJ425" t="s">
        <v>8697</v>
      </c>
      <c r="BK425" t="s">
        <v>100</v>
      </c>
      <c r="BL425" t="s">
        <v>8698</v>
      </c>
      <c r="BM425" t="s">
        <v>8699</v>
      </c>
      <c r="BN425">
        <v>35930673</v>
      </c>
      <c r="BO425" t="s">
        <v>2512</v>
      </c>
      <c r="BP425" t="s">
        <v>74</v>
      </c>
      <c r="BQ425" t="s">
        <v>74</v>
      </c>
      <c r="BR425" t="s">
        <v>103</v>
      </c>
      <c r="BS425" t="s">
        <v>8700</v>
      </c>
      <c r="BT425" t="str">
        <f>HYPERLINK("https%3A%2F%2Fwww.webofscience.com%2Fwos%2Fwoscc%2Ffull-record%2FWOS:000845996300001","View Full Record in Web of Science")</f>
        <v>View Full Record in Web of Science</v>
      </c>
    </row>
    <row r="426" spans="1:72" x14ac:dyDescent="0.15">
      <c r="A426" t="s">
        <v>72</v>
      </c>
      <c r="B426" t="s">
        <v>8701</v>
      </c>
      <c r="C426" t="s">
        <v>74</v>
      </c>
      <c r="D426" t="s">
        <v>74</v>
      </c>
      <c r="E426" t="s">
        <v>74</v>
      </c>
      <c r="F426" t="s">
        <v>8702</v>
      </c>
      <c r="G426" t="s">
        <v>74</v>
      </c>
      <c r="H426" t="s">
        <v>74</v>
      </c>
      <c r="I426" t="s">
        <v>8703</v>
      </c>
      <c r="J426" t="s">
        <v>8704</v>
      </c>
      <c r="K426" t="s">
        <v>74</v>
      </c>
      <c r="L426" t="s">
        <v>74</v>
      </c>
      <c r="M426" t="s">
        <v>78</v>
      </c>
      <c r="N426" t="s">
        <v>79</v>
      </c>
      <c r="O426" t="s">
        <v>74</v>
      </c>
      <c r="P426" t="s">
        <v>74</v>
      </c>
      <c r="Q426" t="s">
        <v>74</v>
      </c>
      <c r="R426" t="s">
        <v>74</v>
      </c>
      <c r="S426" t="s">
        <v>74</v>
      </c>
      <c r="T426" t="s">
        <v>8705</v>
      </c>
      <c r="U426" t="s">
        <v>8706</v>
      </c>
      <c r="V426" t="s">
        <v>8707</v>
      </c>
      <c r="W426" t="s">
        <v>8708</v>
      </c>
      <c r="X426" t="s">
        <v>8709</v>
      </c>
      <c r="Y426" t="s">
        <v>8710</v>
      </c>
      <c r="Z426" t="s">
        <v>8711</v>
      </c>
      <c r="AA426" t="s">
        <v>8712</v>
      </c>
      <c r="AB426" t="s">
        <v>8713</v>
      </c>
      <c r="AC426" t="s">
        <v>8714</v>
      </c>
      <c r="AD426" t="s">
        <v>2200</v>
      </c>
      <c r="AE426" t="s">
        <v>8715</v>
      </c>
      <c r="AF426" t="s">
        <v>74</v>
      </c>
      <c r="AG426">
        <v>82</v>
      </c>
      <c r="AH426">
        <v>2</v>
      </c>
      <c r="AI426">
        <v>2</v>
      </c>
      <c r="AJ426">
        <v>2</v>
      </c>
      <c r="AK426">
        <v>8</v>
      </c>
      <c r="AL426" t="s">
        <v>178</v>
      </c>
      <c r="AM426" t="s">
        <v>450</v>
      </c>
      <c r="AN426" t="s">
        <v>668</v>
      </c>
      <c r="AO426" t="s">
        <v>8716</v>
      </c>
      <c r="AP426" t="s">
        <v>8717</v>
      </c>
      <c r="AQ426" t="s">
        <v>74</v>
      </c>
      <c r="AR426" t="s">
        <v>8704</v>
      </c>
      <c r="AS426" t="s">
        <v>8718</v>
      </c>
      <c r="AT426" t="s">
        <v>428</v>
      </c>
      <c r="AU426">
        <v>2022</v>
      </c>
      <c r="AV426">
        <v>41</v>
      </c>
      <c r="AW426">
        <v>5</v>
      </c>
      <c r="AX426" t="s">
        <v>74</v>
      </c>
      <c r="AY426" t="s">
        <v>74</v>
      </c>
      <c r="AZ426" t="s">
        <v>74</v>
      </c>
      <c r="BA426" t="s">
        <v>74</v>
      </c>
      <c r="BB426">
        <v>1495</v>
      </c>
      <c r="BC426">
        <v>1510</v>
      </c>
      <c r="BD426" t="s">
        <v>74</v>
      </c>
      <c r="BE426" t="s">
        <v>8719</v>
      </c>
      <c r="BF426" t="str">
        <f>HYPERLINK("http://dx.doi.org/10.1007/s00338-022-02297-w","http://dx.doi.org/10.1007/s00338-022-02297-w")</f>
        <v>http://dx.doi.org/10.1007/s00338-022-02297-w</v>
      </c>
      <c r="BG426" t="s">
        <v>74</v>
      </c>
      <c r="BH426" t="s">
        <v>7628</v>
      </c>
      <c r="BI426">
        <v>16</v>
      </c>
      <c r="BJ426" t="s">
        <v>188</v>
      </c>
      <c r="BK426" t="s">
        <v>100</v>
      </c>
      <c r="BL426" t="s">
        <v>188</v>
      </c>
      <c r="BM426" t="s">
        <v>8720</v>
      </c>
      <c r="BN426" t="s">
        <v>74</v>
      </c>
      <c r="BO426" t="s">
        <v>74</v>
      </c>
      <c r="BP426" t="s">
        <v>74</v>
      </c>
      <c r="BQ426" t="s">
        <v>74</v>
      </c>
      <c r="BR426" t="s">
        <v>103</v>
      </c>
      <c r="BS426" t="s">
        <v>8721</v>
      </c>
      <c r="BT426" t="str">
        <f>HYPERLINK("https%3A%2F%2Fwww.webofscience.com%2Fwos%2Fwoscc%2Ffull-record%2FWOS:000842902300001","View Full Record in Web of Science")</f>
        <v>View Full Record in Web of Science</v>
      </c>
    </row>
    <row r="427" spans="1:72" x14ac:dyDescent="0.15">
      <c r="A427" t="s">
        <v>72</v>
      </c>
      <c r="B427" t="s">
        <v>8722</v>
      </c>
      <c r="C427" t="s">
        <v>74</v>
      </c>
      <c r="D427" t="s">
        <v>74</v>
      </c>
      <c r="E427" t="s">
        <v>74</v>
      </c>
      <c r="F427" t="s">
        <v>8723</v>
      </c>
      <c r="G427" t="s">
        <v>74</v>
      </c>
      <c r="H427" t="s">
        <v>74</v>
      </c>
      <c r="I427" t="s">
        <v>8724</v>
      </c>
      <c r="J427" t="s">
        <v>8725</v>
      </c>
      <c r="K427" t="s">
        <v>74</v>
      </c>
      <c r="L427" t="s">
        <v>74</v>
      </c>
      <c r="M427" t="s">
        <v>78</v>
      </c>
      <c r="N427" t="s">
        <v>79</v>
      </c>
      <c r="O427" t="s">
        <v>74</v>
      </c>
      <c r="P427" t="s">
        <v>74</v>
      </c>
      <c r="Q427" t="s">
        <v>74</v>
      </c>
      <c r="R427" t="s">
        <v>74</v>
      </c>
      <c r="S427" t="s">
        <v>74</v>
      </c>
      <c r="T427" t="s">
        <v>8726</v>
      </c>
      <c r="U427" t="s">
        <v>8727</v>
      </c>
      <c r="V427" t="s">
        <v>8728</v>
      </c>
      <c r="W427" t="s">
        <v>8729</v>
      </c>
      <c r="X427" t="s">
        <v>8730</v>
      </c>
      <c r="Y427" t="s">
        <v>8731</v>
      </c>
      <c r="Z427" t="s">
        <v>8732</v>
      </c>
      <c r="AA427" t="s">
        <v>8733</v>
      </c>
      <c r="AB427" t="s">
        <v>8734</v>
      </c>
      <c r="AC427" t="s">
        <v>8735</v>
      </c>
      <c r="AD427" t="s">
        <v>8736</v>
      </c>
      <c r="AE427" t="s">
        <v>8737</v>
      </c>
      <c r="AF427" t="s">
        <v>74</v>
      </c>
      <c r="AG427">
        <v>142</v>
      </c>
      <c r="AH427">
        <v>2</v>
      </c>
      <c r="AI427">
        <v>2</v>
      </c>
      <c r="AJ427">
        <v>1</v>
      </c>
      <c r="AK427">
        <v>8</v>
      </c>
      <c r="AL427" t="s">
        <v>8738</v>
      </c>
      <c r="AM427" t="s">
        <v>5141</v>
      </c>
      <c r="AN427" t="s">
        <v>8739</v>
      </c>
      <c r="AO427" t="s">
        <v>8740</v>
      </c>
      <c r="AP427" t="s">
        <v>74</v>
      </c>
      <c r="AQ427" t="s">
        <v>74</v>
      </c>
      <c r="AR427" t="s">
        <v>8741</v>
      </c>
      <c r="AS427" t="s">
        <v>8742</v>
      </c>
      <c r="AT427" t="s">
        <v>8743</v>
      </c>
      <c r="AU427">
        <v>2023</v>
      </c>
      <c r="AV427">
        <v>56</v>
      </c>
      <c r="AW427">
        <v>2</v>
      </c>
      <c r="AX427" t="s">
        <v>74</v>
      </c>
      <c r="AY427" t="s">
        <v>74</v>
      </c>
      <c r="AZ427" t="s">
        <v>74</v>
      </c>
      <c r="BA427" t="s">
        <v>74</v>
      </c>
      <c r="BB427">
        <v>187</v>
      </c>
      <c r="BC427">
        <v>223</v>
      </c>
      <c r="BD427" t="s">
        <v>74</v>
      </c>
      <c r="BE427" t="s">
        <v>8744</v>
      </c>
      <c r="BF427" t="str">
        <f>HYPERLINK("http://dx.doi.org/10.1127/nos/2022/0725","http://dx.doi.org/10.1127/nos/2022/0725")</f>
        <v>http://dx.doi.org/10.1127/nos/2022/0725</v>
      </c>
      <c r="BG427" t="s">
        <v>74</v>
      </c>
      <c r="BH427" t="s">
        <v>7628</v>
      </c>
      <c r="BI427">
        <v>37</v>
      </c>
      <c r="BJ427" t="s">
        <v>130</v>
      </c>
      <c r="BK427" t="s">
        <v>100</v>
      </c>
      <c r="BL427" t="s">
        <v>130</v>
      </c>
      <c r="BM427" t="s">
        <v>8745</v>
      </c>
      <c r="BN427" t="s">
        <v>74</v>
      </c>
      <c r="BO427" t="s">
        <v>2260</v>
      </c>
      <c r="BP427" t="s">
        <v>74</v>
      </c>
      <c r="BQ427" t="s">
        <v>74</v>
      </c>
      <c r="BR427" t="s">
        <v>103</v>
      </c>
      <c r="BS427" t="s">
        <v>8746</v>
      </c>
      <c r="BT427" t="str">
        <f>HYPERLINK("https%3A%2F%2Fwww.webofscience.com%2Fwos%2Fwoscc%2Ffull-record%2FWOS:000842457600001","View Full Record in Web of Science")</f>
        <v>View Full Record in Web of Science</v>
      </c>
    </row>
    <row r="428" spans="1:72" x14ac:dyDescent="0.15">
      <c r="A428" t="s">
        <v>72</v>
      </c>
      <c r="B428" t="s">
        <v>8747</v>
      </c>
      <c r="C428" t="s">
        <v>74</v>
      </c>
      <c r="D428" t="s">
        <v>74</v>
      </c>
      <c r="E428" t="s">
        <v>74</v>
      </c>
      <c r="F428" t="s">
        <v>8748</v>
      </c>
      <c r="G428" t="s">
        <v>74</v>
      </c>
      <c r="H428" t="s">
        <v>74</v>
      </c>
      <c r="I428" t="s">
        <v>8749</v>
      </c>
      <c r="J428" t="s">
        <v>8750</v>
      </c>
      <c r="K428" t="s">
        <v>74</v>
      </c>
      <c r="L428" t="s">
        <v>74</v>
      </c>
      <c r="M428" t="s">
        <v>78</v>
      </c>
      <c r="N428" t="s">
        <v>79</v>
      </c>
      <c r="O428" t="s">
        <v>74</v>
      </c>
      <c r="P428" t="s">
        <v>74</v>
      </c>
      <c r="Q428" t="s">
        <v>74</v>
      </c>
      <c r="R428" t="s">
        <v>74</v>
      </c>
      <c r="S428" t="s">
        <v>74</v>
      </c>
      <c r="T428" t="s">
        <v>8751</v>
      </c>
      <c r="U428" t="s">
        <v>8752</v>
      </c>
      <c r="V428" t="s">
        <v>8753</v>
      </c>
      <c r="W428" t="s">
        <v>8754</v>
      </c>
      <c r="X428" t="s">
        <v>8755</v>
      </c>
      <c r="Y428" t="s">
        <v>8756</v>
      </c>
      <c r="Z428" t="s">
        <v>8757</v>
      </c>
      <c r="AA428" t="s">
        <v>8758</v>
      </c>
      <c r="AB428" t="s">
        <v>8759</v>
      </c>
      <c r="AC428" t="s">
        <v>8760</v>
      </c>
      <c r="AD428" t="s">
        <v>8761</v>
      </c>
      <c r="AE428" t="s">
        <v>8762</v>
      </c>
      <c r="AF428" t="s">
        <v>74</v>
      </c>
      <c r="AG428">
        <v>45</v>
      </c>
      <c r="AH428">
        <v>1</v>
      </c>
      <c r="AI428">
        <v>1</v>
      </c>
      <c r="AJ428">
        <v>0</v>
      </c>
      <c r="AK428">
        <v>1</v>
      </c>
      <c r="AL428" t="s">
        <v>231</v>
      </c>
      <c r="AM428" t="s">
        <v>232</v>
      </c>
      <c r="AN428" t="s">
        <v>233</v>
      </c>
      <c r="AO428" t="s">
        <v>8763</v>
      </c>
      <c r="AP428" t="s">
        <v>8764</v>
      </c>
      <c r="AQ428" t="s">
        <v>74</v>
      </c>
      <c r="AR428" t="s">
        <v>8765</v>
      </c>
      <c r="AS428" t="s">
        <v>8766</v>
      </c>
      <c r="AT428" t="s">
        <v>428</v>
      </c>
      <c r="AU428">
        <v>2022</v>
      </c>
      <c r="AV428">
        <v>148</v>
      </c>
      <c r="AW428">
        <v>748</v>
      </c>
      <c r="AX428" t="s">
        <v>74</v>
      </c>
      <c r="AY428" t="s">
        <v>74</v>
      </c>
      <c r="AZ428" t="s">
        <v>74</v>
      </c>
      <c r="BA428" t="s">
        <v>74</v>
      </c>
      <c r="BB428">
        <v>3115</v>
      </c>
      <c r="BC428">
        <v>3130</v>
      </c>
      <c r="BD428" t="s">
        <v>74</v>
      </c>
      <c r="BE428" t="s">
        <v>8767</v>
      </c>
      <c r="BF428" t="str">
        <f>HYPERLINK("http://dx.doi.org/10.1002/qj.4347","http://dx.doi.org/10.1002/qj.4347")</f>
        <v>http://dx.doi.org/10.1002/qj.4347</v>
      </c>
      <c r="BG428" t="s">
        <v>74</v>
      </c>
      <c r="BH428" t="s">
        <v>7628</v>
      </c>
      <c r="BI428">
        <v>16</v>
      </c>
      <c r="BJ428" t="s">
        <v>457</v>
      </c>
      <c r="BK428" t="s">
        <v>100</v>
      </c>
      <c r="BL428" t="s">
        <v>457</v>
      </c>
      <c r="BM428" t="s">
        <v>8768</v>
      </c>
      <c r="BN428" t="s">
        <v>74</v>
      </c>
      <c r="BO428" t="s">
        <v>831</v>
      </c>
      <c r="BP428" t="s">
        <v>74</v>
      </c>
      <c r="BQ428" t="s">
        <v>74</v>
      </c>
      <c r="BR428" t="s">
        <v>103</v>
      </c>
      <c r="BS428" t="s">
        <v>8769</v>
      </c>
      <c r="BT428" t="str">
        <f>HYPERLINK("https%3A%2F%2Fwww.webofscience.com%2Fwos%2Fwoscc%2Ffull-record%2FWOS:000842663500001","View Full Record in Web of Science")</f>
        <v>View Full Record in Web of Science</v>
      </c>
    </row>
    <row r="429" spans="1:72" x14ac:dyDescent="0.15">
      <c r="A429" t="s">
        <v>72</v>
      </c>
      <c r="B429" t="s">
        <v>8770</v>
      </c>
      <c r="C429" t="s">
        <v>74</v>
      </c>
      <c r="D429" t="s">
        <v>74</v>
      </c>
      <c r="E429" t="s">
        <v>74</v>
      </c>
      <c r="F429" t="s">
        <v>8771</v>
      </c>
      <c r="G429" t="s">
        <v>74</v>
      </c>
      <c r="H429" t="s">
        <v>74</v>
      </c>
      <c r="I429" t="s">
        <v>8772</v>
      </c>
      <c r="J429" t="s">
        <v>4697</v>
      </c>
      <c r="K429" t="s">
        <v>74</v>
      </c>
      <c r="L429" t="s">
        <v>74</v>
      </c>
      <c r="M429" t="s">
        <v>78</v>
      </c>
      <c r="N429" t="s">
        <v>79</v>
      </c>
      <c r="O429" t="s">
        <v>74</v>
      </c>
      <c r="P429" t="s">
        <v>74</v>
      </c>
      <c r="Q429" t="s">
        <v>74</v>
      </c>
      <c r="R429" t="s">
        <v>74</v>
      </c>
      <c r="S429" t="s">
        <v>74</v>
      </c>
      <c r="T429" t="s">
        <v>74</v>
      </c>
      <c r="U429" t="s">
        <v>8773</v>
      </c>
      <c r="V429" t="s">
        <v>8774</v>
      </c>
      <c r="W429" t="s">
        <v>8775</v>
      </c>
      <c r="X429" t="s">
        <v>8776</v>
      </c>
      <c r="Y429" t="s">
        <v>8777</v>
      </c>
      <c r="Z429" t="s">
        <v>8778</v>
      </c>
      <c r="AA429" t="s">
        <v>74</v>
      </c>
      <c r="AB429" t="s">
        <v>8779</v>
      </c>
      <c r="AC429" t="s">
        <v>8780</v>
      </c>
      <c r="AD429" t="s">
        <v>8781</v>
      </c>
      <c r="AE429" t="s">
        <v>8782</v>
      </c>
      <c r="AF429" t="s">
        <v>74</v>
      </c>
      <c r="AG429">
        <v>124</v>
      </c>
      <c r="AH429">
        <v>6</v>
      </c>
      <c r="AI429">
        <v>7</v>
      </c>
      <c r="AJ429">
        <v>2</v>
      </c>
      <c r="AK429">
        <v>16</v>
      </c>
      <c r="AL429" t="s">
        <v>2773</v>
      </c>
      <c r="AM429" t="s">
        <v>2774</v>
      </c>
      <c r="AN429" t="s">
        <v>2775</v>
      </c>
      <c r="AO429" t="s">
        <v>74</v>
      </c>
      <c r="AP429" t="s">
        <v>4709</v>
      </c>
      <c r="AQ429" t="s">
        <v>74</v>
      </c>
      <c r="AR429" t="s">
        <v>4710</v>
      </c>
      <c r="AS429" t="s">
        <v>4711</v>
      </c>
      <c r="AT429" t="s">
        <v>8783</v>
      </c>
      <c r="AU429">
        <v>2022</v>
      </c>
      <c r="AV429">
        <v>3</v>
      </c>
      <c r="AW429">
        <v>1</v>
      </c>
      <c r="AX429" t="s">
        <v>74</v>
      </c>
      <c r="AY429" t="s">
        <v>74</v>
      </c>
      <c r="AZ429" t="s">
        <v>74</v>
      </c>
      <c r="BA429" t="s">
        <v>74</v>
      </c>
      <c r="BB429" t="s">
        <v>74</v>
      </c>
      <c r="BC429" t="s">
        <v>74</v>
      </c>
      <c r="BD429">
        <v>186</v>
      </c>
      <c r="BE429" t="s">
        <v>8784</v>
      </c>
      <c r="BF429" t="str">
        <f>HYPERLINK("http://dx.doi.org/10.1038/s43247-022-00512-8","http://dx.doi.org/10.1038/s43247-022-00512-8")</f>
        <v>http://dx.doi.org/10.1038/s43247-022-00512-8</v>
      </c>
      <c r="BG429" t="s">
        <v>74</v>
      </c>
      <c r="BH429" t="s">
        <v>74</v>
      </c>
      <c r="BI429">
        <v>13</v>
      </c>
      <c r="BJ429" t="s">
        <v>1010</v>
      </c>
      <c r="BK429" t="s">
        <v>100</v>
      </c>
      <c r="BL429" t="s">
        <v>1011</v>
      </c>
      <c r="BM429" t="s">
        <v>8785</v>
      </c>
      <c r="BN429" t="s">
        <v>74</v>
      </c>
      <c r="BO429" t="s">
        <v>132</v>
      </c>
      <c r="BP429" t="s">
        <v>74</v>
      </c>
      <c r="BQ429" t="s">
        <v>74</v>
      </c>
      <c r="BR429" t="s">
        <v>103</v>
      </c>
      <c r="BS429" t="s">
        <v>8786</v>
      </c>
      <c r="BT429" t="str">
        <f>HYPERLINK("https%3A%2F%2Fwww.webofscience.com%2Fwos%2Fwoscc%2Ffull-record%2FWOS:000842154000001","View Full Record in Web of Science")</f>
        <v>View Full Record in Web of Science</v>
      </c>
    </row>
    <row r="430" spans="1:72" x14ac:dyDescent="0.15">
      <c r="A430" t="s">
        <v>72</v>
      </c>
      <c r="B430" t="s">
        <v>8787</v>
      </c>
      <c r="C430" t="s">
        <v>74</v>
      </c>
      <c r="D430" t="s">
        <v>74</v>
      </c>
      <c r="E430" t="s">
        <v>74</v>
      </c>
      <c r="F430" t="s">
        <v>8788</v>
      </c>
      <c r="G430" t="s">
        <v>74</v>
      </c>
      <c r="H430" t="s">
        <v>74</v>
      </c>
      <c r="I430" t="s">
        <v>8789</v>
      </c>
      <c r="J430" t="s">
        <v>8790</v>
      </c>
      <c r="K430" t="s">
        <v>74</v>
      </c>
      <c r="L430" t="s">
        <v>74</v>
      </c>
      <c r="M430" t="s">
        <v>78</v>
      </c>
      <c r="N430" t="s">
        <v>79</v>
      </c>
      <c r="O430" t="s">
        <v>74</v>
      </c>
      <c r="P430" t="s">
        <v>74</v>
      </c>
      <c r="Q430" t="s">
        <v>74</v>
      </c>
      <c r="R430" t="s">
        <v>74</v>
      </c>
      <c r="S430" t="s">
        <v>74</v>
      </c>
      <c r="T430" t="s">
        <v>8791</v>
      </c>
      <c r="U430" t="s">
        <v>8792</v>
      </c>
      <c r="V430" t="s">
        <v>8793</v>
      </c>
      <c r="W430" t="s">
        <v>8794</v>
      </c>
      <c r="X430" t="s">
        <v>8795</v>
      </c>
      <c r="Y430" t="s">
        <v>8796</v>
      </c>
      <c r="Z430" t="s">
        <v>8797</v>
      </c>
      <c r="AA430" t="s">
        <v>8798</v>
      </c>
      <c r="AB430" t="s">
        <v>8799</v>
      </c>
      <c r="AC430" t="s">
        <v>8800</v>
      </c>
      <c r="AD430" t="s">
        <v>8801</v>
      </c>
      <c r="AE430" t="s">
        <v>8802</v>
      </c>
      <c r="AF430" t="s">
        <v>74</v>
      </c>
      <c r="AG430">
        <v>48</v>
      </c>
      <c r="AH430">
        <v>1</v>
      </c>
      <c r="AI430">
        <v>2</v>
      </c>
      <c r="AJ430">
        <v>0</v>
      </c>
      <c r="AK430">
        <v>3</v>
      </c>
      <c r="AL430" t="s">
        <v>231</v>
      </c>
      <c r="AM430" t="s">
        <v>232</v>
      </c>
      <c r="AN430" t="s">
        <v>233</v>
      </c>
      <c r="AO430" t="s">
        <v>8803</v>
      </c>
      <c r="AP430" t="s">
        <v>8804</v>
      </c>
      <c r="AQ430" t="s">
        <v>74</v>
      </c>
      <c r="AR430" t="s">
        <v>8805</v>
      </c>
      <c r="AS430" t="s">
        <v>8806</v>
      </c>
      <c r="AT430" t="s">
        <v>238</v>
      </c>
      <c r="AU430">
        <v>2023</v>
      </c>
      <c r="AV430">
        <v>91</v>
      </c>
      <c r="AW430">
        <v>1</v>
      </c>
      <c r="AX430" t="s">
        <v>74</v>
      </c>
      <c r="AY430" t="s">
        <v>74</v>
      </c>
      <c r="AZ430" t="s">
        <v>74</v>
      </c>
      <c r="BA430" t="s">
        <v>74</v>
      </c>
      <c r="BB430">
        <v>3</v>
      </c>
      <c r="BC430">
        <v>15</v>
      </c>
      <c r="BD430" t="s">
        <v>74</v>
      </c>
      <c r="BE430" t="s">
        <v>8807</v>
      </c>
      <c r="BF430" t="str">
        <f>HYPERLINK("http://dx.doi.org/10.1002/prot.26404","http://dx.doi.org/10.1002/prot.26404")</f>
        <v>http://dx.doi.org/10.1002/prot.26404</v>
      </c>
      <c r="BG430" t="s">
        <v>74</v>
      </c>
      <c r="BH430" t="s">
        <v>7628</v>
      </c>
      <c r="BI430">
        <v>13</v>
      </c>
      <c r="BJ430" t="s">
        <v>4009</v>
      </c>
      <c r="BK430" t="s">
        <v>100</v>
      </c>
      <c r="BL430" t="s">
        <v>4009</v>
      </c>
      <c r="BM430" t="s">
        <v>8808</v>
      </c>
      <c r="BN430">
        <v>36053994</v>
      </c>
      <c r="BO430" t="s">
        <v>8809</v>
      </c>
      <c r="BP430" t="s">
        <v>74</v>
      </c>
      <c r="BQ430" t="s">
        <v>74</v>
      </c>
      <c r="BR430" t="s">
        <v>103</v>
      </c>
      <c r="BS430" t="s">
        <v>8810</v>
      </c>
      <c r="BT430" t="str">
        <f>HYPERLINK("https%3A%2F%2Fwww.webofscience.com%2Fwos%2Fwoscc%2Ffull-record%2FWOS:000842310800001","View Full Record in Web of Science")</f>
        <v>View Full Record in Web of Science</v>
      </c>
    </row>
    <row r="431" spans="1:72" x14ac:dyDescent="0.15">
      <c r="A431" t="s">
        <v>72</v>
      </c>
      <c r="B431" t="s">
        <v>8811</v>
      </c>
      <c r="C431" t="s">
        <v>74</v>
      </c>
      <c r="D431" t="s">
        <v>74</v>
      </c>
      <c r="E431" t="s">
        <v>74</v>
      </c>
      <c r="F431" t="s">
        <v>8812</v>
      </c>
      <c r="G431" t="s">
        <v>74</v>
      </c>
      <c r="H431" t="s">
        <v>74</v>
      </c>
      <c r="I431" t="s">
        <v>8813</v>
      </c>
      <c r="J431" t="s">
        <v>247</v>
      </c>
      <c r="K431" t="s">
        <v>74</v>
      </c>
      <c r="L431" t="s">
        <v>74</v>
      </c>
      <c r="M431" t="s">
        <v>78</v>
      </c>
      <c r="N431" t="s">
        <v>79</v>
      </c>
      <c r="O431" t="s">
        <v>74</v>
      </c>
      <c r="P431" t="s">
        <v>74</v>
      </c>
      <c r="Q431" t="s">
        <v>74</v>
      </c>
      <c r="R431" t="s">
        <v>74</v>
      </c>
      <c r="S431" t="s">
        <v>74</v>
      </c>
      <c r="T431" t="s">
        <v>8814</v>
      </c>
      <c r="U431" t="s">
        <v>8815</v>
      </c>
      <c r="V431" t="s">
        <v>8816</v>
      </c>
      <c r="W431" t="s">
        <v>8817</v>
      </c>
      <c r="X431" t="s">
        <v>8818</v>
      </c>
      <c r="Y431" t="s">
        <v>8819</v>
      </c>
      <c r="Z431" t="s">
        <v>8820</v>
      </c>
      <c r="AA431" t="s">
        <v>8821</v>
      </c>
      <c r="AB431" t="s">
        <v>8822</v>
      </c>
      <c r="AC431" t="s">
        <v>8823</v>
      </c>
      <c r="AD431" t="s">
        <v>8824</v>
      </c>
      <c r="AE431" t="s">
        <v>8825</v>
      </c>
      <c r="AF431" t="s">
        <v>74</v>
      </c>
      <c r="AG431">
        <v>42</v>
      </c>
      <c r="AH431">
        <v>3</v>
      </c>
      <c r="AI431">
        <v>3</v>
      </c>
      <c r="AJ431">
        <v>0</v>
      </c>
      <c r="AK431">
        <v>8</v>
      </c>
      <c r="AL431" t="s">
        <v>121</v>
      </c>
      <c r="AM431" t="s">
        <v>122</v>
      </c>
      <c r="AN431" t="s">
        <v>123</v>
      </c>
      <c r="AO431" t="s">
        <v>74</v>
      </c>
      <c r="AP431" t="s">
        <v>258</v>
      </c>
      <c r="AQ431" t="s">
        <v>74</v>
      </c>
      <c r="AR431" t="s">
        <v>259</v>
      </c>
      <c r="AS431" t="s">
        <v>260</v>
      </c>
      <c r="AT431" t="s">
        <v>8826</v>
      </c>
      <c r="AU431">
        <v>2022</v>
      </c>
      <c r="AV431">
        <v>9</v>
      </c>
      <c r="AW431" t="s">
        <v>74</v>
      </c>
      <c r="AX431" t="s">
        <v>74</v>
      </c>
      <c r="AY431" t="s">
        <v>74</v>
      </c>
      <c r="AZ431" t="s">
        <v>74</v>
      </c>
      <c r="BA431" t="s">
        <v>74</v>
      </c>
      <c r="BB431" t="s">
        <v>74</v>
      </c>
      <c r="BC431" t="s">
        <v>74</v>
      </c>
      <c r="BD431">
        <v>888167</v>
      </c>
      <c r="BE431" t="s">
        <v>8827</v>
      </c>
      <c r="BF431" t="str">
        <f>HYPERLINK("http://dx.doi.org/10.3389/fmars.2022.888167","http://dx.doi.org/10.3389/fmars.2022.888167")</f>
        <v>http://dx.doi.org/10.3389/fmars.2022.888167</v>
      </c>
      <c r="BG431" t="s">
        <v>74</v>
      </c>
      <c r="BH431" t="s">
        <v>74</v>
      </c>
      <c r="BI431">
        <v>16</v>
      </c>
      <c r="BJ431" t="s">
        <v>263</v>
      </c>
      <c r="BK431" t="s">
        <v>100</v>
      </c>
      <c r="BL431" t="s">
        <v>264</v>
      </c>
      <c r="BM431" t="s">
        <v>8828</v>
      </c>
      <c r="BN431" t="s">
        <v>74</v>
      </c>
      <c r="BO431" t="s">
        <v>266</v>
      </c>
      <c r="BP431" t="s">
        <v>74</v>
      </c>
      <c r="BQ431" t="s">
        <v>74</v>
      </c>
      <c r="BR431" t="s">
        <v>103</v>
      </c>
      <c r="BS431" t="s">
        <v>8829</v>
      </c>
      <c r="BT431" t="str">
        <f>HYPERLINK("https%3A%2F%2Fwww.webofscience.com%2Fwos%2Fwoscc%2Ffull-record%2FWOS:000872528800001","View Full Record in Web of Science")</f>
        <v>View Full Record in Web of Science</v>
      </c>
    </row>
    <row r="432" spans="1:72" x14ac:dyDescent="0.15">
      <c r="A432" t="s">
        <v>72</v>
      </c>
      <c r="B432" t="s">
        <v>8830</v>
      </c>
      <c r="C432" t="s">
        <v>74</v>
      </c>
      <c r="D432" t="s">
        <v>74</v>
      </c>
      <c r="E432" t="s">
        <v>74</v>
      </c>
      <c r="F432" t="s">
        <v>8831</v>
      </c>
      <c r="G432" t="s">
        <v>74</v>
      </c>
      <c r="H432" t="s">
        <v>74</v>
      </c>
      <c r="I432" t="s">
        <v>8832</v>
      </c>
      <c r="J432" t="s">
        <v>8833</v>
      </c>
      <c r="K432" t="s">
        <v>74</v>
      </c>
      <c r="L432" t="s">
        <v>74</v>
      </c>
      <c r="M432" t="s">
        <v>78</v>
      </c>
      <c r="N432" t="s">
        <v>79</v>
      </c>
      <c r="O432" t="s">
        <v>74</v>
      </c>
      <c r="P432" t="s">
        <v>74</v>
      </c>
      <c r="Q432" t="s">
        <v>74</v>
      </c>
      <c r="R432" t="s">
        <v>74</v>
      </c>
      <c r="S432" t="s">
        <v>74</v>
      </c>
      <c r="T432" t="s">
        <v>74</v>
      </c>
      <c r="U432" t="s">
        <v>8834</v>
      </c>
      <c r="V432" t="s">
        <v>8835</v>
      </c>
      <c r="W432" t="s">
        <v>8836</v>
      </c>
      <c r="X432" t="s">
        <v>8837</v>
      </c>
      <c r="Y432" t="s">
        <v>8838</v>
      </c>
      <c r="Z432" t="s">
        <v>8839</v>
      </c>
      <c r="AA432" t="s">
        <v>8840</v>
      </c>
      <c r="AB432" t="s">
        <v>8841</v>
      </c>
      <c r="AC432" t="s">
        <v>8842</v>
      </c>
      <c r="AD432" t="s">
        <v>8843</v>
      </c>
      <c r="AE432" t="s">
        <v>8844</v>
      </c>
      <c r="AF432" t="s">
        <v>74</v>
      </c>
      <c r="AG432">
        <v>112</v>
      </c>
      <c r="AH432">
        <v>8</v>
      </c>
      <c r="AI432">
        <v>8</v>
      </c>
      <c r="AJ432">
        <v>6</v>
      </c>
      <c r="AK432">
        <v>25</v>
      </c>
      <c r="AL432" t="s">
        <v>2876</v>
      </c>
      <c r="AM432" t="s">
        <v>346</v>
      </c>
      <c r="AN432" t="s">
        <v>2877</v>
      </c>
      <c r="AO432" t="s">
        <v>8845</v>
      </c>
      <c r="AP432" t="s">
        <v>8846</v>
      </c>
      <c r="AQ432" t="s">
        <v>74</v>
      </c>
      <c r="AR432" t="s">
        <v>8833</v>
      </c>
      <c r="AS432" t="s">
        <v>8847</v>
      </c>
      <c r="AT432" t="s">
        <v>8826</v>
      </c>
      <c r="AU432">
        <v>2022</v>
      </c>
      <c r="AV432">
        <v>5</v>
      </c>
      <c r="AW432">
        <v>8</v>
      </c>
      <c r="AX432" t="s">
        <v>74</v>
      </c>
      <c r="AY432" t="s">
        <v>74</v>
      </c>
      <c r="AZ432" t="s">
        <v>74</v>
      </c>
      <c r="BA432" t="s">
        <v>74</v>
      </c>
      <c r="BB432">
        <v>861</v>
      </c>
      <c r="BC432">
        <v>874</v>
      </c>
      <c r="BD432" t="s">
        <v>74</v>
      </c>
      <c r="BE432" t="s">
        <v>8848</v>
      </c>
      <c r="BF432" t="str">
        <f>HYPERLINK("http://dx.doi.org/10.1016/j.oneear.2022.07.007","http://dx.doi.org/10.1016/j.oneear.2022.07.007")</f>
        <v>http://dx.doi.org/10.1016/j.oneear.2022.07.007</v>
      </c>
      <c r="BG432" t="s">
        <v>74</v>
      </c>
      <c r="BH432" t="s">
        <v>7628</v>
      </c>
      <c r="BI432">
        <v>14</v>
      </c>
      <c r="BJ432" t="s">
        <v>8849</v>
      </c>
      <c r="BK432" t="s">
        <v>2332</v>
      </c>
      <c r="BL432" t="s">
        <v>8850</v>
      </c>
      <c r="BM432" t="s">
        <v>8851</v>
      </c>
      <c r="BN432" t="s">
        <v>74</v>
      </c>
      <c r="BO432" t="s">
        <v>831</v>
      </c>
      <c r="BP432" t="s">
        <v>74</v>
      </c>
      <c r="BQ432" t="s">
        <v>74</v>
      </c>
      <c r="BR432" t="s">
        <v>103</v>
      </c>
      <c r="BS432" t="s">
        <v>8852</v>
      </c>
      <c r="BT432" t="str">
        <f>HYPERLINK("https%3A%2F%2Fwww.webofscience.com%2Fwos%2Fwoscc%2Ffull-record%2FWOS:000863201200009","View Full Record in Web of Science")</f>
        <v>View Full Record in Web of Science</v>
      </c>
    </row>
    <row r="433" spans="1:72" x14ac:dyDescent="0.15">
      <c r="A433" t="s">
        <v>72</v>
      </c>
      <c r="B433" t="s">
        <v>8853</v>
      </c>
      <c r="C433" t="s">
        <v>74</v>
      </c>
      <c r="D433" t="s">
        <v>74</v>
      </c>
      <c r="E433" t="s">
        <v>74</v>
      </c>
      <c r="F433" t="s">
        <v>8854</v>
      </c>
      <c r="G433" t="s">
        <v>74</v>
      </c>
      <c r="H433" t="s">
        <v>74</v>
      </c>
      <c r="I433" t="s">
        <v>8855</v>
      </c>
      <c r="J433" t="s">
        <v>7990</v>
      </c>
      <c r="K433" t="s">
        <v>74</v>
      </c>
      <c r="L433" t="s">
        <v>74</v>
      </c>
      <c r="M433" t="s">
        <v>78</v>
      </c>
      <c r="N433" t="s">
        <v>79</v>
      </c>
      <c r="O433" t="s">
        <v>74</v>
      </c>
      <c r="P433" t="s">
        <v>74</v>
      </c>
      <c r="Q433" t="s">
        <v>74</v>
      </c>
      <c r="R433" t="s">
        <v>74</v>
      </c>
      <c r="S433" t="s">
        <v>74</v>
      </c>
      <c r="T433" t="s">
        <v>8856</v>
      </c>
      <c r="U433" t="s">
        <v>8857</v>
      </c>
      <c r="V433" t="s">
        <v>8858</v>
      </c>
      <c r="W433" t="s">
        <v>8859</v>
      </c>
      <c r="X433" t="s">
        <v>8860</v>
      </c>
      <c r="Y433" t="s">
        <v>8861</v>
      </c>
      <c r="Z433" t="s">
        <v>8862</v>
      </c>
      <c r="AA433" t="s">
        <v>74</v>
      </c>
      <c r="AB433" t="s">
        <v>74</v>
      </c>
      <c r="AC433" t="s">
        <v>8863</v>
      </c>
      <c r="AD433" t="s">
        <v>8864</v>
      </c>
      <c r="AE433" t="s">
        <v>8865</v>
      </c>
      <c r="AF433" t="s">
        <v>74</v>
      </c>
      <c r="AG433">
        <v>60</v>
      </c>
      <c r="AH433">
        <v>0</v>
      </c>
      <c r="AI433">
        <v>0</v>
      </c>
      <c r="AJ433">
        <v>3</v>
      </c>
      <c r="AK433">
        <v>11</v>
      </c>
      <c r="AL433" t="s">
        <v>501</v>
      </c>
      <c r="AM433" t="s">
        <v>502</v>
      </c>
      <c r="AN433" t="s">
        <v>503</v>
      </c>
      <c r="AO433" t="s">
        <v>8002</v>
      </c>
      <c r="AP433" t="s">
        <v>8003</v>
      </c>
      <c r="AQ433" t="s">
        <v>74</v>
      </c>
      <c r="AR433" t="s">
        <v>8004</v>
      </c>
      <c r="AS433" t="s">
        <v>8005</v>
      </c>
      <c r="AT433" t="s">
        <v>428</v>
      </c>
      <c r="AU433">
        <v>2022</v>
      </c>
      <c r="AV433">
        <v>49</v>
      </c>
      <c r="AW433" t="s">
        <v>74</v>
      </c>
      <c r="AX433" t="s">
        <v>74</v>
      </c>
      <c r="AY433" t="s">
        <v>74</v>
      </c>
      <c r="AZ433" t="s">
        <v>74</v>
      </c>
      <c r="BA433" t="s">
        <v>74</v>
      </c>
      <c r="BB433" t="s">
        <v>74</v>
      </c>
      <c r="BC433" t="s">
        <v>74</v>
      </c>
      <c r="BD433">
        <v>101942</v>
      </c>
      <c r="BE433" t="s">
        <v>8866</v>
      </c>
      <c r="BF433" t="str">
        <f>HYPERLINK("http://dx.doi.org/10.1016/j.fbio.2022.101942","http://dx.doi.org/10.1016/j.fbio.2022.101942")</f>
        <v>http://dx.doi.org/10.1016/j.fbio.2022.101942</v>
      </c>
      <c r="BG433" t="s">
        <v>74</v>
      </c>
      <c r="BH433" t="s">
        <v>7628</v>
      </c>
      <c r="BI433">
        <v>11</v>
      </c>
      <c r="BJ433" t="s">
        <v>4486</v>
      </c>
      <c r="BK433" t="s">
        <v>100</v>
      </c>
      <c r="BL433" t="s">
        <v>4486</v>
      </c>
      <c r="BM433" t="s">
        <v>8867</v>
      </c>
      <c r="BN433" t="s">
        <v>74</v>
      </c>
      <c r="BO433" t="s">
        <v>74</v>
      </c>
      <c r="BP433" t="s">
        <v>74</v>
      </c>
      <c r="BQ433" t="s">
        <v>74</v>
      </c>
      <c r="BR433" t="s">
        <v>103</v>
      </c>
      <c r="BS433" t="s">
        <v>8868</v>
      </c>
      <c r="BT433" t="str">
        <f>HYPERLINK("https%3A%2F%2Fwww.webofscience.com%2Fwos%2Fwoscc%2Ffull-record%2FWOS:000861384300010","View Full Record in Web of Science")</f>
        <v>View Full Record in Web of Science</v>
      </c>
    </row>
    <row r="434" spans="1:72" x14ac:dyDescent="0.15">
      <c r="A434" t="s">
        <v>72</v>
      </c>
      <c r="B434" t="s">
        <v>8869</v>
      </c>
      <c r="C434" t="s">
        <v>74</v>
      </c>
      <c r="D434" t="s">
        <v>74</v>
      </c>
      <c r="E434" t="s">
        <v>74</v>
      </c>
      <c r="F434" t="s">
        <v>8870</v>
      </c>
      <c r="G434" t="s">
        <v>74</v>
      </c>
      <c r="H434" t="s">
        <v>74</v>
      </c>
      <c r="I434" t="s">
        <v>8871</v>
      </c>
      <c r="J434" t="s">
        <v>8872</v>
      </c>
      <c r="K434" t="s">
        <v>74</v>
      </c>
      <c r="L434" t="s">
        <v>74</v>
      </c>
      <c r="M434" t="s">
        <v>78</v>
      </c>
      <c r="N434" t="s">
        <v>854</v>
      </c>
      <c r="O434" t="s">
        <v>74</v>
      </c>
      <c r="P434" t="s">
        <v>74</v>
      </c>
      <c r="Q434" t="s">
        <v>74</v>
      </c>
      <c r="R434" t="s">
        <v>74</v>
      </c>
      <c r="S434" t="s">
        <v>74</v>
      </c>
      <c r="T434" t="s">
        <v>74</v>
      </c>
      <c r="U434" t="s">
        <v>74</v>
      </c>
      <c r="V434" t="s">
        <v>74</v>
      </c>
      <c r="W434" t="s">
        <v>8873</v>
      </c>
      <c r="X434" t="s">
        <v>8874</v>
      </c>
      <c r="Y434" t="s">
        <v>8875</v>
      </c>
      <c r="Z434" t="s">
        <v>8876</v>
      </c>
      <c r="AA434" t="s">
        <v>74</v>
      </c>
      <c r="AB434" t="s">
        <v>8877</v>
      </c>
      <c r="AC434" t="s">
        <v>74</v>
      </c>
      <c r="AD434" t="s">
        <v>74</v>
      </c>
      <c r="AE434" t="s">
        <v>74</v>
      </c>
      <c r="AF434" t="s">
        <v>74</v>
      </c>
      <c r="AG434">
        <v>1</v>
      </c>
      <c r="AH434">
        <v>0</v>
      </c>
      <c r="AI434">
        <v>0</v>
      </c>
      <c r="AJ434">
        <v>0</v>
      </c>
      <c r="AK434">
        <v>0</v>
      </c>
      <c r="AL434" t="s">
        <v>3827</v>
      </c>
      <c r="AM434" t="s">
        <v>3828</v>
      </c>
      <c r="AN434" t="s">
        <v>3829</v>
      </c>
      <c r="AO434" t="s">
        <v>8878</v>
      </c>
      <c r="AP434" t="s">
        <v>8879</v>
      </c>
      <c r="AQ434" t="s">
        <v>74</v>
      </c>
      <c r="AR434" t="s">
        <v>8880</v>
      </c>
      <c r="AS434" t="s">
        <v>8881</v>
      </c>
      <c r="AT434" t="s">
        <v>371</v>
      </c>
      <c r="AU434">
        <v>2021</v>
      </c>
      <c r="AV434">
        <v>58</v>
      </c>
      <c r="AW434">
        <v>4</v>
      </c>
      <c r="AX434" t="s">
        <v>74</v>
      </c>
      <c r="AY434" t="s">
        <v>74</v>
      </c>
      <c r="AZ434" t="s">
        <v>74</v>
      </c>
      <c r="BA434" t="s">
        <v>74</v>
      </c>
      <c r="BB434">
        <v>368</v>
      </c>
      <c r="BC434">
        <v>369</v>
      </c>
      <c r="BD434" t="s">
        <v>74</v>
      </c>
      <c r="BE434" t="s">
        <v>8882</v>
      </c>
      <c r="BF434" t="str">
        <f>HYPERLINK("http://dx.doi.org/10.1080/00087041.2022.2071875","http://dx.doi.org/10.1080/00087041.2022.2071875")</f>
        <v>http://dx.doi.org/10.1080/00087041.2022.2071875</v>
      </c>
      <c r="BG434" t="s">
        <v>74</v>
      </c>
      <c r="BH434" t="s">
        <v>7628</v>
      </c>
      <c r="BI434">
        <v>2</v>
      </c>
      <c r="BJ434" t="s">
        <v>7486</v>
      </c>
      <c r="BK434" t="s">
        <v>2257</v>
      </c>
      <c r="BL434" t="s">
        <v>7486</v>
      </c>
      <c r="BM434" t="s">
        <v>8883</v>
      </c>
      <c r="BN434" t="s">
        <v>74</v>
      </c>
      <c r="BO434" t="s">
        <v>74</v>
      </c>
      <c r="BP434" t="s">
        <v>74</v>
      </c>
      <c r="BQ434" t="s">
        <v>74</v>
      </c>
      <c r="BR434" t="s">
        <v>103</v>
      </c>
      <c r="BS434" t="s">
        <v>8884</v>
      </c>
      <c r="BT434" t="str">
        <f>HYPERLINK("https%3A%2F%2Fwww.webofscience.com%2Fwos%2Fwoscc%2Ffull-record%2FWOS:000854599600001","View Full Record in Web of Science")</f>
        <v>View Full Record in Web of Science</v>
      </c>
    </row>
    <row r="435" spans="1:72" x14ac:dyDescent="0.15">
      <c r="A435" t="s">
        <v>72</v>
      </c>
      <c r="B435" t="s">
        <v>8885</v>
      </c>
      <c r="C435" t="s">
        <v>74</v>
      </c>
      <c r="D435" t="s">
        <v>74</v>
      </c>
      <c r="E435" t="s">
        <v>74</v>
      </c>
      <c r="F435" t="s">
        <v>8886</v>
      </c>
      <c r="G435" t="s">
        <v>74</v>
      </c>
      <c r="H435" t="s">
        <v>74</v>
      </c>
      <c r="I435" t="s">
        <v>8887</v>
      </c>
      <c r="J435" t="s">
        <v>8888</v>
      </c>
      <c r="K435" t="s">
        <v>74</v>
      </c>
      <c r="L435" t="s">
        <v>74</v>
      </c>
      <c r="M435" t="s">
        <v>78</v>
      </c>
      <c r="N435" t="s">
        <v>79</v>
      </c>
      <c r="O435" t="s">
        <v>74</v>
      </c>
      <c r="P435" t="s">
        <v>74</v>
      </c>
      <c r="Q435" t="s">
        <v>74</v>
      </c>
      <c r="R435" t="s">
        <v>74</v>
      </c>
      <c r="S435" t="s">
        <v>74</v>
      </c>
      <c r="T435" t="s">
        <v>8889</v>
      </c>
      <c r="U435" t="s">
        <v>8890</v>
      </c>
      <c r="V435" t="s">
        <v>8891</v>
      </c>
      <c r="W435" t="s">
        <v>8892</v>
      </c>
      <c r="X435" t="s">
        <v>8893</v>
      </c>
      <c r="Y435" t="s">
        <v>8894</v>
      </c>
      <c r="Z435" t="s">
        <v>8895</v>
      </c>
      <c r="AA435" t="s">
        <v>8896</v>
      </c>
      <c r="AB435" t="s">
        <v>8897</v>
      </c>
      <c r="AC435" t="s">
        <v>8898</v>
      </c>
      <c r="AD435" t="s">
        <v>8899</v>
      </c>
      <c r="AE435" t="s">
        <v>8900</v>
      </c>
      <c r="AF435" t="s">
        <v>74</v>
      </c>
      <c r="AG435">
        <v>112</v>
      </c>
      <c r="AH435">
        <v>11</v>
      </c>
      <c r="AI435">
        <v>11</v>
      </c>
      <c r="AJ435">
        <v>6</v>
      </c>
      <c r="AK435">
        <v>15</v>
      </c>
      <c r="AL435" t="s">
        <v>501</v>
      </c>
      <c r="AM435" t="s">
        <v>502</v>
      </c>
      <c r="AN435" t="s">
        <v>503</v>
      </c>
      <c r="AO435" t="s">
        <v>8901</v>
      </c>
      <c r="AP435" t="s">
        <v>8902</v>
      </c>
      <c r="AQ435" t="s">
        <v>74</v>
      </c>
      <c r="AR435" t="s">
        <v>8903</v>
      </c>
      <c r="AS435" t="s">
        <v>8904</v>
      </c>
      <c r="AT435" t="s">
        <v>2281</v>
      </c>
      <c r="AU435">
        <v>2022</v>
      </c>
      <c r="AV435">
        <v>71</v>
      </c>
      <c r="AW435" t="s">
        <v>74</v>
      </c>
      <c r="AX435" t="s">
        <v>74</v>
      </c>
      <c r="AY435" t="s">
        <v>74</v>
      </c>
      <c r="AZ435" t="s">
        <v>74</v>
      </c>
      <c r="BA435" t="s">
        <v>74</v>
      </c>
      <c r="BB435" t="s">
        <v>74</v>
      </c>
      <c r="BC435" t="s">
        <v>74</v>
      </c>
      <c r="BD435">
        <v>101768</v>
      </c>
      <c r="BE435" t="s">
        <v>8905</v>
      </c>
      <c r="BF435" t="str">
        <f>HYPERLINK("http://dx.doi.org/10.1016/j.ecoinf.2022.101768","http://dx.doi.org/10.1016/j.ecoinf.2022.101768")</f>
        <v>http://dx.doi.org/10.1016/j.ecoinf.2022.101768</v>
      </c>
      <c r="BG435" t="s">
        <v>74</v>
      </c>
      <c r="BH435" t="s">
        <v>7628</v>
      </c>
      <c r="BI435">
        <v>14</v>
      </c>
      <c r="BJ435" t="s">
        <v>3900</v>
      </c>
      <c r="BK435" t="s">
        <v>100</v>
      </c>
      <c r="BL435" t="s">
        <v>2041</v>
      </c>
      <c r="BM435" t="s">
        <v>8906</v>
      </c>
      <c r="BN435" t="s">
        <v>74</v>
      </c>
      <c r="BO435" t="s">
        <v>74</v>
      </c>
      <c r="BP435" t="s">
        <v>74</v>
      </c>
      <c r="BQ435" t="s">
        <v>74</v>
      </c>
      <c r="BR435" t="s">
        <v>103</v>
      </c>
      <c r="BS435" t="s">
        <v>8907</v>
      </c>
      <c r="BT435" t="str">
        <f>HYPERLINK("https%3A%2F%2Fwww.webofscience.com%2Fwos%2Fwoscc%2Ffull-record%2FWOS:000848170800008","View Full Record in Web of Science")</f>
        <v>View Full Record in Web of Science</v>
      </c>
    </row>
    <row r="436" spans="1:72" x14ac:dyDescent="0.15">
      <c r="A436" t="s">
        <v>72</v>
      </c>
      <c r="B436" t="s">
        <v>8908</v>
      </c>
      <c r="C436" t="s">
        <v>74</v>
      </c>
      <c r="D436" t="s">
        <v>74</v>
      </c>
      <c r="E436" t="s">
        <v>74</v>
      </c>
      <c r="F436" t="s">
        <v>8909</v>
      </c>
      <c r="G436" t="s">
        <v>74</v>
      </c>
      <c r="H436" t="s">
        <v>74</v>
      </c>
      <c r="I436" t="s">
        <v>8910</v>
      </c>
      <c r="J436" t="s">
        <v>2849</v>
      </c>
      <c r="K436" t="s">
        <v>74</v>
      </c>
      <c r="L436" t="s">
        <v>74</v>
      </c>
      <c r="M436" t="s">
        <v>78</v>
      </c>
      <c r="N436" t="s">
        <v>79</v>
      </c>
      <c r="O436" t="s">
        <v>74</v>
      </c>
      <c r="P436" t="s">
        <v>74</v>
      </c>
      <c r="Q436" t="s">
        <v>74</v>
      </c>
      <c r="R436" t="s">
        <v>74</v>
      </c>
      <c r="S436" t="s">
        <v>74</v>
      </c>
      <c r="T436" t="s">
        <v>8911</v>
      </c>
      <c r="U436" t="s">
        <v>8912</v>
      </c>
      <c r="V436" t="s">
        <v>8913</v>
      </c>
      <c r="W436" t="s">
        <v>8914</v>
      </c>
      <c r="X436" t="s">
        <v>8915</v>
      </c>
      <c r="Y436" t="s">
        <v>8916</v>
      </c>
      <c r="Z436" t="s">
        <v>8917</v>
      </c>
      <c r="AA436" t="s">
        <v>74</v>
      </c>
      <c r="AB436" t="s">
        <v>8918</v>
      </c>
      <c r="AC436" t="s">
        <v>8919</v>
      </c>
      <c r="AD436" t="s">
        <v>8920</v>
      </c>
      <c r="AE436" t="s">
        <v>8921</v>
      </c>
      <c r="AF436" t="s">
        <v>74</v>
      </c>
      <c r="AG436">
        <v>74</v>
      </c>
      <c r="AH436">
        <v>4</v>
      </c>
      <c r="AI436">
        <v>4</v>
      </c>
      <c r="AJ436">
        <v>3</v>
      </c>
      <c r="AK436">
        <v>10</v>
      </c>
      <c r="AL436" t="s">
        <v>2249</v>
      </c>
      <c r="AM436" t="s">
        <v>90</v>
      </c>
      <c r="AN436" t="s">
        <v>2250</v>
      </c>
      <c r="AO436" t="s">
        <v>2862</v>
      </c>
      <c r="AP436" t="s">
        <v>2863</v>
      </c>
      <c r="AQ436" t="s">
        <v>74</v>
      </c>
      <c r="AR436" t="s">
        <v>2864</v>
      </c>
      <c r="AS436" t="s">
        <v>2865</v>
      </c>
      <c r="AT436" t="s">
        <v>3605</v>
      </c>
      <c r="AU436">
        <v>2022</v>
      </c>
      <c r="AV436">
        <v>177</v>
      </c>
      <c r="AW436" t="s">
        <v>74</v>
      </c>
      <c r="AX436" t="s">
        <v>74</v>
      </c>
      <c r="AY436" t="s">
        <v>74</v>
      </c>
      <c r="AZ436" t="s">
        <v>74</v>
      </c>
      <c r="BA436" t="s">
        <v>74</v>
      </c>
      <c r="BB436" t="s">
        <v>74</v>
      </c>
      <c r="BC436" t="s">
        <v>74</v>
      </c>
      <c r="BD436">
        <v>102090</v>
      </c>
      <c r="BE436" t="s">
        <v>8922</v>
      </c>
      <c r="BF436" t="str">
        <f>HYPERLINK("http://dx.doi.org/10.1016/j.ocemod.2022.102090","http://dx.doi.org/10.1016/j.ocemod.2022.102090")</f>
        <v>http://dx.doi.org/10.1016/j.ocemod.2022.102090</v>
      </c>
      <c r="BG436" t="s">
        <v>74</v>
      </c>
      <c r="BH436" t="s">
        <v>7628</v>
      </c>
      <c r="BI436">
        <v>14</v>
      </c>
      <c r="BJ436" t="s">
        <v>1033</v>
      </c>
      <c r="BK436" t="s">
        <v>100</v>
      </c>
      <c r="BL436" t="s">
        <v>1033</v>
      </c>
      <c r="BM436" t="s">
        <v>8923</v>
      </c>
      <c r="BN436" t="s">
        <v>74</v>
      </c>
      <c r="BO436" t="s">
        <v>831</v>
      </c>
      <c r="BP436" t="s">
        <v>74</v>
      </c>
      <c r="BQ436" t="s">
        <v>74</v>
      </c>
      <c r="BR436" t="s">
        <v>103</v>
      </c>
      <c r="BS436" t="s">
        <v>8924</v>
      </c>
      <c r="BT436" t="str">
        <f>HYPERLINK("https%3A%2F%2Fwww.webofscience.com%2Fwos%2Fwoscc%2Ffull-record%2FWOS:000848479800002","View Full Record in Web of Science")</f>
        <v>View Full Record in Web of Science</v>
      </c>
    </row>
    <row r="437" spans="1:72" x14ac:dyDescent="0.15">
      <c r="A437" t="s">
        <v>72</v>
      </c>
      <c r="B437" t="s">
        <v>8925</v>
      </c>
      <c r="C437" t="s">
        <v>74</v>
      </c>
      <c r="D437" t="s">
        <v>74</v>
      </c>
      <c r="E437" t="s">
        <v>74</v>
      </c>
      <c r="F437" t="s">
        <v>8926</v>
      </c>
      <c r="G437" t="s">
        <v>74</v>
      </c>
      <c r="H437" t="s">
        <v>74</v>
      </c>
      <c r="I437" t="s">
        <v>8927</v>
      </c>
      <c r="J437" t="s">
        <v>3124</v>
      </c>
      <c r="K437" t="s">
        <v>74</v>
      </c>
      <c r="L437" t="s">
        <v>74</v>
      </c>
      <c r="M437" t="s">
        <v>78</v>
      </c>
      <c r="N437" t="s">
        <v>79</v>
      </c>
      <c r="O437" t="s">
        <v>74</v>
      </c>
      <c r="P437" t="s">
        <v>74</v>
      </c>
      <c r="Q437" t="s">
        <v>74</v>
      </c>
      <c r="R437" t="s">
        <v>74</v>
      </c>
      <c r="S437" t="s">
        <v>74</v>
      </c>
      <c r="T437" t="s">
        <v>74</v>
      </c>
      <c r="U437" t="s">
        <v>8928</v>
      </c>
      <c r="V437" t="s">
        <v>8929</v>
      </c>
      <c r="W437" t="s">
        <v>8930</v>
      </c>
      <c r="X437" t="s">
        <v>8931</v>
      </c>
      <c r="Y437" t="s">
        <v>8932</v>
      </c>
      <c r="Z437" t="s">
        <v>8933</v>
      </c>
      <c r="AA437" t="s">
        <v>8934</v>
      </c>
      <c r="AB437" t="s">
        <v>8935</v>
      </c>
      <c r="AC437" t="s">
        <v>8936</v>
      </c>
      <c r="AD437" t="s">
        <v>8937</v>
      </c>
      <c r="AE437" t="s">
        <v>8938</v>
      </c>
      <c r="AF437" t="s">
        <v>74</v>
      </c>
      <c r="AG437">
        <v>139</v>
      </c>
      <c r="AH437">
        <v>19</v>
      </c>
      <c r="AI437">
        <v>20</v>
      </c>
      <c r="AJ437">
        <v>7</v>
      </c>
      <c r="AK437">
        <v>37</v>
      </c>
      <c r="AL437" t="s">
        <v>2108</v>
      </c>
      <c r="AM437" t="s">
        <v>207</v>
      </c>
      <c r="AN437" t="s">
        <v>2109</v>
      </c>
      <c r="AO437" t="s">
        <v>3136</v>
      </c>
      <c r="AP437" t="s">
        <v>74</v>
      </c>
      <c r="AQ437" t="s">
        <v>74</v>
      </c>
      <c r="AR437" t="s">
        <v>3137</v>
      </c>
      <c r="AS437" t="s">
        <v>3138</v>
      </c>
      <c r="AT437" t="s">
        <v>8826</v>
      </c>
      <c r="AU437">
        <v>2022</v>
      </c>
      <c r="AV437">
        <v>8</v>
      </c>
      <c r="AW437">
        <v>33</v>
      </c>
      <c r="AX437" t="s">
        <v>74</v>
      </c>
      <c r="AY437" t="s">
        <v>74</v>
      </c>
      <c r="AZ437" t="s">
        <v>74</v>
      </c>
      <c r="BA437" t="s">
        <v>74</v>
      </c>
      <c r="BB437" t="s">
        <v>74</v>
      </c>
      <c r="BC437" t="s">
        <v>74</v>
      </c>
      <c r="BD437" t="s">
        <v>8939</v>
      </c>
      <c r="BE437" t="s">
        <v>8940</v>
      </c>
      <c r="BF437" t="str">
        <f>HYPERLINK("http://dx.doi.org/10.1126/sciadv.abo1754","http://dx.doi.org/10.1126/sciadv.abo1754")</f>
        <v>http://dx.doi.org/10.1126/sciadv.abo1754</v>
      </c>
      <c r="BG437" t="s">
        <v>74</v>
      </c>
      <c r="BH437" t="s">
        <v>74</v>
      </c>
      <c r="BI437">
        <v>19</v>
      </c>
      <c r="BJ437" t="s">
        <v>156</v>
      </c>
      <c r="BK437" t="s">
        <v>100</v>
      </c>
      <c r="BL437" t="s">
        <v>157</v>
      </c>
      <c r="BM437" t="s">
        <v>8941</v>
      </c>
      <c r="BN437">
        <v>35984887</v>
      </c>
      <c r="BO437" t="s">
        <v>8942</v>
      </c>
      <c r="BP437" t="s">
        <v>74</v>
      </c>
      <c r="BQ437" t="s">
        <v>74</v>
      </c>
      <c r="BR437" t="s">
        <v>103</v>
      </c>
      <c r="BS437" t="s">
        <v>8943</v>
      </c>
      <c r="BT437" t="str">
        <f>HYPERLINK("https%3A%2F%2Fwww.webofscience.com%2Fwos%2Fwoscc%2Ffull-record%2FWOS:000842064500017","View Full Record in Web of Science")</f>
        <v>View Full Record in Web of Science</v>
      </c>
    </row>
    <row r="438" spans="1:72" x14ac:dyDescent="0.15">
      <c r="A438" t="s">
        <v>72</v>
      </c>
      <c r="B438" t="s">
        <v>8944</v>
      </c>
      <c r="C438" t="s">
        <v>74</v>
      </c>
      <c r="D438" t="s">
        <v>74</v>
      </c>
      <c r="E438" t="s">
        <v>74</v>
      </c>
      <c r="F438" t="s">
        <v>8945</v>
      </c>
      <c r="G438" t="s">
        <v>74</v>
      </c>
      <c r="H438" t="s">
        <v>74</v>
      </c>
      <c r="I438" t="s">
        <v>8946</v>
      </c>
      <c r="J438" t="s">
        <v>8947</v>
      </c>
      <c r="K438" t="s">
        <v>74</v>
      </c>
      <c r="L438" t="s">
        <v>74</v>
      </c>
      <c r="M438" t="s">
        <v>78</v>
      </c>
      <c r="N438" t="s">
        <v>79</v>
      </c>
      <c r="O438" t="s">
        <v>74</v>
      </c>
      <c r="P438" t="s">
        <v>74</v>
      </c>
      <c r="Q438" t="s">
        <v>74</v>
      </c>
      <c r="R438" t="s">
        <v>74</v>
      </c>
      <c r="S438" t="s">
        <v>74</v>
      </c>
      <c r="T438" t="s">
        <v>8948</v>
      </c>
      <c r="U438" t="s">
        <v>8949</v>
      </c>
      <c r="V438" t="s">
        <v>8950</v>
      </c>
      <c r="W438" t="s">
        <v>8951</v>
      </c>
      <c r="X438" t="s">
        <v>8952</v>
      </c>
      <c r="Y438" t="s">
        <v>8953</v>
      </c>
      <c r="Z438" t="s">
        <v>3291</v>
      </c>
      <c r="AA438" t="s">
        <v>8954</v>
      </c>
      <c r="AB438" t="s">
        <v>8955</v>
      </c>
      <c r="AC438" t="s">
        <v>74</v>
      </c>
      <c r="AD438" t="s">
        <v>74</v>
      </c>
      <c r="AE438" t="s">
        <v>74</v>
      </c>
      <c r="AF438" t="s">
        <v>74</v>
      </c>
      <c r="AG438">
        <v>73</v>
      </c>
      <c r="AH438">
        <v>0</v>
      </c>
      <c r="AI438">
        <v>0</v>
      </c>
      <c r="AJ438">
        <v>2</v>
      </c>
      <c r="AK438">
        <v>5</v>
      </c>
      <c r="AL438" t="s">
        <v>3827</v>
      </c>
      <c r="AM438" t="s">
        <v>3828</v>
      </c>
      <c r="AN438" t="s">
        <v>3829</v>
      </c>
      <c r="AO438" t="s">
        <v>8956</v>
      </c>
      <c r="AP438" t="s">
        <v>8957</v>
      </c>
      <c r="AQ438" t="s">
        <v>74</v>
      </c>
      <c r="AR438" t="s">
        <v>8958</v>
      </c>
      <c r="AS438" t="s">
        <v>8959</v>
      </c>
      <c r="AT438" t="s">
        <v>8960</v>
      </c>
      <c r="AU438">
        <v>2023</v>
      </c>
      <c r="AV438">
        <v>32</v>
      </c>
      <c r="AW438">
        <v>3</v>
      </c>
      <c r="AX438" t="s">
        <v>74</v>
      </c>
      <c r="AY438" t="s">
        <v>74</v>
      </c>
      <c r="AZ438" t="s">
        <v>74</v>
      </c>
      <c r="BA438" t="s">
        <v>74</v>
      </c>
      <c r="BB438">
        <v>261</v>
      </c>
      <c r="BC438">
        <v>283</v>
      </c>
      <c r="BD438" t="s">
        <v>74</v>
      </c>
      <c r="BE438" t="s">
        <v>8961</v>
      </c>
      <c r="BF438" t="str">
        <f>HYPERLINK("http://dx.doi.org/10.1080/09524622.2022.2108145","http://dx.doi.org/10.1080/09524622.2022.2108145")</f>
        <v>http://dx.doi.org/10.1080/09524622.2022.2108145</v>
      </c>
      <c r="BG438" t="s">
        <v>74</v>
      </c>
      <c r="BH438" t="s">
        <v>7628</v>
      </c>
      <c r="BI438">
        <v>23</v>
      </c>
      <c r="BJ438" t="s">
        <v>2211</v>
      </c>
      <c r="BK438" t="s">
        <v>100</v>
      </c>
      <c r="BL438" t="s">
        <v>2211</v>
      </c>
      <c r="BM438" t="s">
        <v>8962</v>
      </c>
      <c r="BN438" t="s">
        <v>74</v>
      </c>
      <c r="BO438" t="s">
        <v>3327</v>
      </c>
      <c r="BP438" t="s">
        <v>74</v>
      </c>
      <c r="BQ438" t="s">
        <v>74</v>
      </c>
      <c r="BR438" t="s">
        <v>103</v>
      </c>
      <c r="BS438" t="s">
        <v>8963</v>
      </c>
      <c r="BT438" t="str">
        <f>HYPERLINK("https%3A%2F%2Fwww.webofscience.com%2Fwos%2Fwoscc%2Ffull-record%2FWOS:000841859500001","View Full Record in Web of Science")</f>
        <v>View Full Record in Web of Science</v>
      </c>
    </row>
    <row r="439" spans="1:72" x14ac:dyDescent="0.15">
      <c r="A439" t="s">
        <v>72</v>
      </c>
      <c r="B439" t="s">
        <v>8964</v>
      </c>
      <c r="C439" t="s">
        <v>74</v>
      </c>
      <c r="D439" t="s">
        <v>74</v>
      </c>
      <c r="E439" t="s">
        <v>74</v>
      </c>
      <c r="F439" t="s">
        <v>8965</v>
      </c>
      <c r="G439" t="s">
        <v>74</v>
      </c>
      <c r="H439" t="s">
        <v>74</v>
      </c>
      <c r="I439" t="s">
        <v>8966</v>
      </c>
      <c r="J439" t="s">
        <v>8967</v>
      </c>
      <c r="K439" t="s">
        <v>74</v>
      </c>
      <c r="L439" t="s">
        <v>74</v>
      </c>
      <c r="M439" t="s">
        <v>78</v>
      </c>
      <c r="N439" t="s">
        <v>79</v>
      </c>
      <c r="O439" t="s">
        <v>74</v>
      </c>
      <c r="P439" t="s">
        <v>74</v>
      </c>
      <c r="Q439" t="s">
        <v>74</v>
      </c>
      <c r="R439" t="s">
        <v>74</v>
      </c>
      <c r="S439" t="s">
        <v>74</v>
      </c>
      <c r="T439" t="s">
        <v>8968</v>
      </c>
      <c r="U439" t="s">
        <v>8969</v>
      </c>
      <c r="V439" t="s">
        <v>8970</v>
      </c>
      <c r="W439" t="s">
        <v>8971</v>
      </c>
      <c r="X439" t="s">
        <v>8972</v>
      </c>
      <c r="Y439" t="s">
        <v>8973</v>
      </c>
      <c r="Z439" t="s">
        <v>8974</v>
      </c>
      <c r="AA439" t="s">
        <v>74</v>
      </c>
      <c r="AB439" t="s">
        <v>74</v>
      </c>
      <c r="AC439" t="s">
        <v>8975</v>
      </c>
      <c r="AD439" t="s">
        <v>8976</v>
      </c>
      <c r="AE439" t="s">
        <v>8977</v>
      </c>
      <c r="AF439" t="s">
        <v>74</v>
      </c>
      <c r="AG439">
        <v>66</v>
      </c>
      <c r="AH439">
        <v>19</v>
      </c>
      <c r="AI439">
        <v>20</v>
      </c>
      <c r="AJ439">
        <v>6</v>
      </c>
      <c r="AK439">
        <v>16</v>
      </c>
      <c r="AL439" t="s">
        <v>8978</v>
      </c>
      <c r="AM439" t="s">
        <v>207</v>
      </c>
      <c r="AN439" t="s">
        <v>8979</v>
      </c>
      <c r="AO439" t="s">
        <v>8980</v>
      </c>
      <c r="AP439" t="s">
        <v>8981</v>
      </c>
      <c r="AQ439" t="s">
        <v>74</v>
      </c>
      <c r="AR439" t="s">
        <v>8982</v>
      </c>
      <c r="AS439" t="s">
        <v>8983</v>
      </c>
      <c r="AT439" t="s">
        <v>8984</v>
      </c>
      <c r="AU439">
        <v>2022</v>
      </c>
      <c r="AV439">
        <v>119</v>
      </c>
      <c r="AW439">
        <v>35</v>
      </c>
      <c r="AX439" t="s">
        <v>74</v>
      </c>
      <c r="AY439" t="s">
        <v>74</v>
      </c>
      <c r="AZ439" t="s">
        <v>74</v>
      </c>
      <c r="BA439" t="s">
        <v>74</v>
      </c>
      <c r="BB439" t="s">
        <v>74</v>
      </c>
      <c r="BC439" t="s">
        <v>74</v>
      </c>
      <c r="BD439" t="s">
        <v>8985</v>
      </c>
      <c r="BE439" t="s">
        <v>8986</v>
      </c>
      <c r="BF439" t="str">
        <f>HYPERLINK("http://dx.doi.org/10.1073/pnas.2207889119","http://dx.doi.org/10.1073/pnas.2207889119")</f>
        <v>http://dx.doi.org/10.1073/pnas.2207889119</v>
      </c>
      <c r="BG439" t="s">
        <v>74</v>
      </c>
      <c r="BH439" t="s">
        <v>74</v>
      </c>
      <c r="BI439">
        <v>5</v>
      </c>
      <c r="BJ439" t="s">
        <v>156</v>
      </c>
      <c r="BK439" t="s">
        <v>100</v>
      </c>
      <c r="BL439" t="s">
        <v>157</v>
      </c>
      <c r="BM439" t="s">
        <v>8987</v>
      </c>
      <c r="BN439">
        <v>35994640</v>
      </c>
      <c r="BO439" t="s">
        <v>1341</v>
      </c>
      <c r="BP439" t="s">
        <v>74</v>
      </c>
      <c r="BQ439" t="s">
        <v>74</v>
      </c>
      <c r="BR439" t="s">
        <v>103</v>
      </c>
      <c r="BS439" t="s">
        <v>8988</v>
      </c>
      <c r="BT439" t="str">
        <f>HYPERLINK("https%3A%2F%2Fwww.webofscience.com%2Fwos%2Fwoscc%2Ffull-record%2FWOS:000911585800029","View Full Record in Web of Science")</f>
        <v>View Full Record in Web of Science</v>
      </c>
    </row>
    <row r="440" spans="1:72" x14ac:dyDescent="0.15">
      <c r="A440" t="s">
        <v>72</v>
      </c>
      <c r="B440" t="s">
        <v>8989</v>
      </c>
      <c r="C440" t="s">
        <v>74</v>
      </c>
      <c r="D440" t="s">
        <v>74</v>
      </c>
      <c r="E440" t="s">
        <v>74</v>
      </c>
      <c r="F440" t="s">
        <v>8990</v>
      </c>
      <c r="G440" t="s">
        <v>74</v>
      </c>
      <c r="H440" t="s">
        <v>74</v>
      </c>
      <c r="I440" t="s">
        <v>8991</v>
      </c>
      <c r="J440" t="s">
        <v>8992</v>
      </c>
      <c r="K440" t="s">
        <v>74</v>
      </c>
      <c r="L440" t="s">
        <v>74</v>
      </c>
      <c r="M440" t="s">
        <v>78</v>
      </c>
      <c r="N440" t="s">
        <v>79</v>
      </c>
      <c r="O440" t="s">
        <v>74</v>
      </c>
      <c r="P440" t="s">
        <v>74</v>
      </c>
      <c r="Q440" t="s">
        <v>74</v>
      </c>
      <c r="R440" t="s">
        <v>74</v>
      </c>
      <c r="S440" t="s">
        <v>74</v>
      </c>
      <c r="T440" t="s">
        <v>8993</v>
      </c>
      <c r="U440" t="s">
        <v>8994</v>
      </c>
      <c r="V440" t="s">
        <v>8995</v>
      </c>
      <c r="W440" t="s">
        <v>8996</v>
      </c>
      <c r="X440" t="s">
        <v>8997</v>
      </c>
      <c r="Y440" t="s">
        <v>8998</v>
      </c>
      <c r="Z440" t="s">
        <v>8999</v>
      </c>
      <c r="AA440" t="s">
        <v>9000</v>
      </c>
      <c r="AB440" t="s">
        <v>9001</v>
      </c>
      <c r="AC440" t="s">
        <v>74</v>
      </c>
      <c r="AD440" t="s">
        <v>74</v>
      </c>
      <c r="AE440" t="s">
        <v>74</v>
      </c>
      <c r="AF440" t="s">
        <v>74</v>
      </c>
      <c r="AG440">
        <v>51</v>
      </c>
      <c r="AH440">
        <v>3</v>
      </c>
      <c r="AI440">
        <v>3</v>
      </c>
      <c r="AJ440">
        <v>2</v>
      </c>
      <c r="AK440">
        <v>4</v>
      </c>
      <c r="AL440" t="s">
        <v>501</v>
      </c>
      <c r="AM440" t="s">
        <v>502</v>
      </c>
      <c r="AN440" t="s">
        <v>503</v>
      </c>
      <c r="AO440" t="s">
        <v>9002</v>
      </c>
      <c r="AP440" t="s">
        <v>9003</v>
      </c>
      <c r="AQ440" t="s">
        <v>74</v>
      </c>
      <c r="AR440" t="s">
        <v>9004</v>
      </c>
      <c r="AS440" t="s">
        <v>9005</v>
      </c>
      <c r="AT440" t="s">
        <v>3605</v>
      </c>
      <c r="AU440">
        <v>2022</v>
      </c>
      <c r="AV440">
        <v>216</v>
      </c>
      <c r="AW440" t="s">
        <v>74</v>
      </c>
      <c r="AX440" t="s">
        <v>74</v>
      </c>
      <c r="AY440" t="s">
        <v>74</v>
      </c>
      <c r="AZ440" t="s">
        <v>74</v>
      </c>
      <c r="BA440" t="s">
        <v>74</v>
      </c>
      <c r="BB440" t="s">
        <v>74</v>
      </c>
      <c r="BC440" t="s">
        <v>74</v>
      </c>
      <c r="BD440">
        <v>103891</v>
      </c>
      <c r="BE440" t="s">
        <v>9006</v>
      </c>
      <c r="BF440" t="str">
        <f>HYPERLINK("http://dx.doi.org/10.1016/j.gloplacha.2022.103891","http://dx.doi.org/10.1016/j.gloplacha.2022.103891")</f>
        <v>http://dx.doi.org/10.1016/j.gloplacha.2022.103891</v>
      </c>
      <c r="BG440" t="s">
        <v>74</v>
      </c>
      <c r="BH440" t="s">
        <v>7628</v>
      </c>
      <c r="BI440">
        <v>14</v>
      </c>
      <c r="BJ440" t="s">
        <v>354</v>
      </c>
      <c r="BK440" t="s">
        <v>100</v>
      </c>
      <c r="BL440" t="s">
        <v>241</v>
      </c>
      <c r="BM440" t="s">
        <v>9007</v>
      </c>
      <c r="BN440" t="s">
        <v>74</v>
      </c>
      <c r="BO440" t="s">
        <v>3859</v>
      </c>
      <c r="BP440" t="s">
        <v>74</v>
      </c>
      <c r="BQ440" t="s">
        <v>74</v>
      </c>
      <c r="BR440" t="s">
        <v>103</v>
      </c>
      <c r="BS440" t="s">
        <v>9008</v>
      </c>
      <c r="BT440" t="str">
        <f>HYPERLINK("https%3A%2F%2Fwww.webofscience.com%2Fwos%2Fwoscc%2Ffull-record%2FWOS:000874848700002","View Full Record in Web of Science")</f>
        <v>View Full Record in Web of Science</v>
      </c>
    </row>
    <row r="441" spans="1:72" x14ac:dyDescent="0.15">
      <c r="A441" t="s">
        <v>72</v>
      </c>
      <c r="B441" t="s">
        <v>9009</v>
      </c>
      <c r="C441" t="s">
        <v>74</v>
      </c>
      <c r="D441" t="s">
        <v>74</v>
      </c>
      <c r="E441" t="s">
        <v>74</v>
      </c>
      <c r="F441" t="s">
        <v>9010</v>
      </c>
      <c r="G441" t="s">
        <v>74</v>
      </c>
      <c r="H441" t="s">
        <v>74</v>
      </c>
      <c r="I441" t="s">
        <v>9011</v>
      </c>
      <c r="J441" t="s">
        <v>3171</v>
      </c>
      <c r="K441" t="s">
        <v>74</v>
      </c>
      <c r="L441" t="s">
        <v>74</v>
      </c>
      <c r="M441" t="s">
        <v>78</v>
      </c>
      <c r="N441" t="s">
        <v>79</v>
      </c>
      <c r="O441" t="s">
        <v>74</v>
      </c>
      <c r="P441" t="s">
        <v>74</v>
      </c>
      <c r="Q441" t="s">
        <v>74</v>
      </c>
      <c r="R441" t="s">
        <v>74</v>
      </c>
      <c r="S441" t="s">
        <v>74</v>
      </c>
      <c r="T441" t="s">
        <v>9012</v>
      </c>
      <c r="U441" t="s">
        <v>9013</v>
      </c>
      <c r="V441" t="s">
        <v>9014</v>
      </c>
      <c r="W441" t="s">
        <v>9015</v>
      </c>
      <c r="X441" t="s">
        <v>9016</v>
      </c>
      <c r="Y441" t="s">
        <v>9017</v>
      </c>
      <c r="Z441" t="s">
        <v>9018</v>
      </c>
      <c r="AA441" t="s">
        <v>74</v>
      </c>
      <c r="AB441" t="s">
        <v>9019</v>
      </c>
      <c r="AC441" t="s">
        <v>74</v>
      </c>
      <c r="AD441" t="s">
        <v>74</v>
      </c>
      <c r="AE441" t="s">
        <v>74</v>
      </c>
      <c r="AF441" t="s">
        <v>74</v>
      </c>
      <c r="AG441">
        <v>87</v>
      </c>
      <c r="AH441">
        <v>0</v>
      </c>
      <c r="AI441">
        <v>0</v>
      </c>
      <c r="AJ441">
        <v>1</v>
      </c>
      <c r="AK441">
        <v>7</v>
      </c>
      <c r="AL441" t="s">
        <v>121</v>
      </c>
      <c r="AM441" t="s">
        <v>122</v>
      </c>
      <c r="AN441" t="s">
        <v>123</v>
      </c>
      <c r="AO441" t="s">
        <v>74</v>
      </c>
      <c r="AP441" t="s">
        <v>3183</v>
      </c>
      <c r="AQ441" t="s">
        <v>74</v>
      </c>
      <c r="AR441" t="s">
        <v>3184</v>
      </c>
      <c r="AS441" t="s">
        <v>3185</v>
      </c>
      <c r="AT441" t="s">
        <v>8984</v>
      </c>
      <c r="AU441">
        <v>2022</v>
      </c>
      <c r="AV441">
        <v>13</v>
      </c>
      <c r="AW441" t="s">
        <v>74</v>
      </c>
      <c r="AX441" t="s">
        <v>74</v>
      </c>
      <c r="AY441" t="s">
        <v>74</v>
      </c>
      <c r="AZ441" t="s">
        <v>74</v>
      </c>
      <c r="BA441" t="s">
        <v>74</v>
      </c>
      <c r="BB441" t="s">
        <v>74</v>
      </c>
      <c r="BC441" t="s">
        <v>74</v>
      </c>
      <c r="BD441">
        <v>938066</v>
      </c>
      <c r="BE441" t="s">
        <v>9020</v>
      </c>
      <c r="BF441" t="str">
        <f>HYPERLINK("http://dx.doi.org/10.3389/fmicb.2022.938066","http://dx.doi.org/10.3389/fmicb.2022.938066")</f>
        <v>http://dx.doi.org/10.3389/fmicb.2022.938066</v>
      </c>
      <c r="BG441" t="s">
        <v>74</v>
      </c>
      <c r="BH441" t="s">
        <v>74</v>
      </c>
      <c r="BI441">
        <v>17</v>
      </c>
      <c r="BJ441" t="s">
        <v>214</v>
      </c>
      <c r="BK441" t="s">
        <v>100</v>
      </c>
      <c r="BL441" t="s">
        <v>214</v>
      </c>
      <c r="BM441" t="s">
        <v>9021</v>
      </c>
      <c r="BN441">
        <v>36060762</v>
      </c>
      <c r="BO441" t="s">
        <v>159</v>
      </c>
      <c r="BP441" t="s">
        <v>74</v>
      </c>
      <c r="BQ441" t="s">
        <v>74</v>
      </c>
      <c r="BR441" t="s">
        <v>103</v>
      </c>
      <c r="BS441" t="s">
        <v>9022</v>
      </c>
      <c r="BT441" t="str">
        <f>HYPERLINK("https%3A%2F%2Fwww.webofscience.com%2Fwos%2Fwoscc%2Ffull-record%2FWOS:000871473700001","View Full Record in Web of Science")</f>
        <v>View Full Record in Web of Science</v>
      </c>
    </row>
    <row r="442" spans="1:72" x14ac:dyDescent="0.15">
      <c r="A442" t="s">
        <v>72</v>
      </c>
      <c r="B442" t="s">
        <v>9023</v>
      </c>
      <c r="C442" t="s">
        <v>74</v>
      </c>
      <c r="D442" t="s">
        <v>74</v>
      </c>
      <c r="E442" t="s">
        <v>74</v>
      </c>
      <c r="F442" t="s">
        <v>9024</v>
      </c>
      <c r="G442" t="s">
        <v>74</v>
      </c>
      <c r="H442" t="s">
        <v>74</v>
      </c>
      <c r="I442" t="s">
        <v>9025</v>
      </c>
      <c r="J442" t="s">
        <v>5674</v>
      </c>
      <c r="K442" t="s">
        <v>74</v>
      </c>
      <c r="L442" t="s">
        <v>74</v>
      </c>
      <c r="M442" t="s">
        <v>78</v>
      </c>
      <c r="N442" t="s">
        <v>79</v>
      </c>
      <c r="O442" t="s">
        <v>74</v>
      </c>
      <c r="P442" t="s">
        <v>74</v>
      </c>
      <c r="Q442" t="s">
        <v>74</v>
      </c>
      <c r="R442" t="s">
        <v>74</v>
      </c>
      <c r="S442" t="s">
        <v>74</v>
      </c>
      <c r="T442" t="s">
        <v>9026</v>
      </c>
      <c r="U442" t="s">
        <v>9027</v>
      </c>
      <c r="V442" t="s">
        <v>9028</v>
      </c>
      <c r="W442" t="s">
        <v>9029</v>
      </c>
      <c r="X442" t="s">
        <v>9030</v>
      </c>
      <c r="Y442" t="s">
        <v>9031</v>
      </c>
      <c r="Z442" t="s">
        <v>3798</v>
      </c>
      <c r="AA442" t="s">
        <v>9032</v>
      </c>
      <c r="AB442" t="s">
        <v>9033</v>
      </c>
      <c r="AC442" t="s">
        <v>9034</v>
      </c>
      <c r="AD442" t="s">
        <v>9035</v>
      </c>
      <c r="AE442" t="s">
        <v>9036</v>
      </c>
      <c r="AF442" t="s">
        <v>74</v>
      </c>
      <c r="AG442">
        <v>54</v>
      </c>
      <c r="AH442">
        <v>11</v>
      </c>
      <c r="AI442">
        <v>11</v>
      </c>
      <c r="AJ442">
        <v>47</v>
      </c>
      <c r="AK442">
        <v>124</v>
      </c>
      <c r="AL442" t="s">
        <v>501</v>
      </c>
      <c r="AM442" t="s">
        <v>502</v>
      </c>
      <c r="AN442" t="s">
        <v>503</v>
      </c>
      <c r="AO442" t="s">
        <v>5687</v>
      </c>
      <c r="AP442" t="s">
        <v>5688</v>
      </c>
      <c r="AQ442" t="s">
        <v>74</v>
      </c>
      <c r="AR442" t="s">
        <v>5689</v>
      </c>
      <c r="AS442" t="s">
        <v>5690</v>
      </c>
      <c r="AT442" t="s">
        <v>2670</v>
      </c>
      <c r="AU442">
        <v>2022</v>
      </c>
      <c r="AV442">
        <v>440</v>
      </c>
      <c r="AW442" t="s">
        <v>74</v>
      </c>
      <c r="AX442" t="s">
        <v>74</v>
      </c>
      <c r="AY442" t="s">
        <v>74</v>
      </c>
      <c r="AZ442" t="s">
        <v>74</v>
      </c>
      <c r="BA442" t="s">
        <v>74</v>
      </c>
      <c r="BB442" t="s">
        <v>74</v>
      </c>
      <c r="BC442" t="s">
        <v>74</v>
      </c>
      <c r="BD442">
        <v>129776</v>
      </c>
      <c r="BE442" t="s">
        <v>9037</v>
      </c>
      <c r="BF442" t="str">
        <f>HYPERLINK("http://dx.doi.org/10.1016/j.jhazmat.2022.129776","http://dx.doi.org/10.1016/j.jhazmat.2022.129776")</f>
        <v>http://dx.doi.org/10.1016/j.jhazmat.2022.129776</v>
      </c>
      <c r="BG442" t="s">
        <v>74</v>
      </c>
      <c r="BH442" t="s">
        <v>7628</v>
      </c>
      <c r="BI442">
        <v>7</v>
      </c>
      <c r="BJ442" t="s">
        <v>5693</v>
      </c>
      <c r="BK442" t="s">
        <v>100</v>
      </c>
      <c r="BL442" t="s">
        <v>5694</v>
      </c>
      <c r="BM442" t="s">
        <v>9038</v>
      </c>
      <c r="BN442">
        <v>35988490</v>
      </c>
      <c r="BO442" t="s">
        <v>74</v>
      </c>
      <c r="BP442" t="s">
        <v>74</v>
      </c>
      <c r="BQ442" t="s">
        <v>74</v>
      </c>
      <c r="BR442" t="s">
        <v>103</v>
      </c>
      <c r="BS442" t="s">
        <v>9039</v>
      </c>
      <c r="BT442" t="str">
        <f>HYPERLINK("https%3A%2F%2Fwww.webofscience.com%2Fwos%2Fwoscc%2Ffull-record%2FWOS:000855108100003","View Full Record in Web of Science")</f>
        <v>View Full Record in Web of Science</v>
      </c>
    </row>
    <row r="443" spans="1:72" x14ac:dyDescent="0.15">
      <c r="A443" t="s">
        <v>72</v>
      </c>
      <c r="B443" t="s">
        <v>9040</v>
      </c>
      <c r="C443" t="s">
        <v>74</v>
      </c>
      <c r="D443" t="s">
        <v>74</v>
      </c>
      <c r="E443" t="s">
        <v>74</v>
      </c>
      <c r="F443" t="s">
        <v>9041</v>
      </c>
      <c r="G443" t="s">
        <v>74</v>
      </c>
      <c r="H443" t="s">
        <v>74</v>
      </c>
      <c r="I443" t="s">
        <v>9042</v>
      </c>
      <c r="J443" t="s">
        <v>9043</v>
      </c>
      <c r="K443" t="s">
        <v>74</v>
      </c>
      <c r="L443" t="s">
        <v>74</v>
      </c>
      <c r="M443" t="s">
        <v>78</v>
      </c>
      <c r="N443" t="s">
        <v>79</v>
      </c>
      <c r="O443" t="s">
        <v>74</v>
      </c>
      <c r="P443" t="s">
        <v>74</v>
      </c>
      <c r="Q443" t="s">
        <v>74</v>
      </c>
      <c r="R443" t="s">
        <v>74</v>
      </c>
      <c r="S443" t="s">
        <v>74</v>
      </c>
      <c r="T443" t="s">
        <v>9044</v>
      </c>
      <c r="U443" t="s">
        <v>9045</v>
      </c>
      <c r="V443" t="s">
        <v>9046</v>
      </c>
      <c r="W443" t="s">
        <v>9047</v>
      </c>
      <c r="X443" t="s">
        <v>9048</v>
      </c>
      <c r="Y443" t="s">
        <v>9049</v>
      </c>
      <c r="Z443" t="s">
        <v>9050</v>
      </c>
      <c r="AA443" t="s">
        <v>9051</v>
      </c>
      <c r="AB443" t="s">
        <v>9052</v>
      </c>
      <c r="AC443" t="s">
        <v>9053</v>
      </c>
      <c r="AD443" t="s">
        <v>9054</v>
      </c>
      <c r="AE443" t="s">
        <v>9055</v>
      </c>
      <c r="AF443" t="s">
        <v>74</v>
      </c>
      <c r="AG443">
        <v>56</v>
      </c>
      <c r="AH443">
        <v>5</v>
      </c>
      <c r="AI443">
        <v>5</v>
      </c>
      <c r="AJ443">
        <v>4</v>
      </c>
      <c r="AK443">
        <v>12</v>
      </c>
      <c r="AL443" t="s">
        <v>231</v>
      </c>
      <c r="AM443" t="s">
        <v>232</v>
      </c>
      <c r="AN443" t="s">
        <v>233</v>
      </c>
      <c r="AO443" t="s">
        <v>9056</v>
      </c>
      <c r="AP443" t="s">
        <v>9057</v>
      </c>
      <c r="AQ443" t="s">
        <v>74</v>
      </c>
      <c r="AR443" t="s">
        <v>9058</v>
      </c>
      <c r="AS443" t="s">
        <v>9059</v>
      </c>
      <c r="AT443" t="s">
        <v>428</v>
      </c>
      <c r="AU443">
        <v>2022</v>
      </c>
      <c r="AV443">
        <v>25</v>
      </c>
      <c r="AW443">
        <v>10</v>
      </c>
      <c r="AX443" t="s">
        <v>74</v>
      </c>
      <c r="AY443" t="s">
        <v>74</v>
      </c>
      <c r="AZ443" t="s">
        <v>74</v>
      </c>
      <c r="BA443" t="s">
        <v>74</v>
      </c>
      <c r="BB443">
        <v>2120</v>
      </c>
      <c r="BC443">
        <v>2131</v>
      </c>
      <c r="BD443" t="s">
        <v>74</v>
      </c>
      <c r="BE443" t="s">
        <v>9060</v>
      </c>
      <c r="BF443" t="str">
        <f>HYPERLINK("http://dx.doi.org/10.1111/ele.14076","http://dx.doi.org/10.1111/ele.14076")</f>
        <v>http://dx.doi.org/10.1111/ele.14076</v>
      </c>
      <c r="BG443" t="s">
        <v>74</v>
      </c>
      <c r="BH443" t="s">
        <v>7628</v>
      </c>
      <c r="BI443">
        <v>12</v>
      </c>
      <c r="BJ443" t="s">
        <v>3900</v>
      </c>
      <c r="BK443" t="s">
        <v>100</v>
      </c>
      <c r="BL443" t="s">
        <v>2041</v>
      </c>
      <c r="BM443" t="s">
        <v>9061</v>
      </c>
      <c r="BN443">
        <v>35981228</v>
      </c>
      <c r="BO443" t="s">
        <v>9062</v>
      </c>
      <c r="BP443" t="s">
        <v>74</v>
      </c>
      <c r="BQ443" t="s">
        <v>74</v>
      </c>
      <c r="BR443" t="s">
        <v>103</v>
      </c>
      <c r="BS443" t="s">
        <v>9063</v>
      </c>
      <c r="BT443" t="str">
        <f>HYPERLINK("https%3A%2F%2Fwww.webofscience.com%2Fwos%2Fwoscc%2Ffull-record%2FWOS:000841533200001","View Full Record in Web of Science")</f>
        <v>View Full Record in Web of Science</v>
      </c>
    </row>
    <row r="444" spans="1:72" x14ac:dyDescent="0.15">
      <c r="A444" t="s">
        <v>72</v>
      </c>
      <c r="B444" t="s">
        <v>9064</v>
      </c>
      <c r="C444" t="s">
        <v>74</v>
      </c>
      <c r="D444" t="s">
        <v>74</v>
      </c>
      <c r="E444" t="s">
        <v>74</v>
      </c>
      <c r="F444" t="s">
        <v>9065</v>
      </c>
      <c r="G444" t="s">
        <v>74</v>
      </c>
      <c r="H444" t="s">
        <v>74</v>
      </c>
      <c r="I444" t="s">
        <v>9066</v>
      </c>
      <c r="J444" t="s">
        <v>247</v>
      </c>
      <c r="K444" t="s">
        <v>74</v>
      </c>
      <c r="L444" t="s">
        <v>74</v>
      </c>
      <c r="M444" t="s">
        <v>78</v>
      </c>
      <c r="N444" t="s">
        <v>79</v>
      </c>
      <c r="O444" t="s">
        <v>74</v>
      </c>
      <c r="P444" t="s">
        <v>74</v>
      </c>
      <c r="Q444" t="s">
        <v>74</v>
      </c>
      <c r="R444" t="s">
        <v>74</v>
      </c>
      <c r="S444" t="s">
        <v>74</v>
      </c>
      <c r="T444" t="s">
        <v>9067</v>
      </c>
      <c r="U444" t="s">
        <v>9068</v>
      </c>
      <c r="V444" t="s">
        <v>9069</v>
      </c>
      <c r="W444" t="s">
        <v>9070</v>
      </c>
      <c r="X444" t="s">
        <v>9071</v>
      </c>
      <c r="Y444" t="s">
        <v>9072</v>
      </c>
      <c r="Z444" t="s">
        <v>9073</v>
      </c>
      <c r="AA444" t="s">
        <v>74</v>
      </c>
      <c r="AB444" t="s">
        <v>9074</v>
      </c>
      <c r="AC444" t="s">
        <v>9075</v>
      </c>
      <c r="AD444" t="s">
        <v>9076</v>
      </c>
      <c r="AE444" t="s">
        <v>9077</v>
      </c>
      <c r="AF444" t="s">
        <v>74</v>
      </c>
      <c r="AG444">
        <v>114</v>
      </c>
      <c r="AH444">
        <v>4</v>
      </c>
      <c r="AI444">
        <v>4</v>
      </c>
      <c r="AJ444">
        <v>2</v>
      </c>
      <c r="AK444">
        <v>26</v>
      </c>
      <c r="AL444" t="s">
        <v>121</v>
      </c>
      <c r="AM444" t="s">
        <v>122</v>
      </c>
      <c r="AN444" t="s">
        <v>123</v>
      </c>
      <c r="AO444" t="s">
        <v>74</v>
      </c>
      <c r="AP444" t="s">
        <v>258</v>
      </c>
      <c r="AQ444" t="s">
        <v>74</v>
      </c>
      <c r="AR444" t="s">
        <v>259</v>
      </c>
      <c r="AS444" t="s">
        <v>260</v>
      </c>
      <c r="AT444" t="s">
        <v>9078</v>
      </c>
      <c r="AU444">
        <v>2022</v>
      </c>
      <c r="AV444">
        <v>9</v>
      </c>
      <c r="AW444" t="s">
        <v>74</v>
      </c>
      <c r="AX444" t="s">
        <v>74</v>
      </c>
      <c r="AY444" t="s">
        <v>74</v>
      </c>
      <c r="AZ444" t="s">
        <v>74</v>
      </c>
      <c r="BA444" t="s">
        <v>74</v>
      </c>
      <c r="BB444" t="s">
        <v>74</v>
      </c>
      <c r="BC444" t="s">
        <v>74</v>
      </c>
      <c r="BD444">
        <v>976019</v>
      </c>
      <c r="BE444" t="s">
        <v>9079</v>
      </c>
      <c r="BF444" t="str">
        <f>HYPERLINK("http://dx.doi.org/10.3389/fmars.2022.976019","http://dx.doi.org/10.3389/fmars.2022.976019")</f>
        <v>http://dx.doi.org/10.3389/fmars.2022.976019</v>
      </c>
      <c r="BG444" t="s">
        <v>74</v>
      </c>
      <c r="BH444" t="s">
        <v>74</v>
      </c>
      <c r="BI444">
        <v>17</v>
      </c>
      <c r="BJ444" t="s">
        <v>263</v>
      </c>
      <c r="BK444" t="s">
        <v>100</v>
      </c>
      <c r="BL444" t="s">
        <v>264</v>
      </c>
      <c r="BM444" t="s">
        <v>9080</v>
      </c>
      <c r="BN444" t="s">
        <v>74</v>
      </c>
      <c r="BO444" t="s">
        <v>266</v>
      </c>
      <c r="BP444" t="s">
        <v>74</v>
      </c>
      <c r="BQ444" t="s">
        <v>74</v>
      </c>
      <c r="BR444" t="s">
        <v>103</v>
      </c>
      <c r="BS444" t="s">
        <v>9081</v>
      </c>
      <c r="BT444" t="str">
        <f>HYPERLINK("https%3A%2F%2Fwww.webofscience.com%2Fwos%2Fwoscc%2Ffull-record%2FWOS:000872532900001","View Full Record in Web of Science")</f>
        <v>View Full Record in Web of Science</v>
      </c>
    </row>
    <row r="445" spans="1:72" x14ac:dyDescent="0.15">
      <c r="A445" t="s">
        <v>72</v>
      </c>
      <c r="B445" t="s">
        <v>9082</v>
      </c>
      <c r="C445" t="s">
        <v>74</v>
      </c>
      <c r="D445" t="s">
        <v>74</v>
      </c>
      <c r="E445" t="s">
        <v>74</v>
      </c>
      <c r="F445" t="s">
        <v>9083</v>
      </c>
      <c r="G445" t="s">
        <v>74</v>
      </c>
      <c r="H445" t="s">
        <v>74</v>
      </c>
      <c r="I445" t="s">
        <v>9084</v>
      </c>
      <c r="J445" t="s">
        <v>9085</v>
      </c>
      <c r="K445" t="s">
        <v>74</v>
      </c>
      <c r="L445" t="s">
        <v>74</v>
      </c>
      <c r="M445" t="s">
        <v>78</v>
      </c>
      <c r="N445" t="s">
        <v>79</v>
      </c>
      <c r="O445" t="s">
        <v>74</v>
      </c>
      <c r="P445" t="s">
        <v>74</v>
      </c>
      <c r="Q445" t="s">
        <v>74</v>
      </c>
      <c r="R445" t="s">
        <v>74</v>
      </c>
      <c r="S445" t="s">
        <v>74</v>
      </c>
      <c r="T445" t="s">
        <v>9086</v>
      </c>
      <c r="U445" t="s">
        <v>9087</v>
      </c>
      <c r="V445" t="s">
        <v>9088</v>
      </c>
      <c r="W445" t="s">
        <v>9089</v>
      </c>
      <c r="X445" t="s">
        <v>9090</v>
      </c>
      <c r="Y445" t="s">
        <v>9091</v>
      </c>
      <c r="Z445" t="s">
        <v>9092</v>
      </c>
      <c r="AA445" t="s">
        <v>9093</v>
      </c>
      <c r="AB445" t="s">
        <v>9094</v>
      </c>
      <c r="AC445" t="s">
        <v>9095</v>
      </c>
      <c r="AD445" t="s">
        <v>9096</v>
      </c>
      <c r="AE445" t="s">
        <v>9097</v>
      </c>
      <c r="AF445" t="s">
        <v>74</v>
      </c>
      <c r="AG445">
        <v>86</v>
      </c>
      <c r="AH445">
        <v>1</v>
      </c>
      <c r="AI445">
        <v>1</v>
      </c>
      <c r="AJ445">
        <v>0</v>
      </c>
      <c r="AK445">
        <v>4</v>
      </c>
      <c r="AL445" t="s">
        <v>2249</v>
      </c>
      <c r="AM445" t="s">
        <v>90</v>
      </c>
      <c r="AN445" t="s">
        <v>2250</v>
      </c>
      <c r="AO445" t="s">
        <v>9098</v>
      </c>
      <c r="AP445" t="s">
        <v>9099</v>
      </c>
      <c r="AQ445" t="s">
        <v>74</v>
      </c>
      <c r="AR445" t="s">
        <v>9100</v>
      </c>
      <c r="AS445" t="s">
        <v>9101</v>
      </c>
      <c r="AT445" t="s">
        <v>3605</v>
      </c>
      <c r="AU445">
        <v>2022</v>
      </c>
      <c r="AV445">
        <v>180</v>
      </c>
      <c r="AW445" t="s">
        <v>74</v>
      </c>
      <c r="AX445" t="s">
        <v>74</v>
      </c>
      <c r="AY445" t="s">
        <v>74</v>
      </c>
      <c r="AZ445" t="s">
        <v>74</v>
      </c>
      <c r="BA445" t="s">
        <v>74</v>
      </c>
      <c r="BB445" t="s">
        <v>74</v>
      </c>
      <c r="BC445" t="s">
        <v>74</v>
      </c>
      <c r="BD445">
        <v>105720</v>
      </c>
      <c r="BE445" t="s">
        <v>9102</v>
      </c>
      <c r="BF445" t="str">
        <f>HYPERLINK("http://dx.doi.org/10.1016/j.marenvres.2022.105720","http://dx.doi.org/10.1016/j.marenvres.2022.105720")</f>
        <v>http://dx.doi.org/10.1016/j.marenvres.2022.105720</v>
      </c>
      <c r="BG445" t="s">
        <v>74</v>
      </c>
      <c r="BH445" t="s">
        <v>7628</v>
      </c>
      <c r="BI445">
        <v>9</v>
      </c>
      <c r="BJ445" t="s">
        <v>9103</v>
      </c>
      <c r="BK445" t="s">
        <v>100</v>
      </c>
      <c r="BL445" t="s">
        <v>9104</v>
      </c>
      <c r="BM445" t="s">
        <v>9105</v>
      </c>
      <c r="BN445">
        <v>35987040</v>
      </c>
      <c r="BO445" t="s">
        <v>74</v>
      </c>
      <c r="BP445" t="s">
        <v>74</v>
      </c>
      <c r="BQ445" t="s">
        <v>74</v>
      </c>
      <c r="BR445" t="s">
        <v>103</v>
      </c>
      <c r="BS445" t="s">
        <v>9106</v>
      </c>
      <c r="BT445" t="str">
        <f>HYPERLINK("https%3A%2F%2Fwww.webofscience.com%2Fwos%2Fwoscc%2Ffull-record%2FWOS:000848617000004","View Full Record in Web of Science")</f>
        <v>View Full Record in Web of Science</v>
      </c>
    </row>
    <row r="446" spans="1:72" x14ac:dyDescent="0.15">
      <c r="A446" t="s">
        <v>72</v>
      </c>
      <c r="B446" t="s">
        <v>9107</v>
      </c>
      <c r="C446" t="s">
        <v>74</v>
      </c>
      <c r="D446" t="s">
        <v>74</v>
      </c>
      <c r="E446" t="s">
        <v>74</v>
      </c>
      <c r="F446" t="s">
        <v>9108</v>
      </c>
      <c r="G446" t="s">
        <v>74</v>
      </c>
      <c r="H446" t="s">
        <v>74</v>
      </c>
      <c r="I446" t="s">
        <v>9109</v>
      </c>
      <c r="J446" t="s">
        <v>108</v>
      </c>
      <c r="K446" t="s">
        <v>74</v>
      </c>
      <c r="L446" t="s">
        <v>74</v>
      </c>
      <c r="M446" t="s">
        <v>78</v>
      </c>
      <c r="N446" t="s">
        <v>79</v>
      </c>
      <c r="O446" t="s">
        <v>74</v>
      </c>
      <c r="P446" t="s">
        <v>74</v>
      </c>
      <c r="Q446" t="s">
        <v>74</v>
      </c>
      <c r="R446" t="s">
        <v>74</v>
      </c>
      <c r="S446" t="s">
        <v>74</v>
      </c>
      <c r="T446" t="s">
        <v>9110</v>
      </c>
      <c r="U446" t="s">
        <v>9111</v>
      </c>
      <c r="V446" t="s">
        <v>9112</v>
      </c>
      <c r="W446" t="s">
        <v>9113</v>
      </c>
      <c r="X446" t="s">
        <v>9114</v>
      </c>
      <c r="Y446" t="s">
        <v>9115</v>
      </c>
      <c r="Z446" t="s">
        <v>9116</v>
      </c>
      <c r="AA446" t="s">
        <v>9117</v>
      </c>
      <c r="AB446" t="s">
        <v>9118</v>
      </c>
      <c r="AC446" t="s">
        <v>9119</v>
      </c>
      <c r="AD446" t="s">
        <v>9120</v>
      </c>
      <c r="AE446" t="s">
        <v>9121</v>
      </c>
      <c r="AF446" t="s">
        <v>74</v>
      </c>
      <c r="AG446">
        <v>78</v>
      </c>
      <c r="AH446">
        <v>2</v>
      </c>
      <c r="AI446">
        <v>2</v>
      </c>
      <c r="AJ446">
        <v>1</v>
      </c>
      <c r="AK446">
        <v>13</v>
      </c>
      <c r="AL446" t="s">
        <v>121</v>
      </c>
      <c r="AM446" t="s">
        <v>122</v>
      </c>
      <c r="AN446" t="s">
        <v>123</v>
      </c>
      <c r="AO446" t="s">
        <v>74</v>
      </c>
      <c r="AP446" t="s">
        <v>124</v>
      </c>
      <c r="AQ446" t="s">
        <v>74</v>
      </c>
      <c r="AR446" t="s">
        <v>125</v>
      </c>
      <c r="AS446" t="s">
        <v>126</v>
      </c>
      <c r="AT446" t="s">
        <v>9078</v>
      </c>
      <c r="AU446">
        <v>2022</v>
      </c>
      <c r="AV446">
        <v>10</v>
      </c>
      <c r="AW446" t="s">
        <v>74</v>
      </c>
      <c r="AX446" t="s">
        <v>74</v>
      </c>
      <c r="AY446" t="s">
        <v>74</v>
      </c>
      <c r="AZ446" t="s">
        <v>74</v>
      </c>
      <c r="BA446" t="s">
        <v>74</v>
      </c>
      <c r="BB446" t="s">
        <v>74</v>
      </c>
      <c r="BC446" t="s">
        <v>74</v>
      </c>
      <c r="BD446">
        <v>963525</v>
      </c>
      <c r="BE446" t="s">
        <v>9122</v>
      </c>
      <c r="BF446" t="str">
        <f>HYPERLINK("http://dx.doi.org/10.3389/feart.2022.963525","http://dx.doi.org/10.3389/feart.2022.963525")</f>
        <v>http://dx.doi.org/10.3389/feart.2022.963525</v>
      </c>
      <c r="BG446" t="s">
        <v>74</v>
      </c>
      <c r="BH446" t="s">
        <v>74</v>
      </c>
      <c r="BI446">
        <v>12</v>
      </c>
      <c r="BJ446" t="s">
        <v>129</v>
      </c>
      <c r="BK446" t="s">
        <v>100</v>
      </c>
      <c r="BL446" t="s">
        <v>130</v>
      </c>
      <c r="BM446" t="s">
        <v>9123</v>
      </c>
      <c r="BN446" t="s">
        <v>74</v>
      </c>
      <c r="BO446" t="s">
        <v>4811</v>
      </c>
      <c r="BP446" t="s">
        <v>74</v>
      </c>
      <c r="BQ446" t="s">
        <v>74</v>
      </c>
      <c r="BR446" t="s">
        <v>103</v>
      </c>
      <c r="BS446" t="s">
        <v>9124</v>
      </c>
      <c r="BT446" t="str">
        <f>HYPERLINK("https%3A%2F%2Fwww.webofscience.com%2Fwos%2Fwoscc%2Ffull-record%2FWOS:000848499300001","View Full Record in Web of Science")</f>
        <v>View Full Record in Web of Science</v>
      </c>
    </row>
    <row r="447" spans="1:72" x14ac:dyDescent="0.15">
      <c r="A447" t="s">
        <v>72</v>
      </c>
      <c r="B447" t="s">
        <v>9125</v>
      </c>
      <c r="C447" t="s">
        <v>74</v>
      </c>
      <c r="D447" t="s">
        <v>74</v>
      </c>
      <c r="E447" t="s">
        <v>74</v>
      </c>
      <c r="F447" t="s">
        <v>9126</v>
      </c>
      <c r="G447" t="s">
        <v>74</v>
      </c>
      <c r="H447" t="s">
        <v>74</v>
      </c>
      <c r="I447" t="s">
        <v>9127</v>
      </c>
      <c r="J447" t="s">
        <v>271</v>
      </c>
      <c r="K447" t="s">
        <v>74</v>
      </c>
      <c r="L447" t="s">
        <v>74</v>
      </c>
      <c r="M447" t="s">
        <v>78</v>
      </c>
      <c r="N447" t="s">
        <v>79</v>
      </c>
      <c r="O447" t="s">
        <v>74</v>
      </c>
      <c r="P447" t="s">
        <v>74</v>
      </c>
      <c r="Q447" t="s">
        <v>74</v>
      </c>
      <c r="R447" t="s">
        <v>74</v>
      </c>
      <c r="S447" t="s">
        <v>74</v>
      </c>
      <c r="T447" t="s">
        <v>74</v>
      </c>
      <c r="U447" t="s">
        <v>9128</v>
      </c>
      <c r="V447" t="s">
        <v>9129</v>
      </c>
      <c r="W447" t="s">
        <v>9130</v>
      </c>
      <c r="X447" t="s">
        <v>9131</v>
      </c>
      <c r="Y447" t="s">
        <v>9132</v>
      </c>
      <c r="Z447" t="s">
        <v>9133</v>
      </c>
      <c r="AA447" t="s">
        <v>9134</v>
      </c>
      <c r="AB447" t="s">
        <v>9135</v>
      </c>
      <c r="AC447" t="s">
        <v>9136</v>
      </c>
      <c r="AD447" t="s">
        <v>9137</v>
      </c>
      <c r="AE447" t="s">
        <v>9138</v>
      </c>
      <c r="AF447" t="s">
        <v>74</v>
      </c>
      <c r="AG447">
        <v>72</v>
      </c>
      <c r="AH447">
        <v>5</v>
      </c>
      <c r="AI447">
        <v>5</v>
      </c>
      <c r="AJ447">
        <v>2</v>
      </c>
      <c r="AK447">
        <v>9</v>
      </c>
      <c r="AL447" t="s">
        <v>149</v>
      </c>
      <c r="AM447" t="s">
        <v>150</v>
      </c>
      <c r="AN447" t="s">
        <v>151</v>
      </c>
      <c r="AO447" t="s">
        <v>283</v>
      </c>
      <c r="AP447" t="s">
        <v>74</v>
      </c>
      <c r="AQ447" t="s">
        <v>74</v>
      </c>
      <c r="AR447" t="s">
        <v>284</v>
      </c>
      <c r="AS447" t="s">
        <v>285</v>
      </c>
      <c r="AT447" t="s">
        <v>9078</v>
      </c>
      <c r="AU447">
        <v>2022</v>
      </c>
      <c r="AV447">
        <v>12</v>
      </c>
      <c r="AW447">
        <v>1</v>
      </c>
      <c r="AX447" t="s">
        <v>74</v>
      </c>
      <c r="AY447" t="s">
        <v>74</v>
      </c>
      <c r="AZ447" t="s">
        <v>74</v>
      </c>
      <c r="BA447" t="s">
        <v>74</v>
      </c>
      <c r="BB447" t="s">
        <v>74</v>
      </c>
      <c r="BC447" t="s">
        <v>74</v>
      </c>
      <c r="BD447">
        <v>13924</v>
      </c>
      <c r="BE447" t="s">
        <v>9139</v>
      </c>
      <c r="BF447" t="str">
        <f>HYPERLINK("http://dx.doi.org/10.1038/s41598-022-17999-y","http://dx.doi.org/10.1038/s41598-022-17999-y")</f>
        <v>http://dx.doi.org/10.1038/s41598-022-17999-y</v>
      </c>
      <c r="BG447" t="s">
        <v>74</v>
      </c>
      <c r="BH447" t="s">
        <v>74</v>
      </c>
      <c r="BI447">
        <v>11</v>
      </c>
      <c r="BJ447" t="s">
        <v>156</v>
      </c>
      <c r="BK447" t="s">
        <v>100</v>
      </c>
      <c r="BL447" t="s">
        <v>157</v>
      </c>
      <c r="BM447" t="s">
        <v>9140</v>
      </c>
      <c r="BN447">
        <v>35978069</v>
      </c>
      <c r="BO447" t="s">
        <v>132</v>
      </c>
      <c r="BP447" t="s">
        <v>74</v>
      </c>
      <c r="BQ447" t="s">
        <v>74</v>
      </c>
      <c r="BR447" t="s">
        <v>103</v>
      </c>
      <c r="BS447" t="s">
        <v>9141</v>
      </c>
      <c r="BT447" t="str">
        <f>HYPERLINK("https%3A%2F%2Fwww.webofscience.com%2Fwos%2Fwoscc%2Ffull-record%2FWOS:000842145300001","View Full Record in Web of Science")</f>
        <v>View Full Record in Web of Science</v>
      </c>
    </row>
    <row r="448" spans="1:72" x14ac:dyDescent="0.15">
      <c r="A448" t="s">
        <v>72</v>
      </c>
      <c r="B448" t="s">
        <v>9142</v>
      </c>
      <c r="C448" t="s">
        <v>74</v>
      </c>
      <c r="D448" t="s">
        <v>74</v>
      </c>
      <c r="E448" t="s">
        <v>74</v>
      </c>
      <c r="F448" t="s">
        <v>9143</v>
      </c>
      <c r="G448" t="s">
        <v>74</v>
      </c>
      <c r="H448" t="s">
        <v>74</v>
      </c>
      <c r="I448" t="s">
        <v>9144</v>
      </c>
      <c r="J448" t="s">
        <v>9145</v>
      </c>
      <c r="K448" t="s">
        <v>74</v>
      </c>
      <c r="L448" t="s">
        <v>74</v>
      </c>
      <c r="M448" t="s">
        <v>78</v>
      </c>
      <c r="N448" t="s">
        <v>79</v>
      </c>
      <c r="O448" t="s">
        <v>74</v>
      </c>
      <c r="P448" t="s">
        <v>74</v>
      </c>
      <c r="Q448" t="s">
        <v>74</v>
      </c>
      <c r="R448" t="s">
        <v>74</v>
      </c>
      <c r="S448" t="s">
        <v>74</v>
      </c>
      <c r="T448" t="s">
        <v>74</v>
      </c>
      <c r="U448" t="s">
        <v>9146</v>
      </c>
      <c r="V448" t="s">
        <v>9147</v>
      </c>
      <c r="W448" t="s">
        <v>9148</v>
      </c>
      <c r="X448" t="s">
        <v>4473</v>
      </c>
      <c r="Y448" t="s">
        <v>9149</v>
      </c>
      <c r="Z448" t="s">
        <v>9150</v>
      </c>
      <c r="AA448" t="s">
        <v>9151</v>
      </c>
      <c r="AB448" t="s">
        <v>9152</v>
      </c>
      <c r="AC448" t="s">
        <v>9153</v>
      </c>
      <c r="AD448" t="s">
        <v>9154</v>
      </c>
      <c r="AE448" t="s">
        <v>9155</v>
      </c>
      <c r="AF448" t="s">
        <v>74</v>
      </c>
      <c r="AG448">
        <v>32</v>
      </c>
      <c r="AH448">
        <v>2</v>
      </c>
      <c r="AI448">
        <v>2</v>
      </c>
      <c r="AJ448">
        <v>3</v>
      </c>
      <c r="AK448">
        <v>14</v>
      </c>
      <c r="AL448" t="s">
        <v>3450</v>
      </c>
      <c r="AM448" t="s">
        <v>346</v>
      </c>
      <c r="AN448" t="s">
        <v>3451</v>
      </c>
      <c r="AO448" t="s">
        <v>9156</v>
      </c>
      <c r="AP448" t="s">
        <v>9157</v>
      </c>
      <c r="AQ448" t="s">
        <v>74</v>
      </c>
      <c r="AR448" t="s">
        <v>9158</v>
      </c>
      <c r="AS448" t="s">
        <v>9159</v>
      </c>
      <c r="AT448" t="s">
        <v>3699</v>
      </c>
      <c r="AU448">
        <v>2022</v>
      </c>
      <c r="AV448">
        <v>46</v>
      </c>
      <c r="AW448">
        <v>36</v>
      </c>
      <c r="AX448" t="s">
        <v>74</v>
      </c>
      <c r="AY448" t="s">
        <v>74</v>
      </c>
      <c r="AZ448" t="s">
        <v>74</v>
      </c>
      <c r="BA448" t="s">
        <v>74</v>
      </c>
      <c r="BB448">
        <v>17167</v>
      </c>
      <c r="BC448">
        <v>17174</v>
      </c>
      <c r="BD448" t="s">
        <v>74</v>
      </c>
      <c r="BE448" t="s">
        <v>9160</v>
      </c>
      <c r="BF448" t="str">
        <f>HYPERLINK("http://dx.doi.org/10.1039/d2nj03189b","http://dx.doi.org/10.1039/d2nj03189b")</f>
        <v>http://dx.doi.org/10.1039/d2nj03189b</v>
      </c>
      <c r="BG448" t="s">
        <v>74</v>
      </c>
      <c r="BH448" t="s">
        <v>7628</v>
      </c>
      <c r="BI448">
        <v>8</v>
      </c>
      <c r="BJ448" t="s">
        <v>9161</v>
      </c>
      <c r="BK448" t="s">
        <v>100</v>
      </c>
      <c r="BL448" t="s">
        <v>9162</v>
      </c>
      <c r="BM448" t="s">
        <v>9163</v>
      </c>
      <c r="BN448" t="s">
        <v>74</v>
      </c>
      <c r="BO448" t="s">
        <v>74</v>
      </c>
      <c r="BP448" t="s">
        <v>74</v>
      </c>
      <c r="BQ448" t="s">
        <v>74</v>
      </c>
      <c r="BR448" t="s">
        <v>103</v>
      </c>
      <c r="BS448" t="s">
        <v>9164</v>
      </c>
      <c r="BT448" t="str">
        <f>HYPERLINK("https%3A%2F%2Fwww.webofscience.com%2Fwos%2Fwoscc%2Ffull-record%2FWOS:000843684100001","View Full Record in Web of Science")</f>
        <v>View Full Record in Web of Science</v>
      </c>
    </row>
    <row r="449" spans="1:72" x14ac:dyDescent="0.15">
      <c r="A449" t="s">
        <v>72</v>
      </c>
      <c r="B449" t="s">
        <v>9165</v>
      </c>
      <c r="C449" t="s">
        <v>74</v>
      </c>
      <c r="D449" t="s">
        <v>74</v>
      </c>
      <c r="E449" t="s">
        <v>74</v>
      </c>
      <c r="F449" t="s">
        <v>9166</v>
      </c>
      <c r="G449" t="s">
        <v>74</v>
      </c>
      <c r="H449" t="s">
        <v>74</v>
      </c>
      <c r="I449" t="s">
        <v>9167</v>
      </c>
      <c r="J449" t="s">
        <v>9168</v>
      </c>
      <c r="K449" t="s">
        <v>74</v>
      </c>
      <c r="L449" t="s">
        <v>74</v>
      </c>
      <c r="M449" t="s">
        <v>78</v>
      </c>
      <c r="N449" t="s">
        <v>79</v>
      </c>
      <c r="O449" t="s">
        <v>74</v>
      </c>
      <c r="P449" t="s">
        <v>74</v>
      </c>
      <c r="Q449" t="s">
        <v>74</v>
      </c>
      <c r="R449" t="s">
        <v>74</v>
      </c>
      <c r="S449" t="s">
        <v>74</v>
      </c>
      <c r="T449" t="s">
        <v>9169</v>
      </c>
      <c r="U449" t="s">
        <v>9170</v>
      </c>
      <c r="V449" t="s">
        <v>9171</v>
      </c>
      <c r="W449" t="s">
        <v>9172</v>
      </c>
      <c r="X449" t="s">
        <v>9173</v>
      </c>
      <c r="Y449" t="s">
        <v>9174</v>
      </c>
      <c r="Z449" t="s">
        <v>9175</v>
      </c>
      <c r="AA449" t="s">
        <v>9176</v>
      </c>
      <c r="AB449" t="s">
        <v>9177</v>
      </c>
      <c r="AC449" t="s">
        <v>9178</v>
      </c>
      <c r="AD449" t="s">
        <v>9179</v>
      </c>
      <c r="AE449" t="s">
        <v>9180</v>
      </c>
      <c r="AF449" t="s">
        <v>74</v>
      </c>
      <c r="AG449">
        <v>101</v>
      </c>
      <c r="AH449">
        <v>2</v>
      </c>
      <c r="AI449">
        <v>2</v>
      </c>
      <c r="AJ449">
        <v>1</v>
      </c>
      <c r="AK449">
        <v>10</v>
      </c>
      <c r="AL449" t="s">
        <v>9181</v>
      </c>
      <c r="AM449" t="s">
        <v>9182</v>
      </c>
      <c r="AN449" t="s">
        <v>9183</v>
      </c>
      <c r="AO449" t="s">
        <v>9184</v>
      </c>
      <c r="AP449" t="s">
        <v>9185</v>
      </c>
      <c r="AQ449" t="s">
        <v>74</v>
      </c>
      <c r="AR449" t="s">
        <v>9186</v>
      </c>
      <c r="AS449" t="s">
        <v>9187</v>
      </c>
      <c r="AT449" t="s">
        <v>9078</v>
      </c>
      <c r="AU449">
        <v>2022</v>
      </c>
      <c r="AV449">
        <v>131</v>
      </c>
      <c r="AW449">
        <v>3</v>
      </c>
      <c r="AX449" t="s">
        <v>74</v>
      </c>
      <c r="AY449" t="s">
        <v>74</v>
      </c>
      <c r="AZ449" t="s">
        <v>74</v>
      </c>
      <c r="BA449" t="s">
        <v>74</v>
      </c>
      <c r="BB449" t="s">
        <v>74</v>
      </c>
      <c r="BC449" t="s">
        <v>74</v>
      </c>
      <c r="BD449">
        <v>182</v>
      </c>
      <c r="BE449" t="s">
        <v>9188</v>
      </c>
      <c r="BF449" t="str">
        <f>HYPERLINK("http://dx.doi.org/10.1007/s12040-022-01930-0","http://dx.doi.org/10.1007/s12040-022-01930-0")</f>
        <v>http://dx.doi.org/10.1007/s12040-022-01930-0</v>
      </c>
      <c r="BG449" t="s">
        <v>74</v>
      </c>
      <c r="BH449" t="s">
        <v>74</v>
      </c>
      <c r="BI449">
        <v>21</v>
      </c>
      <c r="BJ449" t="s">
        <v>9189</v>
      </c>
      <c r="BK449" t="s">
        <v>100</v>
      </c>
      <c r="BL449" t="s">
        <v>9190</v>
      </c>
      <c r="BM449" t="s">
        <v>9191</v>
      </c>
      <c r="BN449" t="s">
        <v>74</v>
      </c>
      <c r="BO449" t="s">
        <v>74</v>
      </c>
      <c r="BP449" t="s">
        <v>74</v>
      </c>
      <c r="BQ449" t="s">
        <v>74</v>
      </c>
      <c r="BR449" t="s">
        <v>103</v>
      </c>
      <c r="BS449" t="s">
        <v>9192</v>
      </c>
      <c r="BT449" t="str">
        <f>HYPERLINK("https%3A%2F%2Fwww.webofscience.com%2Fwos%2Fwoscc%2Ffull-record%2FWOS:000842209500001","View Full Record in Web of Science")</f>
        <v>View Full Record in Web of Science</v>
      </c>
    </row>
    <row r="450" spans="1:72" x14ac:dyDescent="0.15">
      <c r="A450" t="s">
        <v>72</v>
      </c>
      <c r="B450" t="s">
        <v>9193</v>
      </c>
      <c r="C450" t="s">
        <v>74</v>
      </c>
      <c r="D450" t="s">
        <v>74</v>
      </c>
      <c r="E450" t="s">
        <v>74</v>
      </c>
      <c r="F450" t="s">
        <v>9194</v>
      </c>
      <c r="G450" t="s">
        <v>74</v>
      </c>
      <c r="H450" t="s">
        <v>74</v>
      </c>
      <c r="I450" t="s">
        <v>9195</v>
      </c>
      <c r="J450" t="s">
        <v>7335</v>
      </c>
      <c r="K450" t="s">
        <v>74</v>
      </c>
      <c r="L450" t="s">
        <v>74</v>
      </c>
      <c r="M450" t="s">
        <v>78</v>
      </c>
      <c r="N450" t="s">
        <v>79</v>
      </c>
      <c r="O450" t="s">
        <v>74</v>
      </c>
      <c r="P450" t="s">
        <v>74</v>
      </c>
      <c r="Q450" t="s">
        <v>74</v>
      </c>
      <c r="R450" t="s">
        <v>74</v>
      </c>
      <c r="S450" t="s">
        <v>74</v>
      </c>
      <c r="T450" t="s">
        <v>9196</v>
      </c>
      <c r="U450" t="s">
        <v>9197</v>
      </c>
      <c r="V450" t="s">
        <v>9198</v>
      </c>
      <c r="W450" t="s">
        <v>9199</v>
      </c>
      <c r="X450" t="s">
        <v>9200</v>
      </c>
      <c r="Y450" t="s">
        <v>9201</v>
      </c>
      <c r="Z450" t="s">
        <v>9202</v>
      </c>
      <c r="AA450" t="s">
        <v>9203</v>
      </c>
      <c r="AB450" t="s">
        <v>9204</v>
      </c>
      <c r="AC450" t="s">
        <v>9205</v>
      </c>
      <c r="AD450" t="s">
        <v>9206</v>
      </c>
      <c r="AE450" t="s">
        <v>9207</v>
      </c>
      <c r="AF450" t="s">
        <v>74</v>
      </c>
      <c r="AG450">
        <v>151</v>
      </c>
      <c r="AH450">
        <v>8</v>
      </c>
      <c r="AI450">
        <v>8</v>
      </c>
      <c r="AJ450">
        <v>5</v>
      </c>
      <c r="AK450">
        <v>34</v>
      </c>
      <c r="AL450" t="s">
        <v>89</v>
      </c>
      <c r="AM450" t="s">
        <v>90</v>
      </c>
      <c r="AN450" t="s">
        <v>91</v>
      </c>
      <c r="AO450" t="s">
        <v>7347</v>
      </c>
      <c r="AP450" t="s">
        <v>7348</v>
      </c>
      <c r="AQ450" t="s">
        <v>74</v>
      </c>
      <c r="AR450" t="s">
        <v>7335</v>
      </c>
      <c r="AS450" t="s">
        <v>7349</v>
      </c>
      <c r="AT450" t="s">
        <v>7852</v>
      </c>
      <c r="AU450">
        <v>2022</v>
      </c>
      <c r="AV450">
        <v>72</v>
      </c>
      <c r="AW450">
        <v>9</v>
      </c>
      <c r="AX450" t="s">
        <v>74</v>
      </c>
      <c r="AY450" t="s">
        <v>74</v>
      </c>
      <c r="AZ450" t="s">
        <v>74</v>
      </c>
      <c r="BA450" t="s">
        <v>74</v>
      </c>
      <c r="BB450">
        <v>889</v>
      </c>
      <c r="BC450">
        <v>907</v>
      </c>
      <c r="BD450" t="s">
        <v>74</v>
      </c>
      <c r="BE450" t="s">
        <v>9208</v>
      </c>
      <c r="BF450" t="str">
        <f>HYPERLINK("http://dx.doi.org/10.1093/biosci/biab134","http://dx.doi.org/10.1093/biosci/biab134")</f>
        <v>http://dx.doi.org/10.1093/biosci/biab134</v>
      </c>
      <c r="BG450" t="s">
        <v>74</v>
      </c>
      <c r="BH450" t="s">
        <v>7628</v>
      </c>
      <c r="BI450">
        <v>19</v>
      </c>
      <c r="BJ450" t="s">
        <v>760</v>
      </c>
      <c r="BK450" t="s">
        <v>100</v>
      </c>
      <c r="BL450" t="s">
        <v>761</v>
      </c>
      <c r="BM450" t="s">
        <v>9209</v>
      </c>
      <c r="BN450">
        <v>36034512</v>
      </c>
      <c r="BO450" t="s">
        <v>1221</v>
      </c>
      <c r="BP450" t="s">
        <v>74</v>
      </c>
      <c r="BQ450" t="s">
        <v>74</v>
      </c>
      <c r="BR450" t="s">
        <v>103</v>
      </c>
      <c r="BS450" t="s">
        <v>9210</v>
      </c>
      <c r="BT450" t="str">
        <f>HYPERLINK("https%3A%2F%2Fwww.webofscience.com%2Fwos%2Fwoscc%2Ffull-record%2FWOS:000840812700001","View Full Record in Web of Science")</f>
        <v>View Full Record in Web of Science</v>
      </c>
    </row>
    <row r="451" spans="1:72" x14ac:dyDescent="0.15">
      <c r="A451" t="s">
        <v>72</v>
      </c>
      <c r="B451" t="s">
        <v>9211</v>
      </c>
      <c r="C451" t="s">
        <v>74</v>
      </c>
      <c r="D451" t="s">
        <v>74</v>
      </c>
      <c r="E451" t="s">
        <v>74</v>
      </c>
      <c r="F451" t="s">
        <v>9212</v>
      </c>
      <c r="G451" t="s">
        <v>74</v>
      </c>
      <c r="H451" t="s">
        <v>74</v>
      </c>
      <c r="I451" t="s">
        <v>9213</v>
      </c>
      <c r="J451" t="s">
        <v>2551</v>
      </c>
      <c r="K451" t="s">
        <v>74</v>
      </c>
      <c r="L451" t="s">
        <v>74</v>
      </c>
      <c r="M451" t="s">
        <v>78</v>
      </c>
      <c r="N451" t="s">
        <v>79</v>
      </c>
      <c r="O451" t="s">
        <v>74</v>
      </c>
      <c r="P451" t="s">
        <v>74</v>
      </c>
      <c r="Q451" t="s">
        <v>74</v>
      </c>
      <c r="R451" t="s">
        <v>74</v>
      </c>
      <c r="S451" t="s">
        <v>74</v>
      </c>
      <c r="T451" t="s">
        <v>9214</v>
      </c>
      <c r="U451" t="s">
        <v>9215</v>
      </c>
      <c r="V451" t="s">
        <v>9216</v>
      </c>
      <c r="W451" t="s">
        <v>9217</v>
      </c>
      <c r="X451" t="s">
        <v>9218</v>
      </c>
      <c r="Y451" t="s">
        <v>9219</v>
      </c>
      <c r="Z451" t="s">
        <v>9220</v>
      </c>
      <c r="AA451" t="s">
        <v>9221</v>
      </c>
      <c r="AB451" t="s">
        <v>9222</v>
      </c>
      <c r="AC451" t="s">
        <v>9223</v>
      </c>
      <c r="AD451" t="s">
        <v>9224</v>
      </c>
      <c r="AE451" t="s">
        <v>9225</v>
      </c>
      <c r="AF451" t="s">
        <v>74</v>
      </c>
      <c r="AG451">
        <v>49</v>
      </c>
      <c r="AH451">
        <v>8</v>
      </c>
      <c r="AI451">
        <v>8</v>
      </c>
      <c r="AJ451">
        <v>2</v>
      </c>
      <c r="AK451">
        <v>7</v>
      </c>
      <c r="AL451" t="s">
        <v>946</v>
      </c>
      <c r="AM451" t="s">
        <v>207</v>
      </c>
      <c r="AN451" t="s">
        <v>947</v>
      </c>
      <c r="AO451" t="s">
        <v>2563</v>
      </c>
      <c r="AP451" t="s">
        <v>2564</v>
      </c>
      <c r="AQ451" t="s">
        <v>74</v>
      </c>
      <c r="AR451" t="s">
        <v>2565</v>
      </c>
      <c r="AS451" t="s">
        <v>2566</v>
      </c>
      <c r="AT451" t="s">
        <v>9226</v>
      </c>
      <c r="AU451">
        <v>2022</v>
      </c>
      <c r="AV451">
        <v>49</v>
      </c>
      <c r="AW451">
        <v>15</v>
      </c>
      <c r="AX451" t="s">
        <v>74</v>
      </c>
      <c r="AY451" t="s">
        <v>74</v>
      </c>
      <c r="AZ451" t="s">
        <v>74</v>
      </c>
      <c r="BA451" t="s">
        <v>74</v>
      </c>
      <c r="BB451" t="s">
        <v>74</v>
      </c>
      <c r="BC451" t="s">
        <v>74</v>
      </c>
      <c r="BD451" t="s">
        <v>9227</v>
      </c>
      <c r="BE451" t="s">
        <v>9228</v>
      </c>
      <c r="BF451" t="str">
        <f>HYPERLINK("http://dx.doi.org/10.1029/2022GL098539","http://dx.doi.org/10.1029/2022GL098539")</f>
        <v>http://dx.doi.org/10.1029/2022GL098539</v>
      </c>
      <c r="BG451" t="s">
        <v>74</v>
      </c>
      <c r="BH451" t="s">
        <v>74</v>
      </c>
      <c r="BI451">
        <v>9</v>
      </c>
      <c r="BJ451" t="s">
        <v>129</v>
      </c>
      <c r="BK451" t="s">
        <v>100</v>
      </c>
      <c r="BL451" t="s">
        <v>130</v>
      </c>
      <c r="BM451" t="s">
        <v>9229</v>
      </c>
      <c r="BN451" t="s">
        <v>74</v>
      </c>
      <c r="BO451" t="s">
        <v>2512</v>
      </c>
      <c r="BP451" t="s">
        <v>74</v>
      </c>
      <c r="BQ451" t="s">
        <v>74</v>
      </c>
      <c r="BR451" t="s">
        <v>103</v>
      </c>
      <c r="BS451" t="s">
        <v>9230</v>
      </c>
      <c r="BT451" t="str">
        <f>HYPERLINK("https%3A%2F%2Fwww.webofscience.com%2Fwos%2Fwoscc%2Ffull-record%2FWOS:000841040300001","View Full Record in Web of Science")</f>
        <v>View Full Record in Web of Science</v>
      </c>
    </row>
    <row r="452" spans="1:72" x14ac:dyDescent="0.15">
      <c r="A452" t="s">
        <v>72</v>
      </c>
      <c r="B452" t="s">
        <v>9231</v>
      </c>
      <c r="C452" t="s">
        <v>74</v>
      </c>
      <c r="D452" t="s">
        <v>74</v>
      </c>
      <c r="E452" t="s">
        <v>74</v>
      </c>
      <c r="F452" t="s">
        <v>9232</v>
      </c>
      <c r="G452" t="s">
        <v>74</v>
      </c>
      <c r="H452" t="s">
        <v>74</v>
      </c>
      <c r="I452" t="s">
        <v>9233</v>
      </c>
      <c r="J452" t="s">
        <v>7335</v>
      </c>
      <c r="K452" t="s">
        <v>74</v>
      </c>
      <c r="L452" t="s">
        <v>74</v>
      </c>
      <c r="M452" t="s">
        <v>78</v>
      </c>
      <c r="N452" t="s">
        <v>79</v>
      </c>
      <c r="O452" t="s">
        <v>74</v>
      </c>
      <c r="P452" t="s">
        <v>74</v>
      </c>
      <c r="Q452" t="s">
        <v>74</v>
      </c>
      <c r="R452" t="s">
        <v>74</v>
      </c>
      <c r="S452" t="s">
        <v>74</v>
      </c>
      <c r="T452" t="s">
        <v>9234</v>
      </c>
      <c r="U452" t="s">
        <v>9235</v>
      </c>
      <c r="V452" t="s">
        <v>9236</v>
      </c>
      <c r="W452" t="s">
        <v>9237</v>
      </c>
      <c r="X452" t="s">
        <v>9238</v>
      </c>
      <c r="Y452" t="s">
        <v>9239</v>
      </c>
      <c r="Z452" t="s">
        <v>9240</v>
      </c>
      <c r="AA452" t="s">
        <v>9241</v>
      </c>
      <c r="AB452" t="s">
        <v>9242</v>
      </c>
      <c r="AC452" t="s">
        <v>9243</v>
      </c>
      <c r="AD452" t="s">
        <v>9244</v>
      </c>
      <c r="AE452" t="s">
        <v>9245</v>
      </c>
      <c r="AF452" t="s">
        <v>74</v>
      </c>
      <c r="AG452">
        <v>222</v>
      </c>
      <c r="AH452">
        <v>10</v>
      </c>
      <c r="AI452">
        <v>11</v>
      </c>
      <c r="AJ452">
        <v>28</v>
      </c>
      <c r="AK452">
        <v>83</v>
      </c>
      <c r="AL452" t="s">
        <v>89</v>
      </c>
      <c r="AM452" t="s">
        <v>90</v>
      </c>
      <c r="AN452" t="s">
        <v>91</v>
      </c>
      <c r="AO452" t="s">
        <v>7347</v>
      </c>
      <c r="AP452" t="s">
        <v>7348</v>
      </c>
      <c r="AQ452" t="s">
        <v>74</v>
      </c>
      <c r="AR452" t="s">
        <v>7335</v>
      </c>
      <c r="AS452" t="s">
        <v>7349</v>
      </c>
      <c r="AT452" t="s">
        <v>7852</v>
      </c>
      <c r="AU452">
        <v>2022</v>
      </c>
      <c r="AV452">
        <v>72</v>
      </c>
      <c r="AW452">
        <v>9</v>
      </c>
      <c r="AX452" t="s">
        <v>74</v>
      </c>
      <c r="AY452" t="s">
        <v>74</v>
      </c>
      <c r="AZ452" t="s">
        <v>74</v>
      </c>
      <c r="BA452" t="s">
        <v>74</v>
      </c>
      <c r="BB452">
        <v>827</v>
      </c>
      <c r="BC452">
        <v>850</v>
      </c>
      <c r="BD452" t="s">
        <v>74</v>
      </c>
      <c r="BE452" t="s">
        <v>9246</v>
      </c>
      <c r="BF452" t="str">
        <f>HYPERLINK("http://dx.doi.org/10.1093/biosci/biac050","http://dx.doi.org/10.1093/biosci/biac050")</f>
        <v>http://dx.doi.org/10.1093/biosci/biac050</v>
      </c>
      <c r="BG452" t="s">
        <v>74</v>
      </c>
      <c r="BH452" t="s">
        <v>7628</v>
      </c>
      <c r="BI452">
        <v>24</v>
      </c>
      <c r="BJ452" t="s">
        <v>760</v>
      </c>
      <c r="BK452" t="s">
        <v>100</v>
      </c>
      <c r="BL452" t="s">
        <v>761</v>
      </c>
      <c r="BM452" t="s">
        <v>9209</v>
      </c>
      <c r="BN452" t="s">
        <v>74</v>
      </c>
      <c r="BO452" t="s">
        <v>74</v>
      </c>
      <c r="BP452" t="s">
        <v>74</v>
      </c>
      <c r="BQ452" t="s">
        <v>74</v>
      </c>
      <c r="BR452" t="s">
        <v>103</v>
      </c>
      <c r="BS452" t="s">
        <v>9247</v>
      </c>
      <c r="BT452" t="str">
        <f>HYPERLINK("https%3A%2F%2Fwww.webofscience.com%2Fwos%2Fwoscc%2Ffull-record%2FWOS:000840811800001","View Full Record in Web of Science")</f>
        <v>View Full Record in Web of Science</v>
      </c>
    </row>
    <row r="453" spans="1:72" x14ac:dyDescent="0.15">
      <c r="A453" t="s">
        <v>72</v>
      </c>
      <c r="B453" t="s">
        <v>9248</v>
      </c>
      <c r="C453" t="s">
        <v>74</v>
      </c>
      <c r="D453" t="s">
        <v>74</v>
      </c>
      <c r="E453" t="s">
        <v>74</v>
      </c>
      <c r="F453" t="s">
        <v>9249</v>
      </c>
      <c r="G453" t="s">
        <v>74</v>
      </c>
      <c r="H453" t="s">
        <v>74</v>
      </c>
      <c r="I453" t="s">
        <v>9250</v>
      </c>
      <c r="J453" t="s">
        <v>2738</v>
      </c>
      <c r="K453" t="s">
        <v>74</v>
      </c>
      <c r="L453" t="s">
        <v>74</v>
      </c>
      <c r="M453" t="s">
        <v>78</v>
      </c>
      <c r="N453" t="s">
        <v>79</v>
      </c>
      <c r="O453" t="s">
        <v>74</v>
      </c>
      <c r="P453" t="s">
        <v>74</v>
      </c>
      <c r="Q453" t="s">
        <v>74</v>
      </c>
      <c r="R453" t="s">
        <v>74</v>
      </c>
      <c r="S453" t="s">
        <v>74</v>
      </c>
      <c r="T453" t="s">
        <v>9251</v>
      </c>
      <c r="U453" t="s">
        <v>9252</v>
      </c>
      <c r="V453" t="s">
        <v>9253</v>
      </c>
      <c r="W453" t="s">
        <v>9254</v>
      </c>
      <c r="X453" t="s">
        <v>9255</v>
      </c>
      <c r="Y453" t="s">
        <v>9256</v>
      </c>
      <c r="Z453" t="s">
        <v>9257</v>
      </c>
      <c r="AA453" t="s">
        <v>9258</v>
      </c>
      <c r="AB453" t="s">
        <v>9259</v>
      </c>
      <c r="AC453" t="s">
        <v>9260</v>
      </c>
      <c r="AD453" t="s">
        <v>9261</v>
      </c>
      <c r="AE453" t="s">
        <v>9262</v>
      </c>
      <c r="AF453" t="s">
        <v>74</v>
      </c>
      <c r="AG453">
        <v>31</v>
      </c>
      <c r="AH453">
        <v>2</v>
      </c>
      <c r="AI453">
        <v>2</v>
      </c>
      <c r="AJ453">
        <v>0</v>
      </c>
      <c r="AK453">
        <v>4</v>
      </c>
      <c r="AL453" t="s">
        <v>946</v>
      </c>
      <c r="AM453" t="s">
        <v>207</v>
      </c>
      <c r="AN453" t="s">
        <v>947</v>
      </c>
      <c r="AO453" t="s">
        <v>2751</v>
      </c>
      <c r="AP453" t="s">
        <v>2752</v>
      </c>
      <c r="AQ453" t="s">
        <v>74</v>
      </c>
      <c r="AR453" t="s">
        <v>2753</v>
      </c>
      <c r="AS453" t="s">
        <v>2754</v>
      </c>
      <c r="AT453" t="s">
        <v>9226</v>
      </c>
      <c r="AU453">
        <v>2022</v>
      </c>
      <c r="AV453">
        <v>127</v>
      </c>
      <c r="AW453">
        <v>15</v>
      </c>
      <c r="AX453" t="s">
        <v>74</v>
      </c>
      <c r="AY453" t="s">
        <v>74</v>
      </c>
      <c r="AZ453" t="s">
        <v>74</v>
      </c>
      <c r="BA453" t="s">
        <v>74</v>
      </c>
      <c r="BB453" t="s">
        <v>74</v>
      </c>
      <c r="BC453" t="s">
        <v>74</v>
      </c>
      <c r="BD453" t="s">
        <v>9263</v>
      </c>
      <c r="BE453" t="s">
        <v>9264</v>
      </c>
      <c r="BF453" t="str">
        <f>HYPERLINK("http://dx.doi.org/10.1029/2021JD036075","http://dx.doi.org/10.1029/2021JD036075")</f>
        <v>http://dx.doi.org/10.1029/2021JD036075</v>
      </c>
      <c r="BG453" t="s">
        <v>74</v>
      </c>
      <c r="BH453" t="s">
        <v>74</v>
      </c>
      <c r="BI453">
        <v>20</v>
      </c>
      <c r="BJ453" t="s">
        <v>457</v>
      </c>
      <c r="BK453" t="s">
        <v>100</v>
      </c>
      <c r="BL453" t="s">
        <v>457</v>
      </c>
      <c r="BM453" t="s">
        <v>9265</v>
      </c>
      <c r="BN453" t="s">
        <v>74</v>
      </c>
      <c r="BO453" t="s">
        <v>9266</v>
      </c>
      <c r="BP453" t="s">
        <v>74</v>
      </c>
      <c r="BQ453" t="s">
        <v>74</v>
      </c>
      <c r="BR453" t="s">
        <v>103</v>
      </c>
      <c r="BS453" t="s">
        <v>9267</v>
      </c>
      <c r="BT453" t="str">
        <f>HYPERLINK("https%3A%2F%2Fwww.webofscience.com%2Fwos%2Fwoscc%2Ffull-record%2FWOS:000838115400001","View Full Record in Web of Science")</f>
        <v>View Full Record in Web of Science</v>
      </c>
    </row>
    <row r="454" spans="1:72" x14ac:dyDescent="0.15">
      <c r="A454" t="s">
        <v>72</v>
      </c>
      <c r="B454" t="s">
        <v>9268</v>
      </c>
      <c r="C454" t="s">
        <v>74</v>
      </c>
      <c r="D454" t="s">
        <v>74</v>
      </c>
      <c r="E454" t="s">
        <v>74</v>
      </c>
      <c r="F454" t="s">
        <v>9269</v>
      </c>
      <c r="G454" t="s">
        <v>74</v>
      </c>
      <c r="H454" t="s">
        <v>74</v>
      </c>
      <c r="I454" t="s">
        <v>9270</v>
      </c>
      <c r="J454" t="s">
        <v>2738</v>
      </c>
      <c r="K454" t="s">
        <v>74</v>
      </c>
      <c r="L454" t="s">
        <v>74</v>
      </c>
      <c r="M454" t="s">
        <v>78</v>
      </c>
      <c r="N454" t="s">
        <v>79</v>
      </c>
      <c r="O454" t="s">
        <v>74</v>
      </c>
      <c r="P454" t="s">
        <v>74</v>
      </c>
      <c r="Q454" t="s">
        <v>74</v>
      </c>
      <c r="R454" t="s">
        <v>74</v>
      </c>
      <c r="S454" t="s">
        <v>74</v>
      </c>
      <c r="T454" t="s">
        <v>9271</v>
      </c>
      <c r="U454" t="s">
        <v>9272</v>
      </c>
      <c r="V454" t="s">
        <v>9273</v>
      </c>
      <c r="W454" t="s">
        <v>9274</v>
      </c>
      <c r="X454" t="s">
        <v>9275</v>
      </c>
      <c r="Y454" t="s">
        <v>9276</v>
      </c>
      <c r="Z454" t="s">
        <v>9277</v>
      </c>
      <c r="AA454" t="s">
        <v>9278</v>
      </c>
      <c r="AB454" t="s">
        <v>9279</v>
      </c>
      <c r="AC454" t="s">
        <v>9280</v>
      </c>
      <c r="AD454" t="s">
        <v>9281</v>
      </c>
      <c r="AE454" t="s">
        <v>9282</v>
      </c>
      <c r="AF454" t="s">
        <v>74</v>
      </c>
      <c r="AG454">
        <v>94</v>
      </c>
      <c r="AH454">
        <v>11</v>
      </c>
      <c r="AI454">
        <v>11</v>
      </c>
      <c r="AJ454">
        <v>1</v>
      </c>
      <c r="AK454">
        <v>7</v>
      </c>
      <c r="AL454" t="s">
        <v>946</v>
      </c>
      <c r="AM454" t="s">
        <v>207</v>
      </c>
      <c r="AN454" t="s">
        <v>947</v>
      </c>
      <c r="AO454" t="s">
        <v>2751</v>
      </c>
      <c r="AP454" t="s">
        <v>2752</v>
      </c>
      <c r="AQ454" t="s">
        <v>74</v>
      </c>
      <c r="AR454" t="s">
        <v>2753</v>
      </c>
      <c r="AS454" t="s">
        <v>2754</v>
      </c>
      <c r="AT454" t="s">
        <v>9226</v>
      </c>
      <c r="AU454">
        <v>2022</v>
      </c>
      <c r="AV454">
        <v>127</v>
      </c>
      <c r="AW454">
        <v>15</v>
      </c>
      <c r="AX454" t="s">
        <v>74</v>
      </c>
      <c r="AY454" t="s">
        <v>74</v>
      </c>
      <c r="AZ454" t="s">
        <v>74</v>
      </c>
      <c r="BA454" t="s">
        <v>74</v>
      </c>
      <c r="BB454" t="s">
        <v>74</v>
      </c>
      <c r="BC454" t="s">
        <v>74</v>
      </c>
      <c r="BD454" t="s">
        <v>9283</v>
      </c>
      <c r="BE454" t="s">
        <v>9284</v>
      </c>
      <c r="BF454" t="str">
        <f>HYPERLINK("http://dx.doi.org/10.1029/2022JD037063","http://dx.doi.org/10.1029/2022JD037063")</f>
        <v>http://dx.doi.org/10.1029/2022JD037063</v>
      </c>
      <c r="BG454" t="s">
        <v>74</v>
      </c>
      <c r="BH454" t="s">
        <v>74</v>
      </c>
      <c r="BI454">
        <v>19</v>
      </c>
      <c r="BJ454" t="s">
        <v>457</v>
      </c>
      <c r="BK454" t="s">
        <v>100</v>
      </c>
      <c r="BL454" t="s">
        <v>457</v>
      </c>
      <c r="BM454" t="s">
        <v>9285</v>
      </c>
      <c r="BN454">
        <v>36245639</v>
      </c>
      <c r="BO454" t="s">
        <v>2512</v>
      </c>
      <c r="BP454" t="s">
        <v>74</v>
      </c>
      <c r="BQ454" t="s">
        <v>74</v>
      </c>
      <c r="BR454" t="s">
        <v>103</v>
      </c>
      <c r="BS454" t="s">
        <v>9286</v>
      </c>
      <c r="BT454" t="str">
        <f>HYPERLINK("https%3A%2F%2Fwww.webofscience.com%2Fwos%2Fwoscc%2Ffull-record%2FWOS:000838361800001","View Full Record in Web of Science")</f>
        <v>View Full Record in Web of Science</v>
      </c>
    </row>
    <row r="455" spans="1:72" x14ac:dyDescent="0.15">
      <c r="A455" t="s">
        <v>72</v>
      </c>
      <c r="B455" t="s">
        <v>9287</v>
      </c>
      <c r="C455" t="s">
        <v>74</v>
      </c>
      <c r="D455" t="s">
        <v>74</v>
      </c>
      <c r="E455" t="s">
        <v>74</v>
      </c>
      <c r="F455" t="s">
        <v>9288</v>
      </c>
      <c r="G455" t="s">
        <v>74</v>
      </c>
      <c r="H455" t="s">
        <v>74</v>
      </c>
      <c r="I455" t="s">
        <v>9289</v>
      </c>
      <c r="J455" t="s">
        <v>2738</v>
      </c>
      <c r="K455" t="s">
        <v>74</v>
      </c>
      <c r="L455" t="s">
        <v>74</v>
      </c>
      <c r="M455" t="s">
        <v>78</v>
      </c>
      <c r="N455" t="s">
        <v>79</v>
      </c>
      <c r="O455" t="s">
        <v>74</v>
      </c>
      <c r="P455" t="s">
        <v>74</v>
      </c>
      <c r="Q455" t="s">
        <v>74</v>
      </c>
      <c r="R455" t="s">
        <v>74</v>
      </c>
      <c r="S455" t="s">
        <v>74</v>
      </c>
      <c r="T455" t="s">
        <v>9290</v>
      </c>
      <c r="U455" t="s">
        <v>9291</v>
      </c>
      <c r="V455" t="s">
        <v>9292</v>
      </c>
      <c r="W455" t="s">
        <v>9293</v>
      </c>
      <c r="X455" t="s">
        <v>9294</v>
      </c>
      <c r="Y455" t="s">
        <v>9295</v>
      </c>
      <c r="Z455" t="s">
        <v>9296</v>
      </c>
      <c r="AA455" t="s">
        <v>9297</v>
      </c>
      <c r="AB455" t="s">
        <v>9298</v>
      </c>
      <c r="AC455" t="s">
        <v>9299</v>
      </c>
      <c r="AD455" t="s">
        <v>9300</v>
      </c>
      <c r="AE455" t="s">
        <v>9301</v>
      </c>
      <c r="AF455" t="s">
        <v>74</v>
      </c>
      <c r="AG455">
        <v>85</v>
      </c>
      <c r="AH455">
        <v>2</v>
      </c>
      <c r="AI455">
        <v>2</v>
      </c>
      <c r="AJ455">
        <v>2</v>
      </c>
      <c r="AK455">
        <v>10</v>
      </c>
      <c r="AL455" t="s">
        <v>946</v>
      </c>
      <c r="AM455" t="s">
        <v>207</v>
      </c>
      <c r="AN455" t="s">
        <v>947</v>
      </c>
      <c r="AO455" t="s">
        <v>2751</v>
      </c>
      <c r="AP455" t="s">
        <v>2752</v>
      </c>
      <c r="AQ455" t="s">
        <v>74</v>
      </c>
      <c r="AR455" t="s">
        <v>2753</v>
      </c>
      <c r="AS455" t="s">
        <v>2754</v>
      </c>
      <c r="AT455" t="s">
        <v>9226</v>
      </c>
      <c r="AU455">
        <v>2022</v>
      </c>
      <c r="AV455">
        <v>127</v>
      </c>
      <c r="AW455">
        <v>15</v>
      </c>
      <c r="AX455" t="s">
        <v>74</v>
      </c>
      <c r="AY455" t="s">
        <v>74</v>
      </c>
      <c r="AZ455" t="s">
        <v>74</v>
      </c>
      <c r="BA455" t="s">
        <v>74</v>
      </c>
      <c r="BB455" t="s">
        <v>74</v>
      </c>
      <c r="BC455" t="s">
        <v>74</v>
      </c>
      <c r="BD455" t="s">
        <v>9302</v>
      </c>
      <c r="BE455" t="s">
        <v>9303</v>
      </c>
      <c r="BF455" t="str">
        <f>HYPERLINK("http://dx.doi.org/10.1029/2022JD036558","http://dx.doi.org/10.1029/2022JD036558")</f>
        <v>http://dx.doi.org/10.1029/2022JD036558</v>
      </c>
      <c r="BG455" t="s">
        <v>74</v>
      </c>
      <c r="BH455" t="s">
        <v>74</v>
      </c>
      <c r="BI455">
        <v>17</v>
      </c>
      <c r="BJ455" t="s">
        <v>457</v>
      </c>
      <c r="BK455" t="s">
        <v>100</v>
      </c>
      <c r="BL455" t="s">
        <v>457</v>
      </c>
      <c r="BM455" t="s">
        <v>9304</v>
      </c>
      <c r="BN455" t="s">
        <v>74</v>
      </c>
      <c r="BO455" t="s">
        <v>831</v>
      </c>
      <c r="BP455" t="s">
        <v>74</v>
      </c>
      <c r="BQ455" t="s">
        <v>74</v>
      </c>
      <c r="BR455" t="s">
        <v>103</v>
      </c>
      <c r="BS455" t="s">
        <v>9305</v>
      </c>
      <c r="BT455" t="str">
        <f>HYPERLINK("https%3A%2F%2Fwww.webofscience.com%2Fwos%2Fwoscc%2Ffull-record%2FWOS:000838116400001","View Full Record in Web of Science")</f>
        <v>View Full Record in Web of Science</v>
      </c>
    </row>
    <row r="456" spans="1:72" x14ac:dyDescent="0.15">
      <c r="A456" t="s">
        <v>72</v>
      </c>
      <c r="B456" t="s">
        <v>9306</v>
      </c>
      <c r="C456" t="s">
        <v>74</v>
      </c>
      <c r="D456" t="s">
        <v>74</v>
      </c>
      <c r="E456" t="s">
        <v>74</v>
      </c>
      <c r="F456" t="s">
        <v>9307</v>
      </c>
      <c r="G456" t="s">
        <v>74</v>
      </c>
      <c r="H456" t="s">
        <v>74</v>
      </c>
      <c r="I456" t="s">
        <v>9308</v>
      </c>
      <c r="J456" t="s">
        <v>2551</v>
      </c>
      <c r="K456" t="s">
        <v>74</v>
      </c>
      <c r="L456" t="s">
        <v>74</v>
      </c>
      <c r="M456" t="s">
        <v>78</v>
      </c>
      <c r="N456" t="s">
        <v>79</v>
      </c>
      <c r="O456" t="s">
        <v>74</v>
      </c>
      <c r="P456" t="s">
        <v>74</v>
      </c>
      <c r="Q456" t="s">
        <v>74</v>
      </c>
      <c r="R456" t="s">
        <v>74</v>
      </c>
      <c r="S456" t="s">
        <v>74</v>
      </c>
      <c r="T456" t="s">
        <v>9309</v>
      </c>
      <c r="U456" t="s">
        <v>9310</v>
      </c>
      <c r="V456" t="s">
        <v>9311</v>
      </c>
      <c r="W456" t="s">
        <v>9312</v>
      </c>
      <c r="X456" t="s">
        <v>4554</v>
      </c>
      <c r="Y456" t="s">
        <v>9313</v>
      </c>
      <c r="Z456" t="s">
        <v>9314</v>
      </c>
      <c r="AA456" t="s">
        <v>9315</v>
      </c>
      <c r="AB456" t="s">
        <v>9316</v>
      </c>
      <c r="AC456" t="s">
        <v>9317</v>
      </c>
      <c r="AD456" t="s">
        <v>9318</v>
      </c>
      <c r="AE456" t="s">
        <v>9319</v>
      </c>
      <c r="AF456" t="s">
        <v>74</v>
      </c>
      <c r="AG456">
        <v>47</v>
      </c>
      <c r="AH456">
        <v>6</v>
      </c>
      <c r="AI456">
        <v>6</v>
      </c>
      <c r="AJ456">
        <v>9</v>
      </c>
      <c r="AK456">
        <v>22</v>
      </c>
      <c r="AL456" t="s">
        <v>946</v>
      </c>
      <c r="AM456" t="s">
        <v>207</v>
      </c>
      <c r="AN456" t="s">
        <v>947</v>
      </c>
      <c r="AO456" t="s">
        <v>2563</v>
      </c>
      <c r="AP456" t="s">
        <v>2564</v>
      </c>
      <c r="AQ456" t="s">
        <v>74</v>
      </c>
      <c r="AR456" t="s">
        <v>2565</v>
      </c>
      <c r="AS456" t="s">
        <v>2566</v>
      </c>
      <c r="AT456" t="s">
        <v>9226</v>
      </c>
      <c r="AU456">
        <v>2022</v>
      </c>
      <c r="AV456">
        <v>49</v>
      </c>
      <c r="AW456">
        <v>15</v>
      </c>
      <c r="AX456" t="s">
        <v>74</v>
      </c>
      <c r="AY456" t="s">
        <v>74</v>
      </c>
      <c r="AZ456" t="s">
        <v>74</v>
      </c>
      <c r="BA456" t="s">
        <v>74</v>
      </c>
      <c r="BB456" t="s">
        <v>74</v>
      </c>
      <c r="BC456" t="s">
        <v>74</v>
      </c>
      <c r="BD456" t="s">
        <v>9320</v>
      </c>
      <c r="BE456" t="s">
        <v>9321</v>
      </c>
      <c r="BF456" t="str">
        <f>HYPERLINK("http://dx.doi.org/10.1029/2021GL097372","http://dx.doi.org/10.1029/2021GL097372")</f>
        <v>http://dx.doi.org/10.1029/2021GL097372</v>
      </c>
      <c r="BG456" t="s">
        <v>74</v>
      </c>
      <c r="BH456" t="s">
        <v>74</v>
      </c>
      <c r="BI456">
        <v>10</v>
      </c>
      <c r="BJ456" t="s">
        <v>129</v>
      </c>
      <c r="BK456" t="s">
        <v>100</v>
      </c>
      <c r="BL456" t="s">
        <v>130</v>
      </c>
      <c r="BM456" t="s">
        <v>9322</v>
      </c>
      <c r="BN456" t="s">
        <v>74</v>
      </c>
      <c r="BO456" t="s">
        <v>1013</v>
      </c>
      <c r="BP456" t="s">
        <v>74</v>
      </c>
      <c r="BQ456" t="s">
        <v>74</v>
      </c>
      <c r="BR456" t="s">
        <v>103</v>
      </c>
      <c r="BS456" t="s">
        <v>9323</v>
      </c>
      <c r="BT456" t="str">
        <f>HYPERLINK("https%3A%2F%2Fwww.webofscience.com%2Fwos%2Fwoscc%2Ffull-record%2FWOS:000838165700001","View Full Record in Web of Science")</f>
        <v>View Full Record in Web of Science</v>
      </c>
    </row>
    <row r="457" spans="1:72" x14ac:dyDescent="0.15">
      <c r="A457" t="s">
        <v>72</v>
      </c>
      <c r="B457" t="s">
        <v>9324</v>
      </c>
      <c r="C457" t="s">
        <v>74</v>
      </c>
      <c r="D457" t="s">
        <v>74</v>
      </c>
      <c r="E457" t="s">
        <v>74</v>
      </c>
      <c r="F457" t="s">
        <v>9325</v>
      </c>
      <c r="G457" t="s">
        <v>74</v>
      </c>
      <c r="H457" t="s">
        <v>74</v>
      </c>
      <c r="I457" t="s">
        <v>9326</v>
      </c>
      <c r="J457" t="s">
        <v>2551</v>
      </c>
      <c r="K457" t="s">
        <v>74</v>
      </c>
      <c r="L457" t="s">
        <v>74</v>
      </c>
      <c r="M457" t="s">
        <v>78</v>
      </c>
      <c r="N457" t="s">
        <v>79</v>
      </c>
      <c r="O457" t="s">
        <v>74</v>
      </c>
      <c r="P457" t="s">
        <v>74</v>
      </c>
      <c r="Q457" t="s">
        <v>74</v>
      </c>
      <c r="R457" t="s">
        <v>74</v>
      </c>
      <c r="S457" t="s">
        <v>74</v>
      </c>
      <c r="T457" t="s">
        <v>9327</v>
      </c>
      <c r="U457" t="s">
        <v>9328</v>
      </c>
      <c r="V457" t="s">
        <v>9329</v>
      </c>
      <c r="W457" t="s">
        <v>9330</v>
      </c>
      <c r="X457" t="s">
        <v>9331</v>
      </c>
      <c r="Y457" t="s">
        <v>9332</v>
      </c>
      <c r="Z457" t="s">
        <v>9333</v>
      </c>
      <c r="AA457" t="s">
        <v>74</v>
      </c>
      <c r="AB457" t="s">
        <v>9334</v>
      </c>
      <c r="AC457" t="s">
        <v>9335</v>
      </c>
      <c r="AD457" t="s">
        <v>9336</v>
      </c>
      <c r="AE457" t="s">
        <v>9337</v>
      </c>
      <c r="AF457" t="s">
        <v>74</v>
      </c>
      <c r="AG457">
        <v>41</v>
      </c>
      <c r="AH457">
        <v>3</v>
      </c>
      <c r="AI457">
        <v>3</v>
      </c>
      <c r="AJ457">
        <v>0</v>
      </c>
      <c r="AK457">
        <v>8</v>
      </c>
      <c r="AL457" t="s">
        <v>946</v>
      </c>
      <c r="AM457" t="s">
        <v>207</v>
      </c>
      <c r="AN457" t="s">
        <v>947</v>
      </c>
      <c r="AO457" t="s">
        <v>2563</v>
      </c>
      <c r="AP457" t="s">
        <v>2564</v>
      </c>
      <c r="AQ457" t="s">
        <v>74</v>
      </c>
      <c r="AR457" t="s">
        <v>2565</v>
      </c>
      <c r="AS457" t="s">
        <v>2566</v>
      </c>
      <c r="AT457" t="s">
        <v>9226</v>
      </c>
      <c r="AU457">
        <v>2022</v>
      </c>
      <c r="AV457">
        <v>49</v>
      </c>
      <c r="AW457">
        <v>15</v>
      </c>
      <c r="AX457" t="s">
        <v>74</v>
      </c>
      <c r="AY457" t="s">
        <v>74</v>
      </c>
      <c r="AZ457" t="s">
        <v>74</v>
      </c>
      <c r="BA457" t="s">
        <v>74</v>
      </c>
      <c r="BB457" t="s">
        <v>74</v>
      </c>
      <c r="BC457" t="s">
        <v>74</v>
      </c>
      <c r="BD457" t="s">
        <v>9338</v>
      </c>
      <c r="BE457" t="s">
        <v>9339</v>
      </c>
      <c r="BF457" t="str">
        <f>HYPERLINK("http://dx.doi.org/10.1029/2021GL097525","http://dx.doi.org/10.1029/2021GL097525")</f>
        <v>http://dx.doi.org/10.1029/2021GL097525</v>
      </c>
      <c r="BG457" t="s">
        <v>74</v>
      </c>
      <c r="BH457" t="s">
        <v>74</v>
      </c>
      <c r="BI457">
        <v>10</v>
      </c>
      <c r="BJ457" t="s">
        <v>129</v>
      </c>
      <c r="BK457" t="s">
        <v>100</v>
      </c>
      <c r="BL457" t="s">
        <v>130</v>
      </c>
      <c r="BM457" t="s">
        <v>9340</v>
      </c>
      <c r="BN457" t="s">
        <v>74</v>
      </c>
      <c r="BO457" t="s">
        <v>2401</v>
      </c>
      <c r="BP457" t="s">
        <v>74</v>
      </c>
      <c r="BQ457" t="s">
        <v>74</v>
      </c>
      <c r="BR457" t="s">
        <v>103</v>
      </c>
      <c r="BS457" t="s">
        <v>9341</v>
      </c>
      <c r="BT457" t="str">
        <f>HYPERLINK("https%3A%2F%2Fwww.webofscience.com%2Fwos%2Fwoscc%2Ffull-record%2FWOS:000838112000001","View Full Record in Web of Science")</f>
        <v>View Full Record in Web of Science</v>
      </c>
    </row>
    <row r="458" spans="1:72" x14ac:dyDescent="0.15">
      <c r="A458" t="s">
        <v>72</v>
      </c>
      <c r="B458" t="s">
        <v>9342</v>
      </c>
      <c r="C458" t="s">
        <v>74</v>
      </c>
      <c r="D458" t="s">
        <v>74</v>
      </c>
      <c r="E458" t="s">
        <v>74</v>
      </c>
      <c r="F458" t="s">
        <v>9343</v>
      </c>
      <c r="G458" t="s">
        <v>74</v>
      </c>
      <c r="H458" t="s">
        <v>74</v>
      </c>
      <c r="I458" t="s">
        <v>9344</v>
      </c>
      <c r="J458" t="s">
        <v>8967</v>
      </c>
      <c r="K458" t="s">
        <v>74</v>
      </c>
      <c r="L458" t="s">
        <v>74</v>
      </c>
      <c r="M458" t="s">
        <v>78</v>
      </c>
      <c r="N458" t="s">
        <v>79</v>
      </c>
      <c r="O458" t="s">
        <v>74</v>
      </c>
      <c r="P458" t="s">
        <v>74</v>
      </c>
      <c r="Q458" t="s">
        <v>74</v>
      </c>
      <c r="R458" t="s">
        <v>74</v>
      </c>
      <c r="S458" t="s">
        <v>74</v>
      </c>
      <c r="T458" t="s">
        <v>9345</v>
      </c>
      <c r="U458" t="s">
        <v>9346</v>
      </c>
      <c r="V458" t="s">
        <v>9347</v>
      </c>
      <c r="W458" t="s">
        <v>9348</v>
      </c>
      <c r="X458" t="s">
        <v>9349</v>
      </c>
      <c r="Y458" t="s">
        <v>9350</v>
      </c>
      <c r="Z458" t="s">
        <v>9351</v>
      </c>
      <c r="AA458" t="s">
        <v>74</v>
      </c>
      <c r="AB458" t="s">
        <v>74</v>
      </c>
      <c r="AC458" t="s">
        <v>9352</v>
      </c>
      <c r="AD458" t="s">
        <v>9353</v>
      </c>
      <c r="AE458" t="s">
        <v>9354</v>
      </c>
      <c r="AF458" t="s">
        <v>74</v>
      </c>
      <c r="AG458">
        <v>45</v>
      </c>
      <c r="AH458">
        <v>4</v>
      </c>
      <c r="AI458">
        <v>4</v>
      </c>
      <c r="AJ458">
        <v>2</v>
      </c>
      <c r="AK458">
        <v>6</v>
      </c>
      <c r="AL458" t="s">
        <v>8978</v>
      </c>
      <c r="AM458" t="s">
        <v>207</v>
      </c>
      <c r="AN458" t="s">
        <v>8979</v>
      </c>
      <c r="AO458" t="s">
        <v>8980</v>
      </c>
      <c r="AP458" t="s">
        <v>8981</v>
      </c>
      <c r="AQ458" t="s">
        <v>74</v>
      </c>
      <c r="AR458" t="s">
        <v>8982</v>
      </c>
      <c r="AS458" t="s">
        <v>8983</v>
      </c>
      <c r="AT458" t="s">
        <v>9355</v>
      </c>
      <c r="AU458">
        <v>2022</v>
      </c>
      <c r="AV458">
        <v>119</v>
      </c>
      <c r="AW458">
        <v>34</v>
      </c>
      <c r="AX458" t="s">
        <v>74</v>
      </c>
      <c r="AY458" t="s">
        <v>74</v>
      </c>
      <c r="AZ458" t="s">
        <v>74</v>
      </c>
      <c r="BA458" t="s">
        <v>74</v>
      </c>
      <c r="BB458" t="s">
        <v>74</v>
      </c>
      <c r="BC458" t="s">
        <v>74</v>
      </c>
      <c r="BD458" t="s">
        <v>9356</v>
      </c>
      <c r="BE458" t="s">
        <v>9357</v>
      </c>
      <c r="BF458" t="str">
        <f>HYPERLINK("http://dx.doi.org/10.1073/pnas.2207641119","http://dx.doi.org/10.1073/pnas.2207641119")</f>
        <v>http://dx.doi.org/10.1073/pnas.2207641119</v>
      </c>
      <c r="BG458" t="s">
        <v>74</v>
      </c>
      <c r="BH458" t="s">
        <v>74</v>
      </c>
      <c r="BI458">
        <v>6</v>
      </c>
      <c r="BJ458" t="s">
        <v>156</v>
      </c>
      <c r="BK458" t="s">
        <v>100</v>
      </c>
      <c r="BL458" t="s">
        <v>157</v>
      </c>
      <c r="BM458" t="s">
        <v>9358</v>
      </c>
      <c r="BN458">
        <v>35969788</v>
      </c>
      <c r="BO458" t="s">
        <v>1341</v>
      </c>
      <c r="BP458" t="s">
        <v>74</v>
      </c>
      <c r="BQ458" t="s">
        <v>74</v>
      </c>
      <c r="BR458" t="s">
        <v>103</v>
      </c>
      <c r="BS458" t="s">
        <v>9359</v>
      </c>
      <c r="BT458" t="str">
        <f>HYPERLINK("https%3A%2F%2Fwww.webofscience.com%2Fwos%2Fwoscc%2Ffull-record%2FWOS:000865941000017","View Full Record in Web of Science")</f>
        <v>View Full Record in Web of Science</v>
      </c>
    </row>
    <row r="459" spans="1:72" x14ac:dyDescent="0.15">
      <c r="A459" t="s">
        <v>72</v>
      </c>
      <c r="B459" t="s">
        <v>9360</v>
      </c>
      <c r="C459" t="s">
        <v>74</v>
      </c>
      <c r="D459" t="s">
        <v>74</v>
      </c>
      <c r="E459" t="s">
        <v>74</v>
      </c>
      <c r="F459" t="s">
        <v>9361</v>
      </c>
      <c r="G459" t="s">
        <v>74</v>
      </c>
      <c r="H459" t="s">
        <v>74</v>
      </c>
      <c r="I459" t="s">
        <v>9362</v>
      </c>
      <c r="J459" t="s">
        <v>5608</v>
      </c>
      <c r="K459" t="s">
        <v>74</v>
      </c>
      <c r="L459" t="s">
        <v>74</v>
      </c>
      <c r="M459" t="s">
        <v>78</v>
      </c>
      <c r="N459" t="s">
        <v>79</v>
      </c>
      <c r="O459" t="s">
        <v>74</v>
      </c>
      <c r="P459" t="s">
        <v>74</v>
      </c>
      <c r="Q459" t="s">
        <v>74</v>
      </c>
      <c r="R459" t="s">
        <v>74</v>
      </c>
      <c r="S459" t="s">
        <v>74</v>
      </c>
      <c r="T459" t="s">
        <v>9363</v>
      </c>
      <c r="U459" t="s">
        <v>9364</v>
      </c>
      <c r="V459" t="s">
        <v>9365</v>
      </c>
      <c r="W459" t="s">
        <v>9366</v>
      </c>
      <c r="X459" t="s">
        <v>9367</v>
      </c>
      <c r="Y459" t="s">
        <v>9368</v>
      </c>
      <c r="Z459" t="s">
        <v>9369</v>
      </c>
      <c r="AA459" t="s">
        <v>9370</v>
      </c>
      <c r="AB459" t="s">
        <v>9371</v>
      </c>
      <c r="AC459" t="s">
        <v>9372</v>
      </c>
      <c r="AD459" t="s">
        <v>9373</v>
      </c>
      <c r="AE459" t="s">
        <v>9374</v>
      </c>
      <c r="AF459" t="s">
        <v>74</v>
      </c>
      <c r="AG459">
        <v>62</v>
      </c>
      <c r="AH459">
        <v>0</v>
      </c>
      <c r="AI459">
        <v>1</v>
      </c>
      <c r="AJ459">
        <v>3</v>
      </c>
      <c r="AK459">
        <v>13</v>
      </c>
      <c r="AL459" t="s">
        <v>5619</v>
      </c>
      <c r="AM459" t="s">
        <v>550</v>
      </c>
      <c r="AN459" t="s">
        <v>5620</v>
      </c>
      <c r="AO459" t="s">
        <v>5621</v>
      </c>
      <c r="AP459" t="s">
        <v>5622</v>
      </c>
      <c r="AQ459" t="s">
        <v>74</v>
      </c>
      <c r="AR459" t="s">
        <v>5623</v>
      </c>
      <c r="AS459" t="s">
        <v>5624</v>
      </c>
      <c r="AT459" t="s">
        <v>3605</v>
      </c>
      <c r="AU459">
        <v>2022</v>
      </c>
      <c r="AV459">
        <v>65</v>
      </c>
      <c r="AW459">
        <v>9</v>
      </c>
      <c r="AX459" t="s">
        <v>74</v>
      </c>
      <c r="AY459" t="s">
        <v>74</v>
      </c>
      <c r="AZ459" t="s">
        <v>74</v>
      </c>
      <c r="BA459" t="s">
        <v>74</v>
      </c>
      <c r="BB459">
        <v>1824</v>
      </c>
      <c r="BC459">
        <v>1836</v>
      </c>
      <c r="BD459" t="s">
        <v>74</v>
      </c>
      <c r="BE459" t="s">
        <v>9375</v>
      </c>
      <c r="BF459" t="str">
        <f>HYPERLINK("http://dx.doi.org/10.1007/s11430-021-9924-7","http://dx.doi.org/10.1007/s11430-021-9924-7")</f>
        <v>http://dx.doi.org/10.1007/s11430-021-9924-7</v>
      </c>
      <c r="BG459" t="s">
        <v>74</v>
      </c>
      <c r="BH459" t="s">
        <v>7628</v>
      </c>
      <c r="BI459">
        <v>13</v>
      </c>
      <c r="BJ459" t="s">
        <v>129</v>
      </c>
      <c r="BK459" t="s">
        <v>100</v>
      </c>
      <c r="BL459" t="s">
        <v>130</v>
      </c>
      <c r="BM459" t="s">
        <v>9376</v>
      </c>
      <c r="BN459" t="s">
        <v>74</v>
      </c>
      <c r="BO459" t="s">
        <v>74</v>
      </c>
      <c r="BP459" t="s">
        <v>74</v>
      </c>
      <c r="BQ459" t="s">
        <v>74</v>
      </c>
      <c r="BR459" t="s">
        <v>103</v>
      </c>
      <c r="BS459" t="s">
        <v>9377</v>
      </c>
      <c r="BT459" t="str">
        <f>HYPERLINK("https%3A%2F%2Fwww.webofscience.com%2Fwos%2Fwoscc%2Ffull-record%2FWOS:000841699900002","View Full Record in Web of Science")</f>
        <v>View Full Record in Web of Science</v>
      </c>
    </row>
    <row r="460" spans="1:72" x14ac:dyDescent="0.15">
      <c r="A460" t="s">
        <v>72</v>
      </c>
      <c r="B460" t="s">
        <v>9378</v>
      </c>
      <c r="C460" t="s">
        <v>74</v>
      </c>
      <c r="D460" t="s">
        <v>74</v>
      </c>
      <c r="E460" t="s">
        <v>74</v>
      </c>
      <c r="F460" t="s">
        <v>9379</v>
      </c>
      <c r="G460" t="s">
        <v>74</v>
      </c>
      <c r="H460" t="s">
        <v>74</v>
      </c>
      <c r="I460" t="s">
        <v>9380</v>
      </c>
      <c r="J460" t="s">
        <v>9381</v>
      </c>
      <c r="K460" t="s">
        <v>74</v>
      </c>
      <c r="L460" t="s">
        <v>74</v>
      </c>
      <c r="M460" t="s">
        <v>78</v>
      </c>
      <c r="N460" t="s">
        <v>79</v>
      </c>
      <c r="O460" t="s">
        <v>74</v>
      </c>
      <c r="P460" t="s">
        <v>74</v>
      </c>
      <c r="Q460" t="s">
        <v>74</v>
      </c>
      <c r="R460" t="s">
        <v>74</v>
      </c>
      <c r="S460" t="s">
        <v>74</v>
      </c>
      <c r="T460" t="s">
        <v>9382</v>
      </c>
      <c r="U460" t="s">
        <v>9383</v>
      </c>
      <c r="V460" t="s">
        <v>9384</v>
      </c>
      <c r="W460" t="s">
        <v>9385</v>
      </c>
      <c r="X460" t="s">
        <v>9386</v>
      </c>
      <c r="Y460" t="s">
        <v>9387</v>
      </c>
      <c r="Z460" t="s">
        <v>9388</v>
      </c>
      <c r="AA460" t="s">
        <v>9389</v>
      </c>
      <c r="AB460" t="s">
        <v>9390</v>
      </c>
      <c r="AC460" t="s">
        <v>9391</v>
      </c>
      <c r="AD460" t="s">
        <v>9392</v>
      </c>
      <c r="AE460" t="s">
        <v>9393</v>
      </c>
      <c r="AF460" t="s">
        <v>74</v>
      </c>
      <c r="AG460">
        <v>32</v>
      </c>
      <c r="AH460">
        <v>0</v>
      </c>
      <c r="AI460">
        <v>1</v>
      </c>
      <c r="AJ460">
        <v>2</v>
      </c>
      <c r="AK460">
        <v>5</v>
      </c>
      <c r="AL460" t="s">
        <v>9394</v>
      </c>
      <c r="AM460" t="s">
        <v>9395</v>
      </c>
      <c r="AN460" t="s">
        <v>9396</v>
      </c>
      <c r="AO460" t="s">
        <v>9397</v>
      </c>
      <c r="AP460" t="s">
        <v>74</v>
      </c>
      <c r="AQ460" t="s">
        <v>74</v>
      </c>
      <c r="AR460" t="s">
        <v>9398</v>
      </c>
      <c r="AS460" t="s">
        <v>9399</v>
      </c>
      <c r="AT460" t="s">
        <v>9355</v>
      </c>
      <c r="AU460">
        <v>2022</v>
      </c>
      <c r="AV460">
        <v>9</v>
      </c>
      <c r="AW460">
        <v>16</v>
      </c>
      <c r="AX460" t="s">
        <v>74</v>
      </c>
      <c r="AY460" t="s">
        <v>74</v>
      </c>
      <c r="AZ460" t="s">
        <v>74</v>
      </c>
      <c r="BA460" t="s">
        <v>74</v>
      </c>
      <c r="BB460">
        <v>15161</v>
      </c>
      <c r="BC460">
        <v>15168</v>
      </c>
      <c r="BD460" t="s">
        <v>74</v>
      </c>
      <c r="BE460" t="s">
        <v>9400</v>
      </c>
      <c r="BF460" t="str">
        <f>HYPERLINK("http://dx.doi.org/10.1109/JIOT.2022.3148005","http://dx.doi.org/10.1109/JIOT.2022.3148005")</f>
        <v>http://dx.doi.org/10.1109/JIOT.2022.3148005</v>
      </c>
      <c r="BG460" t="s">
        <v>74</v>
      </c>
      <c r="BH460" t="s">
        <v>74</v>
      </c>
      <c r="BI460">
        <v>8</v>
      </c>
      <c r="BJ460" t="s">
        <v>9401</v>
      </c>
      <c r="BK460" t="s">
        <v>100</v>
      </c>
      <c r="BL460" t="s">
        <v>9402</v>
      </c>
      <c r="BM460" t="s">
        <v>9403</v>
      </c>
      <c r="BN460" t="s">
        <v>74</v>
      </c>
      <c r="BO460" t="s">
        <v>74</v>
      </c>
      <c r="BP460" t="s">
        <v>74</v>
      </c>
      <c r="BQ460" t="s">
        <v>74</v>
      </c>
      <c r="BR460" t="s">
        <v>103</v>
      </c>
      <c r="BS460" t="s">
        <v>9404</v>
      </c>
      <c r="BT460" t="str">
        <f>HYPERLINK("https%3A%2F%2Fwww.webofscience.com%2Fwos%2Fwoscc%2Ffull-record%2FWOS:000838706600088","View Full Record in Web of Science")</f>
        <v>View Full Record in Web of Science</v>
      </c>
    </row>
    <row r="461" spans="1:72" x14ac:dyDescent="0.15">
      <c r="A461" t="s">
        <v>72</v>
      </c>
      <c r="B461" t="s">
        <v>9405</v>
      </c>
      <c r="C461" t="s">
        <v>74</v>
      </c>
      <c r="D461" t="s">
        <v>74</v>
      </c>
      <c r="E461" t="s">
        <v>74</v>
      </c>
      <c r="F461" t="s">
        <v>9406</v>
      </c>
      <c r="G461" t="s">
        <v>74</v>
      </c>
      <c r="H461" t="s">
        <v>74</v>
      </c>
      <c r="I461" t="s">
        <v>9407</v>
      </c>
      <c r="J461" t="s">
        <v>335</v>
      </c>
      <c r="K461" t="s">
        <v>74</v>
      </c>
      <c r="L461" t="s">
        <v>74</v>
      </c>
      <c r="M461" t="s">
        <v>78</v>
      </c>
      <c r="N461" t="s">
        <v>79</v>
      </c>
      <c r="O461" t="s">
        <v>74</v>
      </c>
      <c r="P461" t="s">
        <v>74</v>
      </c>
      <c r="Q461" t="s">
        <v>74</v>
      </c>
      <c r="R461" t="s">
        <v>74</v>
      </c>
      <c r="S461" t="s">
        <v>74</v>
      </c>
      <c r="T461" t="s">
        <v>9408</v>
      </c>
      <c r="U461" t="s">
        <v>9409</v>
      </c>
      <c r="V461" t="s">
        <v>9410</v>
      </c>
      <c r="W461" t="s">
        <v>9411</v>
      </c>
      <c r="X461" t="s">
        <v>9412</v>
      </c>
      <c r="Y461" t="s">
        <v>9413</v>
      </c>
      <c r="Z461" t="s">
        <v>9414</v>
      </c>
      <c r="AA461" t="s">
        <v>9415</v>
      </c>
      <c r="AB461" t="s">
        <v>9416</v>
      </c>
      <c r="AC461" t="s">
        <v>9417</v>
      </c>
      <c r="AD461" t="s">
        <v>9418</v>
      </c>
      <c r="AE461" t="s">
        <v>9419</v>
      </c>
      <c r="AF461" t="s">
        <v>74</v>
      </c>
      <c r="AG461">
        <v>70</v>
      </c>
      <c r="AH461">
        <v>0</v>
      </c>
      <c r="AI461">
        <v>0</v>
      </c>
      <c r="AJ461">
        <v>3</v>
      </c>
      <c r="AK461">
        <v>7</v>
      </c>
      <c r="AL461" t="s">
        <v>345</v>
      </c>
      <c r="AM461" t="s">
        <v>346</v>
      </c>
      <c r="AN461" t="s">
        <v>347</v>
      </c>
      <c r="AO461" t="s">
        <v>348</v>
      </c>
      <c r="AP461" t="s">
        <v>349</v>
      </c>
      <c r="AQ461" t="s">
        <v>74</v>
      </c>
      <c r="AR461" t="s">
        <v>350</v>
      </c>
      <c r="AS461" t="s">
        <v>351</v>
      </c>
      <c r="AT461" t="s">
        <v>2418</v>
      </c>
      <c r="AU461">
        <v>2023</v>
      </c>
      <c r="AV461">
        <v>69</v>
      </c>
      <c r="AW461">
        <v>274</v>
      </c>
      <c r="AX461" t="s">
        <v>74</v>
      </c>
      <c r="AY461" t="s">
        <v>74</v>
      </c>
      <c r="AZ461" t="s">
        <v>74</v>
      </c>
      <c r="BA461" t="s">
        <v>74</v>
      </c>
      <c r="BB461">
        <v>342</v>
      </c>
      <c r="BC461">
        <v>352</v>
      </c>
      <c r="BD461" t="s">
        <v>9420</v>
      </c>
      <c r="BE461" t="s">
        <v>9421</v>
      </c>
      <c r="BF461" t="str">
        <f>HYPERLINK("http://dx.doi.org/10.1017/jog.2022.66","http://dx.doi.org/10.1017/jog.2022.66")</f>
        <v>http://dx.doi.org/10.1017/jog.2022.66</v>
      </c>
      <c r="BG461" t="s">
        <v>74</v>
      </c>
      <c r="BH461" t="s">
        <v>7628</v>
      </c>
      <c r="BI461">
        <v>11</v>
      </c>
      <c r="BJ461" t="s">
        <v>354</v>
      </c>
      <c r="BK461" t="s">
        <v>100</v>
      </c>
      <c r="BL461" t="s">
        <v>241</v>
      </c>
      <c r="BM461" t="s">
        <v>9422</v>
      </c>
      <c r="BN461" t="s">
        <v>74</v>
      </c>
      <c r="BO461" t="s">
        <v>132</v>
      </c>
      <c r="BP461" t="s">
        <v>74</v>
      </c>
      <c r="BQ461" t="s">
        <v>74</v>
      </c>
      <c r="BR461" t="s">
        <v>103</v>
      </c>
      <c r="BS461" t="s">
        <v>9423</v>
      </c>
      <c r="BT461" t="str">
        <f>HYPERLINK("https%3A%2F%2Fwww.webofscience.com%2Fwos%2Fwoscc%2Ffull-record%2FWOS:000840549100001","View Full Record in Web of Science")</f>
        <v>View Full Record in Web of Science</v>
      </c>
    </row>
    <row r="462" spans="1:72" x14ac:dyDescent="0.15">
      <c r="A462" t="s">
        <v>72</v>
      </c>
      <c r="B462" t="s">
        <v>9424</v>
      </c>
      <c r="C462" t="s">
        <v>74</v>
      </c>
      <c r="D462" t="s">
        <v>74</v>
      </c>
      <c r="E462" t="s">
        <v>74</v>
      </c>
      <c r="F462" t="s">
        <v>9425</v>
      </c>
      <c r="G462" t="s">
        <v>74</v>
      </c>
      <c r="H462" t="s">
        <v>74</v>
      </c>
      <c r="I462" t="s">
        <v>9426</v>
      </c>
      <c r="J462" t="s">
        <v>9427</v>
      </c>
      <c r="K462" t="s">
        <v>74</v>
      </c>
      <c r="L462" t="s">
        <v>74</v>
      </c>
      <c r="M462" t="s">
        <v>78</v>
      </c>
      <c r="N462" t="s">
        <v>79</v>
      </c>
      <c r="O462" t="s">
        <v>74</v>
      </c>
      <c r="P462" t="s">
        <v>74</v>
      </c>
      <c r="Q462" t="s">
        <v>74</v>
      </c>
      <c r="R462" t="s">
        <v>74</v>
      </c>
      <c r="S462" t="s">
        <v>74</v>
      </c>
      <c r="T462" t="s">
        <v>74</v>
      </c>
      <c r="U462" t="s">
        <v>9428</v>
      </c>
      <c r="V462" t="s">
        <v>9429</v>
      </c>
      <c r="W462" t="s">
        <v>9430</v>
      </c>
      <c r="X462" t="s">
        <v>9431</v>
      </c>
      <c r="Y462" t="s">
        <v>9432</v>
      </c>
      <c r="Z462" t="s">
        <v>9433</v>
      </c>
      <c r="AA462" t="s">
        <v>9434</v>
      </c>
      <c r="AB462" t="s">
        <v>9435</v>
      </c>
      <c r="AC462" t="s">
        <v>9436</v>
      </c>
      <c r="AD462" t="s">
        <v>9437</v>
      </c>
      <c r="AE462" t="s">
        <v>9438</v>
      </c>
      <c r="AF462" t="s">
        <v>74</v>
      </c>
      <c r="AG462">
        <v>87</v>
      </c>
      <c r="AH462">
        <v>10</v>
      </c>
      <c r="AI462">
        <v>10</v>
      </c>
      <c r="AJ462">
        <v>15</v>
      </c>
      <c r="AK462">
        <v>71</v>
      </c>
      <c r="AL462" t="s">
        <v>149</v>
      </c>
      <c r="AM462" t="s">
        <v>150</v>
      </c>
      <c r="AN462" t="s">
        <v>151</v>
      </c>
      <c r="AO462" t="s">
        <v>9439</v>
      </c>
      <c r="AP462" t="s">
        <v>74</v>
      </c>
      <c r="AQ462" t="s">
        <v>74</v>
      </c>
      <c r="AR462" t="s">
        <v>9440</v>
      </c>
      <c r="AS462" t="s">
        <v>9441</v>
      </c>
      <c r="AT462" t="s">
        <v>428</v>
      </c>
      <c r="AU462">
        <v>2022</v>
      </c>
      <c r="AV462">
        <v>5</v>
      </c>
      <c r="AW462">
        <v>10</v>
      </c>
      <c r="AX462" t="s">
        <v>74</v>
      </c>
      <c r="AY462" t="s">
        <v>74</v>
      </c>
      <c r="AZ462" t="s">
        <v>74</v>
      </c>
      <c r="BA462" t="s">
        <v>74</v>
      </c>
      <c r="BB462">
        <v>830</v>
      </c>
      <c r="BC462">
        <v>842</v>
      </c>
      <c r="BD462" t="s">
        <v>74</v>
      </c>
      <c r="BE462" t="s">
        <v>9442</v>
      </c>
      <c r="BF462" t="str">
        <f>HYPERLINK("http://dx.doi.org/10.1038/s41893-022-00940-6","http://dx.doi.org/10.1038/s41893-022-00940-6")</f>
        <v>http://dx.doi.org/10.1038/s41893-022-00940-6</v>
      </c>
      <c r="BG462" t="s">
        <v>74</v>
      </c>
      <c r="BH462" t="s">
        <v>7628</v>
      </c>
      <c r="BI462">
        <v>13</v>
      </c>
      <c r="BJ462" t="s">
        <v>8849</v>
      </c>
      <c r="BK462" t="s">
        <v>2332</v>
      </c>
      <c r="BL462" t="s">
        <v>8850</v>
      </c>
      <c r="BM462" t="s">
        <v>9443</v>
      </c>
      <c r="BN462" t="s">
        <v>74</v>
      </c>
      <c r="BO462" t="s">
        <v>7091</v>
      </c>
      <c r="BP462" t="s">
        <v>74</v>
      </c>
      <c r="BQ462" t="s">
        <v>74</v>
      </c>
      <c r="BR462" t="s">
        <v>103</v>
      </c>
      <c r="BS462" t="s">
        <v>9444</v>
      </c>
      <c r="BT462" t="str">
        <f>HYPERLINK("https%3A%2F%2Fwww.webofscience.com%2Fwos%2Fwoscc%2Ffull-record%2FWOS:000840585100001","View Full Record in Web of Science")</f>
        <v>View Full Record in Web of Science</v>
      </c>
    </row>
    <row r="463" spans="1:72" x14ac:dyDescent="0.15">
      <c r="A463" t="s">
        <v>72</v>
      </c>
      <c r="B463" t="s">
        <v>9445</v>
      </c>
      <c r="C463" t="s">
        <v>74</v>
      </c>
      <c r="D463" t="s">
        <v>74</v>
      </c>
      <c r="E463" t="s">
        <v>74</v>
      </c>
      <c r="F463" t="s">
        <v>9446</v>
      </c>
      <c r="G463" t="s">
        <v>74</v>
      </c>
      <c r="H463" t="s">
        <v>74</v>
      </c>
      <c r="I463" t="s">
        <v>9447</v>
      </c>
      <c r="J463" t="s">
        <v>1839</v>
      </c>
      <c r="K463" t="s">
        <v>74</v>
      </c>
      <c r="L463" t="s">
        <v>74</v>
      </c>
      <c r="M463" t="s">
        <v>78</v>
      </c>
      <c r="N463" t="s">
        <v>79</v>
      </c>
      <c r="O463" t="s">
        <v>74</v>
      </c>
      <c r="P463" t="s">
        <v>74</v>
      </c>
      <c r="Q463" t="s">
        <v>74</v>
      </c>
      <c r="R463" t="s">
        <v>74</v>
      </c>
      <c r="S463" t="s">
        <v>74</v>
      </c>
      <c r="T463" t="s">
        <v>9448</v>
      </c>
      <c r="U463" t="s">
        <v>9449</v>
      </c>
      <c r="V463" t="s">
        <v>9450</v>
      </c>
      <c r="W463" t="s">
        <v>9451</v>
      </c>
      <c r="X463" t="s">
        <v>9452</v>
      </c>
      <c r="Y463" t="s">
        <v>9453</v>
      </c>
      <c r="Z463" t="s">
        <v>9454</v>
      </c>
      <c r="AA463" t="s">
        <v>9455</v>
      </c>
      <c r="AB463" t="s">
        <v>9456</v>
      </c>
      <c r="AC463" t="s">
        <v>9457</v>
      </c>
      <c r="AD463" t="s">
        <v>9458</v>
      </c>
      <c r="AE463" t="s">
        <v>9459</v>
      </c>
      <c r="AF463" t="s">
        <v>74</v>
      </c>
      <c r="AG463">
        <v>90</v>
      </c>
      <c r="AH463">
        <v>4</v>
      </c>
      <c r="AI463">
        <v>4</v>
      </c>
      <c r="AJ463">
        <v>7</v>
      </c>
      <c r="AK463">
        <v>17</v>
      </c>
      <c r="AL463" t="s">
        <v>1065</v>
      </c>
      <c r="AM463" t="s">
        <v>1066</v>
      </c>
      <c r="AN463" t="s">
        <v>1067</v>
      </c>
      <c r="AO463" t="s">
        <v>1851</v>
      </c>
      <c r="AP463" t="s">
        <v>1852</v>
      </c>
      <c r="AQ463" t="s">
        <v>74</v>
      </c>
      <c r="AR463" t="s">
        <v>1853</v>
      </c>
      <c r="AS463" t="s">
        <v>1854</v>
      </c>
      <c r="AT463" t="s">
        <v>9355</v>
      </c>
      <c r="AU463">
        <v>2022</v>
      </c>
      <c r="AV463">
        <v>35</v>
      </c>
      <c r="AW463">
        <v>16</v>
      </c>
      <c r="AX463" t="s">
        <v>74</v>
      </c>
      <c r="AY463" t="s">
        <v>74</v>
      </c>
      <c r="AZ463" t="s">
        <v>74</v>
      </c>
      <c r="BA463" t="s">
        <v>74</v>
      </c>
      <c r="BB463">
        <v>5307</v>
      </c>
      <c r="BC463">
        <v>5320</v>
      </c>
      <c r="BD463" t="s">
        <v>74</v>
      </c>
      <c r="BE463" t="s">
        <v>9460</v>
      </c>
      <c r="BF463" t="str">
        <f>HYPERLINK("http://dx.doi.org/10.1175/JCLI-D-21-0293.1","http://dx.doi.org/10.1175/JCLI-D-21-0293.1")</f>
        <v>http://dx.doi.org/10.1175/JCLI-D-21-0293.1</v>
      </c>
      <c r="BG463" t="s">
        <v>74</v>
      </c>
      <c r="BH463" t="s">
        <v>74</v>
      </c>
      <c r="BI463">
        <v>14</v>
      </c>
      <c r="BJ463" t="s">
        <v>457</v>
      </c>
      <c r="BK463" t="s">
        <v>100</v>
      </c>
      <c r="BL463" t="s">
        <v>457</v>
      </c>
      <c r="BM463" t="s">
        <v>9461</v>
      </c>
      <c r="BN463" t="s">
        <v>74</v>
      </c>
      <c r="BO463" t="s">
        <v>74</v>
      </c>
      <c r="BP463" t="s">
        <v>74</v>
      </c>
      <c r="BQ463" t="s">
        <v>74</v>
      </c>
      <c r="BR463" t="s">
        <v>103</v>
      </c>
      <c r="BS463" t="s">
        <v>9462</v>
      </c>
      <c r="BT463" t="str">
        <f>HYPERLINK("https%3A%2F%2Fwww.webofscience.com%2Fwos%2Fwoscc%2Ffull-record%2FWOS:000835668800004","View Full Record in Web of Science")</f>
        <v>View Full Record in Web of Science</v>
      </c>
    </row>
    <row r="464" spans="1:72" x14ac:dyDescent="0.15">
      <c r="A464" t="s">
        <v>72</v>
      </c>
      <c r="B464" t="s">
        <v>9463</v>
      </c>
      <c r="C464" t="s">
        <v>74</v>
      </c>
      <c r="D464" t="s">
        <v>74</v>
      </c>
      <c r="E464" t="s">
        <v>74</v>
      </c>
      <c r="F464" t="s">
        <v>9464</v>
      </c>
      <c r="G464" t="s">
        <v>74</v>
      </c>
      <c r="H464" t="s">
        <v>74</v>
      </c>
      <c r="I464" t="s">
        <v>9465</v>
      </c>
      <c r="J464" t="s">
        <v>9466</v>
      </c>
      <c r="K464" t="s">
        <v>74</v>
      </c>
      <c r="L464" t="s">
        <v>74</v>
      </c>
      <c r="M464" t="s">
        <v>78</v>
      </c>
      <c r="N464" t="s">
        <v>79</v>
      </c>
      <c r="O464" t="s">
        <v>74</v>
      </c>
      <c r="P464" t="s">
        <v>74</v>
      </c>
      <c r="Q464" t="s">
        <v>74</v>
      </c>
      <c r="R464" t="s">
        <v>74</v>
      </c>
      <c r="S464" t="s">
        <v>74</v>
      </c>
      <c r="T464" t="s">
        <v>9467</v>
      </c>
      <c r="U464" t="s">
        <v>9468</v>
      </c>
      <c r="V464" t="s">
        <v>9469</v>
      </c>
      <c r="W464" t="s">
        <v>9470</v>
      </c>
      <c r="X464" t="s">
        <v>9471</v>
      </c>
      <c r="Y464" t="s">
        <v>9472</v>
      </c>
      <c r="Z464" t="s">
        <v>9473</v>
      </c>
      <c r="AA464" t="s">
        <v>74</v>
      </c>
      <c r="AB464" t="s">
        <v>9474</v>
      </c>
      <c r="AC464" t="s">
        <v>74</v>
      </c>
      <c r="AD464" t="s">
        <v>74</v>
      </c>
      <c r="AE464" t="s">
        <v>74</v>
      </c>
      <c r="AF464" t="s">
        <v>74</v>
      </c>
      <c r="AG464">
        <v>164</v>
      </c>
      <c r="AH464">
        <v>2</v>
      </c>
      <c r="AI464">
        <v>2</v>
      </c>
      <c r="AJ464">
        <v>1</v>
      </c>
      <c r="AK464">
        <v>9</v>
      </c>
      <c r="AL464" t="s">
        <v>501</v>
      </c>
      <c r="AM464" t="s">
        <v>502</v>
      </c>
      <c r="AN464" t="s">
        <v>503</v>
      </c>
      <c r="AO464" t="s">
        <v>9475</v>
      </c>
      <c r="AP464" t="s">
        <v>9476</v>
      </c>
      <c r="AQ464" t="s">
        <v>74</v>
      </c>
      <c r="AR464" t="s">
        <v>9477</v>
      </c>
      <c r="AS464" t="s">
        <v>9478</v>
      </c>
      <c r="AT464" t="s">
        <v>2281</v>
      </c>
      <c r="AU464">
        <v>2022</v>
      </c>
      <c r="AV464">
        <v>201</v>
      </c>
      <c r="AW464" t="s">
        <v>74</v>
      </c>
      <c r="AX464" t="s">
        <v>74</v>
      </c>
      <c r="AY464" t="s">
        <v>74</v>
      </c>
      <c r="AZ464" t="s">
        <v>74</v>
      </c>
      <c r="BA464" t="s">
        <v>74</v>
      </c>
      <c r="BB464" t="s">
        <v>74</v>
      </c>
      <c r="BC464" t="s">
        <v>74</v>
      </c>
      <c r="BD464">
        <v>107580</v>
      </c>
      <c r="BE464" t="s">
        <v>9479</v>
      </c>
      <c r="BF464" t="str">
        <f>HYPERLINK("http://dx.doi.org/10.1016/j.ecolecon.2022.107580","http://dx.doi.org/10.1016/j.ecolecon.2022.107580")</f>
        <v>http://dx.doi.org/10.1016/j.ecolecon.2022.107580</v>
      </c>
      <c r="BG464" t="s">
        <v>74</v>
      </c>
      <c r="BH464" t="s">
        <v>7628</v>
      </c>
      <c r="BI464">
        <v>28</v>
      </c>
      <c r="BJ464" t="s">
        <v>9480</v>
      </c>
      <c r="BK464" t="s">
        <v>2332</v>
      </c>
      <c r="BL464" t="s">
        <v>9481</v>
      </c>
      <c r="BM464" t="s">
        <v>9482</v>
      </c>
      <c r="BN464" t="s">
        <v>74</v>
      </c>
      <c r="BO464" t="s">
        <v>2934</v>
      </c>
      <c r="BP464" t="s">
        <v>74</v>
      </c>
      <c r="BQ464" t="s">
        <v>74</v>
      </c>
      <c r="BR464" t="s">
        <v>103</v>
      </c>
      <c r="BS464" t="s">
        <v>9483</v>
      </c>
      <c r="BT464" t="str">
        <f>HYPERLINK("https%3A%2F%2Fwww.webofscience.com%2Fwos%2Fwoscc%2Ffull-record%2FWOS:000848190800002","View Full Record in Web of Science")</f>
        <v>View Full Record in Web of Science</v>
      </c>
    </row>
    <row r="465" spans="1:72" x14ac:dyDescent="0.15">
      <c r="A465" t="s">
        <v>72</v>
      </c>
      <c r="B465" t="s">
        <v>9484</v>
      </c>
      <c r="C465" t="s">
        <v>74</v>
      </c>
      <c r="D465" t="s">
        <v>74</v>
      </c>
      <c r="E465" t="s">
        <v>74</v>
      </c>
      <c r="F465" t="s">
        <v>9485</v>
      </c>
      <c r="G465" t="s">
        <v>74</v>
      </c>
      <c r="H465" t="s">
        <v>74</v>
      </c>
      <c r="I465" t="s">
        <v>9486</v>
      </c>
      <c r="J465" t="s">
        <v>3613</v>
      </c>
      <c r="K465" t="s">
        <v>74</v>
      </c>
      <c r="L465" t="s">
        <v>74</v>
      </c>
      <c r="M465" t="s">
        <v>78</v>
      </c>
      <c r="N465" t="s">
        <v>79</v>
      </c>
      <c r="O465" t="s">
        <v>74</v>
      </c>
      <c r="P465" t="s">
        <v>74</v>
      </c>
      <c r="Q465" t="s">
        <v>74</v>
      </c>
      <c r="R465" t="s">
        <v>74</v>
      </c>
      <c r="S465" t="s">
        <v>74</v>
      </c>
      <c r="T465" t="s">
        <v>74</v>
      </c>
      <c r="U465" t="s">
        <v>9487</v>
      </c>
      <c r="V465" t="s">
        <v>74</v>
      </c>
      <c r="W465" t="s">
        <v>9488</v>
      </c>
      <c r="X465" t="s">
        <v>9489</v>
      </c>
      <c r="Y465" t="s">
        <v>9490</v>
      </c>
      <c r="Z465" t="s">
        <v>3496</v>
      </c>
      <c r="AA465" t="s">
        <v>3497</v>
      </c>
      <c r="AB465" t="s">
        <v>9491</v>
      </c>
      <c r="AC465" t="s">
        <v>9492</v>
      </c>
      <c r="AD465" t="s">
        <v>9493</v>
      </c>
      <c r="AE465" t="s">
        <v>9494</v>
      </c>
      <c r="AF465" t="s">
        <v>74</v>
      </c>
      <c r="AG465">
        <v>60</v>
      </c>
      <c r="AH465">
        <v>2</v>
      </c>
      <c r="AI465">
        <v>3</v>
      </c>
      <c r="AJ465">
        <v>2</v>
      </c>
      <c r="AK465">
        <v>7</v>
      </c>
      <c r="AL465" t="s">
        <v>231</v>
      </c>
      <c r="AM465" t="s">
        <v>232</v>
      </c>
      <c r="AN465" t="s">
        <v>233</v>
      </c>
      <c r="AO465" t="s">
        <v>3621</v>
      </c>
      <c r="AP465" t="s">
        <v>3622</v>
      </c>
      <c r="AQ465" t="s">
        <v>74</v>
      </c>
      <c r="AR465" t="s">
        <v>3623</v>
      </c>
      <c r="AS465" t="s">
        <v>3624</v>
      </c>
      <c r="AT465" t="s">
        <v>238</v>
      </c>
      <c r="AU465">
        <v>2023</v>
      </c>
      <c r="AV465">
        <v>39</v>
      </c>
      <c r="AW465">
        <v>1</v>
      </c>
      <c r="AX465" t="s">
        <v>74</v>
      </c>
      <c r="AY465" t="s">
        <v>74</v>
      </c>
      <c r="AZ465" t="s">
        <v>74</v>
      </c>
      <c r="BA465" t="s">
        <v>74</v>
      </c>
      <c r="BB465">
        <v>299</v>
      </c>
      <c r="BC465">
        <v>310</v>
      </c>
      <c r="BD465" t="s">
        <v>74</v>
      </c>
      <c r="BE465" t="s">
        <v>9495</v>
      </c>
      <c r="BF465" t="str">
        <f>HYPERLINK("http://dx.doi.org/10.1111/mms.12966","http://dx.doi.org/10.1111/mms.12966")</f>
        <v>http://dx.doi.org/10.1111/mms.12966</v>
      </c>
      <c r="BG465" t="s">
        <v>74</v>
      </c>
      <c r="BH465" t="s">
        <v>7628</v>
      </c>
      <c r="BI465">
        <v>12</v>
      </c>
      <c r="BJ465" t="s">
        <v>697</v>
      </c>
      <c r="BK465" t="s">
        <v>100</v>
      </c>
      <c r="BL465" t="s">
        <v>697</v>
      </c>
      <c r="BM465" t="s">
        <v>8193</v>
      </c>
      <c r="BN465" t="s">
        <v>74</v>
      </c>
      <c r="BO465" t="s">
        <v>831</v>
      </c>
      <c r="BP465" t="s">
        <v>74</v>
      </c>
      <c r="BQ465" t="s">
        <v>74</v>
      </c>
      <c r="BR465" t="s">
        <v>103</v>
      </c>
      <c r="BS465" t="s">
        <v>9496</v>
      </c>
      <c r="BT465" t="str">
        <f>HYPERLINK("https%3A%2F%2Fwww.webofscience.com%2Fwos%2Fwoscc%2Ffull-record%2FWOS:000840100000001","View Full Record in Web of Science")</f>
        <v>View Full Record in Web of Science</v>
      </c>
    </row>
    <row r="466" spans="1:72" x14ac:dyDescent="0.15">
      <c r="A466" t="s">
        <v>72</v>
      </c>
      <c r="B466" t="s">
        <v>9497</v>
      </c>
      <c r="C466" t="s">
        <v>74</v>
      </c>
      <c r="D466" t="s">
        <v>74</v>
      </c>
      <c r="E466" t="s">
        <v>74</v>
      </c>
      <c r="F466" t="s">
        <v>9498</v>
      </c>
      <c r="G466" t="s">
        <v>74</v>
      </c>
      <c r="H466" t="s">
        <v>74</v>
      </c>
      <c r="I466" t="s">
        <v>9499</v>
      </c>
      <c r="J466" t="s">
        <v>4327</v>
      </c>
      <c r="K466" t="s">
        <v>74</v>
      </c>
      <c r="L466" t="s">
        <v>74</v>
      </c>
      <c r="M466" t="s">
        <v>78</v>
      </c>
      <c r="N466" t="s">
        <v>79</v>
      </c>
      <c r="O466" t="s">
        <v>74</v>
      </c>
      <c r="P466" t="s">
        <v>74</v>
      </c>
      <c r="Q466" t="s">
        <v>74</v>
      </c>
      <c r="R466" t="s">
        <v>74</v>
      </c>
      <c r="S466" t="s">
        <v>74</v>
      </c>
      <c r="T466" t="s">
        <v>9500</v>
      </c>
      <c r="U466" t="s">
        <v>9501</v>
      </c>
      <c r="V466" t="s">
        <v>9502</v>
      </c>
      <c r="W466" t="s">
        <v>9503</v>
      </c>
      <c r="X466" t="s">
        <v>9504</v>
      </c>
      <c r="Y466" t="s">
        <v>9505</v>
      </c>
      <c r="Z466" t="s">
        <v>9506</v>
      </c>
      <c r="AA466" t="s">
        <v>9507</v>
      </c>
      <c r="AB466" t="s">
        <v>9508</v>
      </c>
      <c r="AC466" t="s">
        <v>9509</v>
      </c>
      <c r="AD466" t="s">
        <v>9510</v>
      </c>
      <c r="AE466" t="s">
        <v>9511</v>
      </c>
      <c r="AF466" t="s">
        <v>74</v>
      </c>
      <c r="AG466">
        <v>50</v>
      </c>
      <c r="AH466">
        <v>0</v>
      </c>
      <c r="AI466">
        <v>0</v>
      </c>
      <c r="AJ466">
        <v>1</v>
      </c>
      <c r="AK466">
        <v>6</v>
      </c>
      <c r="AL466" t="s">
        <v>178</v>
      </c>
      <c r="AM466" t="s">
        <v>450</v>
      </c>
      <c r="AN466" t="s">
        <v>668</v>
      </c>
      <c r="AO466" t="s">
        <v>4340</v>
      </c>
      <c r="AP466" t="s">
        <v>4341</v>
      </c>
      <c r="AQ466" t="s">
        <v>74</v>
      </c>
      <c r="AR466" t="s">
        <v>4342</v>
      </c>
      <c r="AS466" t="s">
        <v>4343</v>
      </c>
      <c r="AT466" t="s">
        <v>5386</v>
      </c>
      <c r="AU466">
        <v>2022</v>
      </c>
      <c r="AV466">
        <v>45</v>
      </c>
      <c r="AW466">
        <v>8</v>
      </c>
      <c r="AX466" t="s">
        <v>74</v>
      </c>
      <c r="AY466" t="s">
        <v>74</v>
      </c>
      <c r="AZ466" t="s">
        <v>74</v>
      </c>
      <c r="BA466" t="s">
        <v>74</v>
      </c>
      <c r="BB466">
        <v>1379</v>
      </c>
      <c r="BC466">
        <v>1389</v>
      </c>
      <c r="BD466" t="s">
        <v>74</v>
      </c>
      <c r="BE466" t="s">
        <v>9512</v>
      </c>
      <c r="BF466" t="str">
        <f>HYPERLINK("http://dx.doi.org/10.1007/s00300-022-03067-8","http://dx.doi.org/10.1007/s00300-022-03067-8")</f>
        <v>http://dx.doi.org/10.1007/s00300-022-03067-8</v>
      </c>
      <c r="BG466" t="s">
        <v>74</v>
      </c>
      <c r="BH466" t="s">
        <v>7628</v>
      </c>
      <c r="BI466">
        <v>11</v>
      </c>
      <c r="BJ466" t="s">
        <v>1169</v>
      </c>
      <c r="BK466" t="s">
        <v>100</v>
      </c>
      <c r="BL466" t="s">
        <v>1170</v>
      </c>
      <c r="BM466" t="s">
        <v>7747</v>
      </c>
      <c r="BN466" t="s">
        <v>74</v>
      </c>
      <c r="BO466" t="s">
        <v>74</v>
      </c>
      <c r="BP466" t="s">
        <v>74</v>
      </c>
      <c r="BQ466" t="s">
        <v>74</v>
      </c>
      <c r="BR466" t="s">
        <v>103</v>
      </c>
      <c r="BS466" t="s">
        <v>9513</v>
      </c>
      <c r="BT466" t="str">
        <f>HYPERLINK("https%3A%2F%2Fwww.webofscience.com%2Fwos%2Fwoscc%2Ffull-record%2FWOS:000840281400001","View Full Record in Web of Science")</f>
        <v>View Full Record in Web of Science</v>
      </c>
    </row>
    <row r="467" spans="1:72" x14ac:dyDescent="0.15">
      <c r="A467" t="s">
        <v>72</v>
      </c>
      <c r="B467" t="s">
        <v>9514</v>
      </c>
      <c r="C467" t="s">
        <v>74</v>
      </c>
      <c r="D467" t="s">
        <v>74</v>
      </c>
      <c r="E467" t="s">
        <v>74</v>
      </c>
      <c r="F467" t="s">
        <v>9515</v>
      </c>
      <c r="G467" t="s">
        <v>74</v>
      </c>
      <c r="H467" t="s">
        <v>74</v>
      </c>
      <c r="I467" t="s">
        <v>9516</v>
      </c>
      <c r="J467" t="s">
        <v>9517</v>
      </c>
      <c r="K467" t="s">
        <v>74</v>
      </c>
      <c r="L467" t="s">
        <v>74</v>
      </c>
      <c r="M467" t="s">
        <v>78</v>
      </c>
      <c r="N467" t="s">
        <v>79</v>
      </c>
      <c r="O467" t="s">
        <v>74</v>
      </c>
      <c r="P467" t="s">
        <v>74</v>
      </c>
      <c r="Q467" t="s">
        <v>74</v>
      </c>
      <c r="R467" t="s">
        <v>74</v>
      </c>
      <c r="S467" t="s">
        <v>74</v>
      </c>
      <c r="T467" t="s">
        <v>9518</v>
      </c>
      <c r="U467" t="s">
        <v>9519</v>
      </c>
      <c r="V467" t="s">
        <v>9520</v>
      </c>
      <c r="W467" t="s">
        <v>9521</v>
      </c>
      <c r="X467" t="s">
        <v>9522</v>
      </c>
      <c r="Y467" t="s">
        <v>9523</v>
      </c>
      <c r="Z467" t="s">
        <v>9524</v>
      </c>
      <c r="AA467" t="s">
        <v>9525</v>
      </c>
      <c r="AB467" t="s">
        <v>9526</v>
      </c>
      <c r="AC467" t="s">
        <v>74</v>
      </c>
      <c r="AD467" t="s">
        <v>74</v>
      </c>
      <c r="AE467" t="s">
        <v>74</v>
      </c>
      <c r="AF467" t="s">
        <v>74</v>
      </c>
      <c r="AG467">
        <v>82</v>
      </c>
      <c r="AH467">
        <v>2</v>
      </c>
      <c r="AI467">
        <v>2</v>
      </c>
      <c r="AJ467">
        <v>3</v>
      </c>
      <c r="AK467">
        <v>6</v>
      </c>
      <c r="AL467" t="s">
        <v>121</v>
      </c>
      <c r="AM467" t="s">
        <v>122</v>
      </c>
      <c r="AN467" t="s">
        <v>123</v>
      </c>
      <c r="AO467" t="s">
        <v>74</v>
      </c>
      <c r="AP467" t="s">
        <v>9527</v>
      </c>
      <c r="AQ467" t="s">
        <v>74</v>
      </c>
      <c r="AR467" t="s">
        <v>9528</v>
      </c>
      <c r="AS467" t="s">
        <v>9529</v>
      </c>
      <c r="AT467" t="s">
        <v>9530</v>
      </c>
      <c r="AU467">
        <v>2022</v>
      </c>
      <c r="AV467">
        <v>4</v>
      </c>
      <c r="AW467" t="s">
        <v>74</v>
      </c>
      <c r="AX467" t="s">
        <v>74</v>
      </c>
      <c r="AY467" t="s">
        <v>74</v>
      </c>
      <c r="AZ467" t="s">
        <v>74</v>
      </c>
      <c r="BA467" t="s">
        <v>74</v>
      </c>
      <c r="BB467" t="s">
        <v>74</v>
      </c>
      <c r="BC467" t="s">
        <v>74</v>
      </c>
      <c r="BD467">
        <v>907828</v>
      </c>
      <c r="BE467" t="s">
        <v>9531</v>
      </c>
      <c r="BF467" t="str">
        <f>HYPERLINK("http://dx.doi.org/10.3389/fclim.2022.907828","http://dx.doi.org/10.3389/fclim.2022.907828")</f>
        <v>http://dx.doi.org/10.3389/fclim.2022.907828</v>
      </c>
      <c r="BG467" t="s">
        <v>74</v>
      </c>
      <c r="BH467" t="s">
        <v>74</v>
      </c>
      <c r="BI467">
        <v>25</v>
      </c>
      <c r="BJ467" t="s">
        <v>9532</v>
      </c>
      <c r="BK467" t="s">
        <v>215</v>
      </c>
      <c r="BL467" t="s">
        <v>2041</v>
      </c>
      <c r="BM467" t="s">
        <v>9533</v>
      </c>
      <c r="BN467" t="s">
        <v>74</v>
      </c>
      <c r="BO467" t="s">
        <v>266</v>
      </c>
      <c r="BP467" t="s">
        <v>74</v>
      </c>
      <c r="BQ467" t="s">
        <v>74</v>
      </c>
      <c r="BR467" t="s">
        <v>103</v>
      </c>
      <c r="BS467" t="s">
        <v>9534</v>
      </c>
      <c r="BT467" t="str">
        <f>HYPERLINK("https%3A%2F%2Fwww.webofscience.com%2Fwos%2Fwoscc%2Ffull-record%2FWOS:001019254200001","View Full Record in Web of Science")</f>
        <v>View Full Record in Web of Science</v>
      </c>
    </row>
    <row r="468" spans="1:72" x14ac:dyDescent="0.15">
      <c r="A468" t="s">
        <v>72</v>
      </c>
      <c r="B468" t="s">
        <v>9535</v>
      </c>
      <c r="C468" t="s">
        <v>74</v>
      </c>
      <c r="D468" t="s">
        <v>74</v>
      </c>
      <c r="E468" t="s">
        <v>74</v>
      </c>
      <c r="F468" t="s">
        <v>9536</v>
      </c>
      <c r="G468" t="s">
        <v>74</v>
      </c>
      <c r="H468" t="s">
        <v>74</v>
      </c>
      <c r="I468" t="s">
        <v>9537</v>
      </c>
      <c r="J468" t="s">
        <v>2849</v>
      </c>
      <c r="K468" t="s">
        <v>74</v>
      </c>
      <c r="L468" t="s">
        <v>74</v>
      </c>
      <c r="M468" t="s">
        <v>78</v>
      </c>
      <c r="N468" t="s">
        <v>79</v>
      </c>
      <c r="O468" t="s">
        <v>74</v>
      </c>
      <c r="P468" t="s">
        <v>74</v>
      </c>
      <c r="Q468" t="s">
        <v>74</v>
      </c>
      <c r="R468" t="s">
        <v>74</v>
      </c>
      <c r="S468" t="s">
        <v>74</v>
      </c>
      <c r="T468" t="s">
        <v>9538</v>
      </c>
      <c r="U468" t="s">
        <v>9539</v>
      </c>
      <c r="V468" t="s">
        <v>9540</v>
      </c>
      <c r="W468" t="s">
        <v>9541</v>
      </c>
      <c r="X468" t="s">
        <v>9542</v>
      </c>
      <c r="Y468" t="s">
        <v>9543</v>
      </c>
      <c r="Z468" t="s">
        <v>9544</v>
      </c>
      <c r="AA468" t="s">
        <v>9545</v>
      </c>
      <c r="AB468" t="s">
        <v>9546</v>
      </c>
      <c r="AC468" t="s">
        <v>9547</v>
      </c>
      <c r="AD468" t="s">
        <v>9548</v>
      </c>
      <c r="AE468" t="s">
        <v>9549</v>
      </c>
      <c r="AF468" t="s">
        <v>74</v>
      </c>
      <c r="AG468">
        <v>64</v>
      </c>
      <c r="AH468">
        <v>0</v>
      </c>
      <c r="AI468">
        <v>0</v>
      </c>
      <c r="AJ468">
        <v>0</v>
      </c>
      <c r="AK468">
        <v>1</v>
      </c>
      <c r="AL468" t="s">
        <v>2249</v>
      </c>
      <c r="AM468" t="s">
        <v>90</v>
      </c>
      <c r="AN468" t="s">
        <v>2250</v>
      </c>
      <c r="AO468" t="s">
        <v>2862</v>
      </c>
      <c r="AP468" t="s">
        <v>2863</v>
      </c>
      <c r="AQ468" t="s">
        <v>74</v>
      </c>
      <c r="AR468" t="s">
        <v>2864</v>
      </c>
      <c r="AS468" t="s">
        <v>2865</v>
      </c>
      <c r="AT468" t="s">
        <v>3605</v>
      </c>
      <c r="AU468">
        <v>2022</v>
      </c>
      <c r="AV468">
        <v>177</v>
      </c>
      <c r="AW468" t="s">
        <v>74</v>
      </c>
      <c r="AX468" t="s">
        <v>74</v>
      </c>
      <c r="AY468" t="s">
        <v>74</v>
      </c>
      <c r="AZ468" t="s">
        <v>74</v>
      </c>
      <c r="BA468" t="s">
        <v>74</v>
      </c>
      <c r="BB468" t="s">
        <v>74</v>
      </c>
      <c r="BC468" t="s">
        <v>74</v>
      </c>
      <c r="BD468">
        <v>102079</v>
      </c>
      <c r="BE468" t="s">
        <v>9550</v>
      </c>
      <c r="BF468" t="str">
        <f>HYPERLINK("http://dx.doi.org/10.1016/j.ocemod.2022.102079","http://dx.doi.org/10.1016/j.ocemod.2022.102079")</f>
        <v>http://dx.doi.org/10.1016/j.ocemod.2022.102079</v>
      </c>
      <c r="BG468" t="s">
        <v>74</v>
      </c>
      <c r="BH468" t="s">
        <v>7628</v>
      </c>
      <c r="BI468">
        <v>19</v>
      </c>
      <c r="BJ468" t="s">
        <v>1033</v>
      </c>
      <c r="BK468" t="s">
        <v>100</v>
      </c>
      <c r="BL468" t="s">
        <v>1033</v>
      </c>
      <c r="BM468" t="s">
        <v>9551</v>
      </c>
      <c r="BN468" t="s">
        <v>74</v>
      </c>
      <c r="BO468" t="s">
        <v>74</v>
      </c>
      <c r="BP468" t="s">
        <v>74</v>
      </c>
      <c r="BQ468" t="s">
        <v>74</v>
      </c>
      <c r="BR468" t="s">
        <v>103</v>
      </c>
      <c r="BS468" t="s">
        <v>9552</v>
      </c>
      <c r="BT468" t="str">
        <f>HYPERLINK("https%3A%2F%2Fwww.webofscience.com%2Fwos%2Fwoscc%2Ffull-record%2FWOS:000844672000001","View Full Record in Web of Science")</f>
        <v>View Full Record in Web of Science</v>
      </c>
    </row>
    <row r="469" spans="1:72" x14ac:dyDescent="0.15">
      <c r="A469" t="s">
        <v>72</v>
      </c>
      <c r="B469" t="s">
        <v>9553</v>
      </c>
      <c r="C469" t="s">
        <v>74</v>
      </c>
      <c r="D469" t="s">
        <v>74</v>
      </c>
      <c r="E469" t="s">
        <v>74</v>
      </c>
      <c r="F469" t="s">
        <v>9554</v>
      </c>
      <c r="G469" t="s">
        <v>74</v>
      </c>
      <c r="H469" t="s">
        <v>74</v>
      </c>
      <c r="I469" t="s">
        <v>9555</v>
      </c>
      <c r="J469" t="s">
        <v>247</v>
      </c>
      <c r="K469" t="s">
        <v>74</v>
      </c>
      <c r="L469" t="s">
        <v>74</v>
      </c>
      <c r="M469" t="s">
        <v>78</v>
      </c>
      <c r="N469" t="s">
        <v>79</v>
      </c>
      <c r="O469" t="s">
        <v>74</v>
      </c>
      <c r="P469" t="s">
        <v>74</v>
      </c>
      <c r="Q469" t="s">
        <v>74</v>
      </c>
      <c r="R469" t="s">
        <v>74</v>
      </c>
      <c r="S469" t="s">
        <v>74</v>
      </c>
      <c r="T469" t="s">
        <v>9556</v>
      </c>
      <c r="U469" t="s">
        <v>9557</v>
      </c>
      <c r="V469" t="s">
        <v>9558</v>
      </c>
      <c r="W469" t="s">
        <v>9559</v>
      </c>
      <c r="X469" t="s">
        <v>9560</v>
      </c>
      <c r="Y469" t="s">
        <v>9561</v>
      </c>
      <c r="Z469" t="s">
        <v>9562</v>
      </c>
      <c r="AA469" t="s">
        <v>74</v>
      </c>
      <c r="AB469" t="s">
        <v>9563</v>
      </c>
      <c r="AC469" t="s">
        <v>9564</v>
      </c>
      <c r="AD469" t="s">
        <v>9565</v>
      </c>
      <c r="AE469" t="s">
        <v>9566</v>
      </c>
      <c r="AF469" t="s">
        <v>74</v>
      </c>
      <c r="AG469">
        <v>85</v>
      </c>
      <c r="AH469">
        <v>2</v>
      </c>
      <c r="AI469">
        <v>2</v>
      </c>
      <c r="AJ469">
        <v>6</v>
      </c>
      <c r="AK469">
        <v>22</v>
      </c>
      <c r="AL469" t="s">
        <v>121</v>
      </c>
      <c r="AM469" t="s">
        <v>122</v>
      </c>
      <c r="AN469" t="s">
        <v>123</v>
      </c>
      <c r="AO469" t="s">
        <v>74</v>
      </c>
      <c r="AP469" t="s">
        <v>258</v>
      </c>
      <c r="AQ469" t="s">
        <v>74</v>
      </c>
      <c r="AR469" t="s">
        <v>259</v>
      </c>
      <c r="AS469" t="s">
        <v>260</v>
      </c>
      <c r="AT469" t="s">
        <v>9530</v>
      </c>
      <c r="AU469">
        <v>2022</v>
      </c>
      <c r="AV469">
        <v>9</v>
      </c>
      <c r="AW469" t="s">
        <v>74</v>
      </c>
      <c r="AX469" t="s">
        <v>74</v>
      </c>
      <c r="AY469" t="s">
        <v>74</v>
      </c>
      <c r="AZ469" t="s">
        <v>74</v>
      </c>
      <c r="BA469" t="s">
        <v>74</v>
      </c>
      <c r="BB469" t="s">
        <v>74</v>
      </c>
      <c r="BC469" t="s">
        <v>74</v>
      </c>
      <c r="BD469">
        <v>908638</v>
      </c>
      <c r="BE469" t="s">
        <v>9567</v>
      </c>
      <c r="BF469" t="str">
        <f>HYPERLINK("http://dx.doi.org/10.3389/fmars.2022.908638","http://dx.doi.org/10.3389/fmars.2022.908638")</f>
        <v>http://dx.doi.org/10.3389/fmars.2022.908638</v>
      </c>
      <c r="BG469" t="s">
        <v>74</v>
      </c>
      <c r="BH469" t="s">
        <v>74</v>
      </c>
      <c r="BI469">
        <v>14</v>
      </c>
      <c r="BJ469" t="s">
        <v>263</v>
      </c>
      <c r="BK469" t="s">
        <v>100</v>
      </c>
      <c r="BL469" t="s">
        <v>264</v>
      </c>
      <c r="BM469" t="s">
        <v>9568</v>
      </c>
      <c r="BN469" t="s">
        <v>74</v>
      </c>
      <c r="BO469" t="s">
        <v>266</v>
      </c>
      <c r="BP469" t="s">
        <v>74</v>
      </c>
      <c r="BQ469" t="s">
        <v>74</v>
      </c>
      <c r="BR469" t="s">
        <v>103</v>
      </c>
      <c r="BS469" t="s">
        <v>9569</v>
      </c>
      <c r="BT469" t="str">
        <f>HYPERLINK("https%3A%2F%2Fwww.webofscience.com%2Fwos%2Fwoscc%2Ffull-record%2FWOS:000848260600001","View Full Record in Web of Science")</f>
        <v>View Full Record in Web of Science</v>
      </c>
    </row>
    <row r="470" spans="1:72" x14ac:dyDescent="0.15">
      <c r="A470" t="s">
        <v>72</v>
      </c>
      <c r="B470" t="s">
        <v>9570</v>
      </c>
      <c r="C470" t="s">
        <v>74</v>
      </c>
      <c r="D470" t="s">
        <v>74</v>
      </c>
      <c r="E470" t="s">
        <v>74</v>
      </c>
      <c r="F470" t="s">
        <v>9571</v>
      </c>
      <c r="G470" t="s">
        <v>74</v>
      </c>
      <c r="H470" t="s">
        <v>74</v>
      </c>
      <c r="I470" t="s">
        <v>9572</v>
      </c>
      <c r="J470" t="s">
        <v>8992</v>
      </c>
      <c r="K470" t="s">
        <v>74</v>
      </c>
      <c r="L470" t="s">
        <v>74</v>
      </c>
      <c r="M470" t="s">
        <v>78</v>
      </c>
      <c r="N470" t="s">
        <v>79</v>
      </c>
      <c r="O470" t="s">
        <v>74</v>
      </c>
      <c r="P470" t="s">
        <v>74</v>
      </c>
      <c r="Q470" t="s">
        <v>74</v>
      </c>
      <c r="R470" t="s">
        <v>74</v>
      </c>
      <c r="S470" t="s">
        <v>74</v>
      </c>
      <c r="T470" t="s">
        <v>9573</v>
      </c>
      <c r="U470" t="s">
        <v>9574</v>
      </c>
      <c r="V470" t="s">
        <v>9575</v>
      </c>
      <c r="W470" t="s">
        <v>9576</v>
      </c>
      <c r="X470" t="s">
        <v>9577</v>
      </c>
      <c r="Y470" t="s">
        <v>9578</v>
      </c>
      <c r="Z470" t="s">
        <v>9579</v>
      </c>
      <c r="AA470" t="s">
        <v>9580</v>
      </c>
      <c r="AB470" t="s">
        <v>74</v>
      </c>
      <c r="AC470" t="s">
        <v>9581</v>
      </c>
      <c r="AD470" t="s">
        <v>9582</v>
      </c>
      <c r="AE470" t="s">
        <v>9583</v>
      </c>
      <c r="AF470" t="s">
        <v>74</v>
      </c>
      <c r="AG470">
        <v>111</v>
      </c>
      <c r="AH470">
        <v>3</v>
      </c>
      <c r="AI470">
        <v>3</v>
      </c>
      <c r="AJ470">
        <v>1</v>
      </c>
      <c r="AK470">
        <v>1</v>
      </c>
      <c r="AL470" t="s">
        <v>501</v>
      </c>
      <c r="AM470" t="s">
        <v>502</v>
      </c>
      <c r="AN470" t="s">
        <v>503</v>
      </c>
      <c r="AO470" t="s">
        <v>9002</v>
      </c>
      <c r="AP470" t="s">
        <v>9003</v>
      </c>
      <c r="AQ470" t="s">
        <v>74</v>
      </c>
      <c r="AR470" t="s">
        <v>9004</v>
      </c>
      <c r="AS470" t="s">
        <v>9005</v>
      </c>
      <c r="AT470" t="s">
        <v>3605</v>
      </c>
      <c r="AU470">
        <v>2022</v>
      </c>
      <c r="AV470">
        <v>216</v>
      </c>
      <c r="AW470" t="s">
        <v>74</v>
      </c>
      <c r="AX470" t="s">
        <v>74</v>
      </c>
      <c r="AY470" t="s">
        <v>74</v>
      </c>
      <c r="AZ470" t="s">
        <v>74</v>
      </c>
      <c r="BA470" t="s">
        <v>74</v>
      </c>
      <c r="BB470" t="s">
        <v>74</v>
      </c>
      <c r="BC470" t="s">
        <v>74</v>
      </c>
      <c r="BD470">
        <v>103901</v>
      </c>
      <c r="BE470" t="s">
        <v>9584</v>
      </c>
      <c r="BF470" t="str">
        <f>HYPERLINK("http://dx.doi.org/10.1016/j.gloplacha.2022.103901","http://dx.doi.org/10.1016/j.gloplacha.2022.103901")</f>
        <v>http://dx.doi.org/10.1016/j.gloplacha.2022.103901</v>
      </c>
      <c r="BG470" t="s">
        <v>74</v>
      </c>
      <c r="BH470" t="s">
        <v>7628</v>
      </c>
      <c r="BI470">
        <v>14</v>
      </c>
      <c r="BJ470" t="s">
        <v>354</v>
      </c>
      <c r="BK470" t="s">
        <v>100</v>
      </c>
      <c r="BL470" t="s">
        <v>241</v>
      </c>
      <c r="BM470" t="s">
        <v>9585</v>
      </c>
      <c r="BN470" t="s">
        <v>74</v>
      </c>
      <c r="BO470" t="s">
        <v>831</v>
      </c>
      <c r="BP470" t="s">
        <v>74</v>
      </c>
      <c r="BQ470" t="s">
        <v>74</v>
      </c>
      <c r="BR470" t="s">
        <v>103</v>
      </c>
      <c r="BS470" t="s">
        <v>9586</v>
      </c>
      <c r="BT470" t="str">
        <f>HYPERLINK("https%3A%2F%2Fwww.webofscience.com%2Fwos%2Fwoscc%2Ffull-record%2FWOS:000843740300001","View Full Record in Web of Science")</f>
        <v>View Full Record in Web of Science</v>
      </c>
    </row>
    <row r="471" spans="1:72" x14ac:dyDescent="0.15">
      <c r="A471" t="s">
        <v>72</v>
      </c>
      <c r="B471" t="s">
        <v>9587</v>
      </c>
      <c r="C471" t="s">
        <v>74</v>
      </c>
      <c r="D471" t="s">
        <v>74</v>
      </c>
      <c r="E471" t="s">
        <v>74</v>
      </c>
      <c r="F471" t="s">
        <v>9588</v>
      </c>
      <c r="G471" t="s">
        <v>74</v>
      </c>
      <c r="H471" t="s">
        <v>74</v>
      </c>
      <c r="I471" t="s">
        <v>9589</v>
      </c>
      <c r="J471" t="s">
        <v>3124</v>
      </c>
      <c r="K471" t="s">
        <v>74</v>
      </c>
      <c r="L471" t="s">
        <v>74</v>
      </c>
      <c r="M471" t="s">
        <v>78</v>
      </c>
      <c r="N471" t="s">
        <v>79</v>
      </c>
      <c r="O471" t="s">
        <v>74</v>
      </c>
      <c r="P471" t="s">
        <v>74</v>
      </c>
      <c r="Q471" t="s">
        <v>74</v>
      </c>
      <c r="R471" t="s">
        <v>74</v>
      </c>
      <c r="S471" t="s">
        <v>74</v>
      </c>
      <c r="T471" t="s">
        <v>74</v>
      </c>
      <c r="U471" t="s">
        <v>9590</v>
      </c>
      <c r="V471" t="s">
        <v>9591</v>
      </c>
      <c r="W471" t="s">
        <v>9592</v>
      </c>
      <c r="X471" t="s">
        <v>9593</v>
      </c>
      <c r="Y471" t="s">
        <v>9594</v>
      </c>
      <c r="Z471" t="s">
        <v>9595</v>
      </c>
      <c r="AA471" t="s">
        <v>74</v>
      </c>
      <c r="AB471" t="s">
        <v>9596</v>
      </c>
      <c r="AC471" t="s">
        <v>9597</v>
      </c>
      <c r="AD471" t="s">
        <v>9598</v>
      </c>
      <c r="AE471" t="s">
        <v>9599</v>
      </c>
      <c r="AF471" t="s">
        <v>74</v>
      </c>
      <c r="AG471">
        <v>63</v>
      </c>
      <c r="AH471">
        <v>16</v>
      </c>
      <c r="AI471">
        <v>16</v>
      </c>
      <c r="AJ471">
        <v>10</v>
      </c>
      <c r="AK471">
        <v>34</v>
      </c>
      <c r="AL471" t="s">
        <v>2108</v>
      </c>
      <c r="AM471" t="s">
        <v>207</v>
      </c>
      <c r="AN471" t="s">
        <v>2109</v>
      </c>
      <c r="AO471" t="s">
        <v>3136</v>
      </c>
      <c r="AP471" t="s">
        <v>74</v>
      </c>
      <c r="AQ471" t="s">
        <v>74</v>
      </c>
      <c r="AR471" t="s">
        <v>3137</v>
      </c>
      <c r="AS471" t="s">
        <v>3138</v>
      </c>
      <c r="AT471" t="s">
        <v>9530</v>
      </c>
      <c r="AU471">
        <v>2022</v>
      </c>
      <c r="AV471">
        <v>8</v>
      </c>
      <c r="AW471">
        <v>32</v>
      </c>
      <c r="AX471" t="s">
        <v>74</v>
      </c>
      <c r="AY471" t="s">
        <v>74</v>
      </c>
      <c r="AZ471" t="s">
        <v>74</v>
      </c>
      <c r="BA471" t="s">
        <v>74</v>
      </c>
      <c r="BB471" t="s">
        <v>74</v>
      </c>
      <c r="BC471" t="s">
        <v>74</v>
      </c>
      <c r="BD471" t="s">
        <v>9600</v>
      </c>
      <c r="BE471" t="s">
        <v>9601</v>
      </c>
      <c r="BF471" t="str">
        <f>HYPERLINK("http://dx.doi.org/10.1126/sciadv.abj9134","http://dx.doi.org/10.1126/sciadv.abj9134")</f>
        <v>http://dx.doi.org/10.1126/sciadv.abj9134</v>
      </c>
      <c r="BG471" t="s">
        <v>74</v>
      </c>
      <c r="BH471" t="s">
        <v>74</v>
      </c>
      <c r="BI471">
        <v>12</v>
      </c>
      <c r="BJ471" t="s">
        <v>156</v>
      </c>
      <c r="BK471" t="s">
        <v>100</v>
      </c>
      <c r="BL471" t="s">
        <v>157</v>
      </c>
      <c r="BM471" t="s">
        <v>9602</v>
      </c>
      <c r="BN471">
        <v>35960791</v>
      </c>
      <c r="BO471" t="s">
        <v>9603</v>
      </c>
      <c r="BP471" t="s">
        <v>74</v>
      </c>
      <c r="BQ471" t="s">
        <v>74</v>
      </c>
      <c r="BR471" t="s">
        <v>103</v>
      </c>
      <c r="BS471" t="s">
        <v>9604</v>
      </c>
      <c r="BT471" t="str">
        <f>HYPERLINK("https%3A%2F%2Fwww.webofscience.com%2Fwos%2Fwoscc%2Ffull-record%2FWOS:000841491100002","View Full Record in Web of Science")</f>
        <v>View Full Record in Web of Science</v>
      </c>
    </row>
    <row r="472" spans="1:72" x14ac:dyDescent="0.15">
      <c r="A472" t="s">
        <v>72</v>
      </c>
      <c r="B472" t="s">
        <v>9605</v>
      </c>
      <c r="C472" t="s">
        <v>74</v>
      </c>
      <c r="D472" t="s">
        <v>74</v>
      </c>
      <c r="E472" t="s">
        <v>74</v>
      </c>
      <c r="F472" t="s">
        <v>9606</v>
      </c>
      <c r="G472" t="s">
        <v>74</v>
      </c>
      <c r="H472" t="s">
        <v>74</v>
      </c>
      <c r="I472" t="s">
        <v>9607</v>
      </c>
      <c r="J472" t="s">
        <v>3244</v>
      </c>
      <c r="K472" t="s">
        <v>74</v>
      </c>
      <c r="L472" t="s">
        <v>74</v>
      </c>
      <c r="M472" t="s">
        <v>78</v>
      </c>
      <c r="N472" t="s">
        <v>79</v>
      </c>
      <c r="O472" t="s">
        <v>74</v>
      </c>
      <c r="P472" t="s">
        <v>74</v>
      </c>
      <c r="Q472" t="s">
        <v>74</v>
      </c>
      <c r="R472" t="s">
        <v>74</v>
      </c>
      <c r="S472" t="s">
        <v>74</v>
      </c>
      <c r="T472" t="s">
        <v>74</v>
      </c>
      <c r="U472" t="s">
        <v>9608</v>
      </c>
      <c r="V472" t="s">
        <v>9609</v>
      </c>
      <c r="W472" t="s">
        <v>9610</v>
      </c>
      <c r="X472" t="s">
        <v>9611</v>
      </c>
      <c r="Y472" t="s">
        <v>9612</v>
      </c>
      <c r="Z472" t="s">
        <v>9613</v>
      </c>
      <c r="AA472" t="s">
        <v>9614</v>
      </c>
      <c r="AB472" t="s">
        <v>9615</v>
      </c>
      <c r="AC472" t="s">
        <v>9616</v>
      </c>
      <c r="AD472" t="s">
        <v>9617</v>
      </c>
      <c r="AE472" t="s">
        <v>9618</v>
      </c>
      <c r="AF472" t="s">
        <v>74</v>
      </c>
      <c r="AG472">
        <v>64</v>
      </c>
      <c r="AH472">
        <v>4</v>
      </c>
      <c r="AI472">
        <v>4</v>
      </c>
      <c r="AJ472">
        <v>3</v>
      </c>
      <c r="AK472">
        <v>14</v>
      </c>
      <c r="AL472" t="s">
        <v>2460</v>
      </c>
      <c r="AM472" t="s">
        <v>2461</v>
      </c>
      <c r="AN472" t="s">
        <v>2462</v>
      </c>
      <c r="AO472" t="s">
        <v>3256</v>
      </c>
      <c r="AP472" t="s">
        <v>3257</v>
      </c>
      <c r="AQ472" t="s">
        <v>74</v>
      </c>
      <c r="AR472" t="s">
        <v>3258</v>
      </c>
      <c r="AS472" t="s">
        <v>3259</v>
      </c>
      <c r="AT472" t="s">
        <v>9530</v>
      </c>
      <c r="AU472">
        <v>2022</v>
      </c>
      <c r="AV472">
        <v>22</v>
      </c>
      <c r="AW472">
        <v>15</v>
      </c>
      <c r="AX472" t="s">
        <v>74</v>
      </c>
      <c r="AY472" t="s">
        <v>74</v>
      </c>
      <c r="AZ472" t="s">
        <v>74</v>
      </c>
      <c r="BA472" t="s">
        <v>74</v>
      </c>
      <c r="BB472">
        <v>10353</v>
      </c>
      <c r="BC472">
        <v>10373</v>
      </c>
      <c r="BD472" t="s">
        <v>74</v>
      </c>
      <c r="BE472" t="s">
        <v>9619</v>
      </c>
      <c r="BF472" t="str">
        <f>HYPERLINK("http://dx.doi.org/10.5194/acp-22-10353-2022","http://dx.doi.org/10.5194/acp-22-10353-2022")</f>
        <v>http://dx.doi.org/10.5194/acp-22-10353-2022</v>
      </c>
      <c r="BG472" t="s">
        <v>74</v>
      </c>
      <c r="BH472" t="s">
        <v>74</v>
      </c>
      <c r="BI472">
        <v>21</v>
      </c>
      <c r="BJ472" t="s">
        <v>1129</v>
      </c>
      <c r="BK472" t="s">
        <v>100</v>
      </c>
      <c r="BL472" t="s">
        <v>1130</v>
      </c>
      <c r="BM472" t="s">
        <v>9620</v>
      </c>
      <c r="BN472" t="s">
        <v>74</v>
      </c>
      <c r="BO472" t="s">
        <v>132</v>
      </c>
      <c r="BP472" t="s">
        <v>74</v>
      </c>
      <c r="BQ472" t="s">
        <v>74</v>
      </c>
      <c r="BR472" t="s">
        <v>103</v>
      </c>
      <c r="BS472" t="s">
        <v>9621</v>
      </c>
      <c r="BT472" t="str">
        <f>HYPERLINK("https%3A%2F%2Fwww.webofscience.com%2Fwos%2Fwoscc%2Ffull-record%2FWOS:000839609800001","View Full Record in Web of Science")</f>
        <v>View Full Record in Web of Science</v>
      </c>
    </row>
    <row r="473" spans="1:72" x14ac:dyDescent="0.15">
      <c r="A473" t="s">
        <v>72</v>
      </c>
      <c r="B473" t="s">
        <v>9622</v>
      </c>
      <c r="C473" t="s">
        <v>74</v>
      </c>
      <c r="D473" t="s">
        <v>74</v>
      </c>
      <c r="E473" t="s">
        <v>74</v>
      </c>
      <c r="F473" t="s">
        <v>9623</v>
      </c>
      <c r="G473" t="s">
        <v>74</v>
      </c>
      <c r="H473" t="s">
        <v>74</v>
      </c>
      <c r="I473" t="s">
        <v>9624</v>
      </c>
      <c r="J473" t="s">
        <v>4531</v>
      </c>
      <c r="K473" t="s">
        <v>74</v>
      </c>
      <c r="L473" t="s">
        <v>74</v>
      </c>
      <c r="M473" t="s">
        <v>78</v>
      </c>
      <c r="N473" t="s">
        <v>79</v>
      </c>
      <c r="O473" t="s">
        <v>74</v>
      </c>
      <c r="P473" t="s">
        <v>74</v>
      </c>
      <c r="Q473" t="s">
        <v>74</v>
      </c>
      <c r="R473" t="s">
        <v>74</v>
      </c>
      <c r="S473" t="s">
        <v>74</v>
      </c>
      <c r="T473" t="s">
        <v>9625</v>
      </c>
      <c r="U473" t="s">
        <v>9626</v>
      </c>
      <c r="V473" t="s">
        <v>9627</v>
      </c>
      <c r="W473" t="s">
        <v>9628</v>
      </c>
      <c r="X473" t="s">
        <v>9629</v>
      </c>
      <c r="Y473" t="s">
        <v>9630</v>
      </c>
      <c r="Z473" t="s">
        <v>9631</v>
      </c>
      <c r="AA473" t="s">
        <v>9632</v>
      </c>
      <c r="AB473" t="s">
        <v>4540</v>
      </c>
      <c r="AC473" t="s">
        <v>9633</v>
      </c>
      <c r="AD473" t="s">
        <v>9634</v>
      </c>
      <c r="AE473" t="s">
        <v>9635</v>
      </c>
      <c r="AF473" t="s">
        <v>74</v>
      </c>
      <c r="AG473">
        <v>75</v>
      </c>
      <c r="AH473">
        <v>1</v>
      </c>
      <c r="AI473">
        <v>2</v>
      </c>
      <c r="AJ473">
        <v>21</v>
      </c>
      <c r="AK473">
        <v>72</v>
      </c>
      <c r="AL473" t="s">
        <v>121</v>
      </c>
      <c r="AM473" t="s">
        <v>122</v>
      </c>
      <c r="AN473" t="s">
        <v>123</v>
      </c>
      <c r="AO473" t="s">
        <v>4541</v>
      </c>
      <c r="AP473" t="s">
        <v>74</v>
      </c>
      <c r="AQ473" t="s">
        <v>74</v>
      </c>
      <c r="AR473" t="s">
        <v>4542</v>
      </c>
      <c r="AS473" t="s">
        <v>4543</v>
      </c>
      <c r="AT473" t="s">
        <v>9636</v>
      </c>
      <c r="AU473">
        <v>2022</v>
      </c>
      <c r="AV473">
        <v>13</v>
      </c>
      <c r="AW473" t="s">
        <v>74</v>
      </c>
      <c r="AX473" t="s">
        <v>74</v>
      </c>
      <c r="AY473" t="s">
        <v>74</v>
      </c>
      <c r="AZ473" t="s">
        <v>74</v>
      </c>
      <c r="BA473" t="s">
        <v>74</v>
      </c>
      <c r="BB473" t="s">
        <v>74</v>
      </c>
      <c r="BC473" t="s">
        <v>74</v>
      </c>
      <c r="BD473">
        <v>924162</v>
      </c>
      <c r="BE473" t="s">
        <v>9637</v>
      </c>
      <c r="BF473" t="str">
        <f>HYPERLINK("http://dx.doi.org/10.3389/fpls.2022.924162","http://dx.doi.org/10.3389/fpls.2022.924162")</f>
        <v>http://dx.doi.org/10.3389/fpls.2022.924162</v>
      </c>
      <c r="BG473" t="s">
        <v>74</v>
      </c>
      <c r="BH473" t="s">
        <v>74</v>
      </c>
      <c r="BI473">
        <v>15</v>
      </c>
      <c r="BJ473" t="s">
        <v>1438</v>
      </c>
      <c r="BK473" t="s">
        <v>100</v>
      </c>
      <c r="BL473" t="s">
        <v>1438</v>
      </c>
      <c r="BM473" t="s">
        <v>9638</v>
      </c>
      <c r="BN473">
        <v>36035699</v>
      </c>
      <c r="BO473" t="s">
        <v>159</v>
      </c>
      <c r="BP473" t="s">
        <v>74</v>
      </c>
      <c r="BQ473" t="s">
        <v>74</v>
      </c>
      <c r="BR473" t="s">
        <v>103</v>
      </c>
      <c r="BS473" t="s">
        <v>9639</v>
      </c>
      <c r="BT473" t="str">
        <f>HYPERLINK("https%3A%2F%2Fwww.webofscience.com%2Fwos%2Fwoscc%2Ffull-record%2FWOS:000891389200001","View Full Record in Web of Science")</f>
        <v>View Full Record in Web of Science</v>
      </c>
    </row>
    <row r="474" spans="1:72" x14ac:dyDescent="0.15">
      <c r="A474" t="s">
        <v>72</v>
      </c>
      <c r="B474" t="s">
        <v>9640</v>
      </c>
      <c r="C474" t="s">
        <v>74</v>
      </c>
      <c r="D474" t="s">
        <v>74</v>
      </c>
      <c r="E474" t="s">
        <v>74</v>
      </c>
      <c r="F474" t="s">
        <v>9641</v>
      </c>
      <c r="G474" t="s">
        <v>74</v>
      </c>
      <c r="H474" t="s">
        <v>74</v>
      </c>
      <c r="I474" t="s">
        <v>9642</v>
      </c>
      <c r="J474" t="s">
        <v>3747</v>
      </c>
      <c r="K474" t="s">
        <v>74</v>
      </c>
      <c r="L474" t="s">
        <v>74</v>
      </c>
      <c r="M474" t="s">
        <v>78</v>
      </c>
      <c r="N474" t="s">
        <v>79</v>
      </c>
      <c r="O474" t="s">
        <v>74</v>
      </c>
      <c r="P474" t="s">
        <v>74</v>
      </c>
      <c r="Q474" t="s">
        <v>74</v>
      </c>
      <c r="R474" t="s">
        <v>74</v>
      </c>
      <c r="S474" t="s">
        <v>74</v>
      </c>
      <c r="T474" t="s">
        <v>9643</v>
      </c>
      <c r="U474" t="s">
        <v>9644</v>
      </c>
      <c r="V474" t="s">
        <v>9645</v>
      </c>
      <c r="W474" t="s">
        <v>9646</v>
      </c>
      <c r="X474" t="s">
        <v>9647</v>
      </c>
      <c r="Y474" t="s">
        <v>9031</v>
      </c>
      <c r="Z474" t="s">
        <v>3798</v>
      </c>
      <c r="AA474" t="s">
        <v>9648</v>
      </c>
      <c r="AB474" t="s">
        <v>9649</v>
      </c>
      <c r="AC474" t="s">
        <v>9650</v>
      </c>
      <c r="AD474" t="s">
        <v>9651</v>
      </c>
      <c r="AE474" t="s">
        <v>9652</v>
      </c>
      <c r="AF474" t="s">
        <v>74</v>
      </c>
      <c r="AG474">
        <v>56</v>
      </c>
      <c r="AH474">
        <v>6</v>
      </c>
      <c r="AI474">
        <v>7</v>
      </c>
      <c r="AJ474">
        <v>35</v>
      </c>
      <c r="AK474">
        <v>94</v>
      </c>
      <c r="AL474" t="s">
        <v>501</v>
      </c>
      <c r="AM474" t="s">
        <v>502</v>
      </c>
      <c r="AN474" t="s">
        <v>503</v>
      </c>
      <c r="AO474" t="s">
        <v>3759</v>
      </c>
      <c r="AP474" t="s">
        <v>3760</v>
      </c>
      <c r="AQ474" t="s">
        <v>74</v>
      </c>
      <c r="AR474" t="s">
        <v>3761</v>
      </c>
      <c r="AS474" t="s">
        <v>3762</v>
      </c>
      <c r="AT474" t="s">
        <v>9653</v>
      </c>
      <c r="AU474">
        <v>2022</v>
      </c>
      <c r="AV474">
        <v>849</v>
      </c>
      <c r="AW474" t="s">
        <v>74</v>
      </c>
      <c r="AX474" t="s">
        <v>74</v>
      </c>
      <c r="AY474" t="s">
        <v>74</v>
      </c>
      <c r="AZ474" t="s">
        <v>74</v>
      </c>
      <c r="BA474" t="s">
        <v>74</v>
      </c>
      <c r="BB474" t="s">
        <v>74</v>
      </c>
      <c r="BC474" t="s">
        <v>74</v>
      </c>
      <c r="BD474">
        <v>157883</v>
      </c>
      <c r="BE474" t="s">
        <v>9654</v>
      </c>
      <c r="BF474" t="str">
        <f>HYPERLINK("http://dx.doi.org/10.1016/j.scitotenv.2022.157883","http://dx.doi.org/10.1016/j.scitotenv.2022.157883")</f>
        <v>http://dx.doi.org/10.1016/j.scitotenv.2022.157883</v>
      </c>
      <c r="BG474" t="s">
        <v>74</v>
      </c>
      <c r="BH474" t="s">
        <v>7628</v>
      </c>
      <c r="BI474">
        <v>10</v>
      </c>
      <c r="BJ474" t="s">
        <v>2040</v>
      </c>
      <c r="BK474" t="s">
        <v>100</v>
      </c>
      <c r="BL474" t="s">
        <v>2041</v>
      </c>
      <c r="BM474" t="s">
        <v>9655</v>
      </c>
      <c r="BN474">
        <v>35952869</v>
      </c>
      <c r="BO474" t="s">
        <v>74</v>
      </c>
      <c r="BP474" t="s">
        <v>74</v>
      </c>
      <c r="BQ474" t="s">
        <v>74</v>
      </c>
      <c r="BR474" t="s">
        <v>103</v>
      </c>
      <c r="BS474" t="s">
        <v>9656</v>
      </c>
      <c r="BT474" t="str">
        <f>HYPERLINK("https%3A%2F%2Fwww.webofscience.com%2Fwos%2Fwoscc%2Ffull-record%2FWOS:000880615600001","View Full Record in Web of Science")</f>
        <v>View Full Record in Web of Science</v>
      </c>
    </row>
    <row r="475" spans="1:72" x14ac:dyDescent="0.15">
      <c r="A475" t="s">
        <v>72</v>
      </c>
      <c r="B475" t="s">
        <v>9657</v>
      </c>
      <c r="C475" t="s">
        <v>74</v>
      </c>
      <c r="D475" t="s">
        <v>74</v>
      </c>
      <c r="E475" t="s">
        <v>74</v>
      </c>
      <c r="F475" t="s">
        <v>9658</v>
      </c>
      <c r="G475" t="s">
        <v>74</v>
      </c>
      <c r="H475" t="s">
        <v>74</v>
      </c>
      <c r="I475" t="s">
        <v>9659</v>
      </c>
      <c r="J475" t="s">
        <v>3302</v>
      </c>
      <c r="K475" t="s">
        <v>74</v>
      </c>
      <c r="L475" t="s">
        <v>74</v>
      </c>
      <c r="M475" t="s">
        <v>78</v>
      </c>
      <c r="N475" t="s">
        <v>79</v>
      </c>
      <c r="O475" t="s">
        <v>74</v>
      </c>
      <c r="P475" t="s">
        <v>74</v>
      </c>
      <c r="Q475" t="s">
        <v>74</v>
      </c>
      <c r="R475" t="s">
        <v>74</v>
      </c>
      <c r="S475" t="s">
        <v>74</v>
      </c>
      <c r="T475" t="s">
        <v>9660</v>
      </c>
      <c r="U475" t="s">
        <v>9661</v>
      </c>
      <c r="V475" t="s">
        <v>9662</v>
      </c>
      <c r="W475" t="s">
        <v>9663</v>
      </c>
      <c r="X475" t="s">
        <v>9664</v>
      </c>
      <c r="Y475" t="s">
        <v>9665</v>
      </c>
      <c r="Z475" t="s">
        <v>9666</v>
      </c>
      <c r="AA475" t="s">
        <v>74</v>
      </c>
      <c r="AB475" t="s">
        <v>74</v>
      </c>
      <c r="AC475" t="s">
        <v>9667</v>
      </c>
      <c r="AD475" t="s">
        <v>9668</v>
      </c>
      <c r="AE475" t="s">
        <v>9669</v>
      </c>
      <c r="AF475" t="s">
        <v>74</v>
      </c>
      <c r="AG475">
        <v>102</v>
      </c>
      <c r="AH475">
        <v>2</v>
      </c>
      <c r="AI475">
        <v>2</v>
      </c>
      <c r="AJ475">
        <v>1</v>
      </c>
      <c r="AK475">
        <v>5</v>
      </c>
      <c r="AL475" t="s">
        <v>3315</v>
      </c>
      <c r="AM475" t="s">
        <v>3316</v>
      </c>
      <c r="AN475" t="s">
        <v>3317</v>
      </c>
      <c r="AO475" t="s">
        <v>3318</v>
      </c>
      <c r="AP475" t="s">
        <v>3319</v>
      </c>
      <c r="AQ475" t="s">
        <v>74</v>
      </c>
      <c r="AR475" t="s">
        <v>3320</v>
      </c>
      <c r="AS475" t="s">
        <v>3321</v>
      </c>
      <c r="AT475" t="s">
        <v>9636</v>
      </c>
      <c r="AU475">
        <v>2022</v>
      </c>
      <c r="AV475">
        <v>694</v>
      </c>
      <c r="AW475" t="s">
        <v>74</v>
      </c>
      <c r="AX475" t="s">
        <v>74</v>
      </c>
      <c r="AY475" t="s">
        <v>74</v>
      </c>
      <c r="AZ475" t="s">
        <v>74</v>
      </c>
      <c r="BA475" t="s">
        <v>74</v>
      </c>
      <c r="BB475">
        <v>193</v>
      </c>
      <c r="BC475">
        <v>208</v>
      </c>
      <c r="BD475" t="s">
        <v>74</v>
      </c>
      <c r="BE475" t="s">
        <v>9670</v>
      </c>
      <c r="BF475" t="str">
        <f>HYPERLINK("http://dx.doi.org/10.3354/meps14087","http://dx.doi.org/10.3354/meps14087")</f>
        <v>http://dx.doi.org/10.3354/meps14087</v>
      </c>
      <c r="BG475" t="s">
        <v>74</v>
      </c>
      <c r="BH475" t="s">
        <v>74</v>
      </c>
      <c r="BI475">
        <v>16</v>
      </c>
      <c r="BJ475" t="s">
        <v>3324</v>
      </c>
      <c r="BK475" t="s">
        <v>100</v>
      </c>
      <c r="BL475" t="s">
        <v>3325</v>
      </c>
      <c r="BM475" t="s">
        <v>9671</v>
      </c>
      <c r="BN475" t="s">
        <v>74</v>
      </c>
      <c r="BO475" t="s">
        <v>74</v>
      </c>
      <c r="BP475" t="s">
        <v>74</v>
      </c>
      <c r="BQ475" t="s">
        <v>74</v>
      </c>
      <c r="BR475" t="s">
        <v>103</v>
      </c>
      <c r="BS475" t="s">
        <v>9672</v>
      </c>
      <c r="BT475" t="str">
        <f>HYPERLINK("https%3A%2F%2Fwww.webofscience.com%2Fwos%2Fwoscc%2Ffull-record%2FWOS:000884764400014","View Full Record in Web of Science")</f>
        <v>View Full Record in Web of Science</v>
      </c>
    </row>
    <row r="476" spans="1:72" x14ac:dyDescent="0.15">
      <c r="A476" t="s">
        <v>72</v>
      </c>
      <c r="B476" t="s">
        <v>9673</v>
      </c>
      <c r="C476" t="s">
        <v>74</v>
      </c>
      <c r="D476" t="s">
        <v>74</v>
      </c>
      <c r="E476" t="s">
        <v>74</v>
      </c>
      <c r="F476" t="s">
        <v>9674</v>
      </c>
      <c r="G476" t="s">
        <v>74</v>
      </c>
      <c r="H476" t="s">
        <v>74</v>
      </c>
      <c r="I476" t="s">
        <v>9675</v>
      </c>
      <c r="J476" t="s">
        <v>8074</v>
      </c>
      <c r="K476" t="s">
        <v>74</v>
      </c>
      <c r="L476" t="s">
        <v>74</v>
      </c>
      <c r="M476" t="s">
        <v>78</v>
      </c>
      <c r="N476" t="s">
        <v>79</v>
      </c>
      <c r="O476" t="s">
        <v>74</v>
      </c>
      <c r="P476" t="s">
        <v>74</v>
      </c>
      <c r="Q476" t="s">
        <v>74</v>
      </c>
      <c r="R476" t="s">
        <v>74</v>
      </c>
      <c r="S476" t="s">
        <v>74</v>
      </c>
      <c r="T476" t="s">
        <v>9676</v>
      </c>
      <c r="U476" t="s">
        <v>9677</v>
      </c>
      <c r="V476" t="s">
        <v>9678</v>
      </c>
      <c r="W476" t="s">
        <v>9679</v>
      </c>
      <c r="X476" t="s">
        <v>9680</v>
      </c>
      <c r="Y476" t="s">
        <v>9681</v>
      </c>
      <c r="Z476" t="s">
        <v>9682</v>
      </c>
      <c r="AA476" t="s">
        <v>9683</v>
      </c>
      <c r="AB476" t="s">
        <v>9684</v>
      </c>
      <c r="AC476" t="s">
        <v>9685</v>
      </c>
      <c r="AD476" t="s">
        <v>9686</v>
      </c>
      <c r="AE476" t="s">
        <v>9687</v>
      </c>
      <c r="AF476" t="s">
        <v>74</v>
      </c>
      <c r="AG476">
        <v>45</v>
      </c>
      <c r="AH476">
        <v>0</v>
      </c>
      <c r="AI476">
        <v>0</v>
      </c>
      <c r="AJ476">
        <v>2</v>
      </c>
      <c r="AK476">
        <v>14</v>
      </c>
      <c r="AL476" t="s">
        <v>4000</v>
      </c>
      <c r="AM476" t="s">
        <v>4001</v>
      </c>
      <c r="AN476" t="s">
        <v>4002</v>
      </c>
      <c r="AO476" t="s">
        <v>8087</v>
      </c>
      <c r="AP476" t="s">
        <v>8088</v>
      </c>
      <c r="AQ476" t="s">
        <v>74</v>
      </c>
      <c r="AR476" t="s">
        <v>8089</v>
      </c>
      <c r="AS476" t="s">
        <v>8090</v>
      </c>
      <c r="AT476" t="s">
        <v>2281</v>
      </c>
      <c r="AU476">
        <v>2022</v>
      </c>
      <c r="AV476">
        <v>214</v>
      </c>
      <c r="AW476" t="s">
        <v>74</v>
      </c>
      <c r="AX476">
        <v>3</v>
      </c>
      <c r="AY476" t="s">
        <v>74</v>
      </c>
      <c r="AZ476" t="s">
        <v>74</v>
      </c>
      <c r="BA476" t="s">
        <v>74</v>
      </c>
      <c r="BB476" t="s">
        <v>74</v>
      </c>
      <c r="BC476" t="s">
        <v>74</v>
      </c>
      <c r="BD476">
        <v>114087</v>
      </c>
      <c r="BE476" t="s">
        <v>9688</v>
      </c>
      <c r="BF476" t="str">
        <f>HYPERLINK("http://dx.doi.org/10.1016/j.envres.2022.114087","http://dx.doi.org/10.1016/j.envres.2022.114087")</f>
        <v>http://dx.doi.org/10.1016/j.envres.2022.114087</v>
      </c>
      <c r="BG476" t="s">
        <v>74</v>
      </c>
      <c r="BH476" t="s">
        <v>7628</v>
      </c>
      <c r="BI476">
        <v>10</v>
      </c>
      <c r="BJ476" t="s">
        <v>8092</v>
      </c>
      <c r="BK476" t="s">
        <v>100</v>
      </c>
      <c r="BL476" t="s">
        <v>8093</v>
      </c>
      <c r="BM476" t="s">
        <v>9689</v>
      </c>
      <c r="BN476">
        <v>35961543</v>
      </c>
      <c r="BO476" t="s">
        <v>74</v>
      </c>
      <c r="BP476" t="s">
        <v>74</v>
      </c>
      <c r="BQ476" t="s">
        <v>74</v>
      </c>
      <c r="BR476" t="s">
        <v>103</v>
      </c>
      <c r="BS476" t="s">
        <v>9690</v>
      </c>
      <c r="BT476" t="str">
        <f>HYPERLINK("https%3A%2F%2Fwww.webofscience.com%2Fwos%2Fwoscc%2Ffull-record%2FWOS:000860725200008","View Full Record in Web of Science")</f>
        <v>View Full Record in Web of Science</v>
      </c>
    </row>
    <row r="477" spans="1:72" x14ac:dyDescent="0.15">
      <c r="A477" t="s">
        <v>72</v>
      </c>
      <c r="B477" t="s">
        <v>9691</v>
      </c>
      <c r="C477" t="s">
        <v>74</v>
      </c>
      <c r="D477" t="s">
        <v>74</v>
      </c>
      <c r="E477" t="s">
        <v>74</v>
      </c>
      <c r="F477" t="s">
        <v>9692</v>
      </c>
      <c r="G477" t="s">
        <v>74</v>
      </c>
      <c r="H477" t="s">
        <v>74</v>
      </c>
      <c r="I477" t="s">
        <v>9693</v>
      </c>
      <c r="J477" t="s">
        <v>3380</v>
      </c>
      <c r="K477" t="s">
        <v>74</v>
      </c>
      <c r="L477" t="s">
        <v>74</v>
      </c>
      <c r="M477" t="s">
        <v>78</v>
      </c>
      <c r="N477" t="s">
        <v>165</v>
      </c>
      <c r="O477" t="s">
        <v>74</v>
      </c>
      <c r="P477" t="s">
        <v>74</v>
      </c>
      <c r="Q477" t="s">
        <v>74</v>
      </c>
      <c r="R477" t="s">
        <v>74</v>
      </c>
      <c r="S477" t="s">
        <v>74</v>
      </c>
      <c r="T477" t="s">
        <v>74</v>
      </c>
      <c r="U477" t="s">
        <v>9694</v>
      </c>
      <c r="V477" t="s">
        <v>9695</v>
      </c>
      <c r="W477" t="s">
        <v>9696</v>
      </c>
      <c r="X477" t="s">
        <v>9697</v>
      </c>
      <c r="Y477" t="s">
        <v>9698</v>
      </c>
      <c r="Z477" t="s">
        <v>9699</v>
      </c>
      <c r="AA477" t="s">
        <v>9700</v>
      </c>
      <c r="AB477" t="s">
        <v>9701</v>
      </c>
      <c r="AC477" t="s">
        <v>9702</v>
      </c>
      <c r="AD477" t="s">
        <v>9703</v>
      </c>
      <c r="AE477" t="s">
        <v>9704</v>
      </c>
      <c r="AF477" t="s">
        <v>74</v>
      </c>
      <c r="AG477">
        <v>185</v>
      </c>
      <c r="AH477">
        <v>37</v>
      </c>
      <c r="AI477">
        <v>40</v>
      </c>
      <c r="AJ477">
        <v>30</v>
      </c>
      <c r="AK477">
        <v>128</v>
      </c>
      <c r="AL477" t="s">
        <v>149</v>
      </c>
      <c r="AM477" t="s">
        <v>150</v>
      </c>
      <c r="AN477" t="s">
        <v>151</v>
      </c>
      <c r="AO477" t="s">
        <v>3390</v>
      </c>
      <c r="AP477" t="s">
        <v>3391</v>
      </c>
      <c r="AQ477" t="s">
        <v>74</v>
      </c>
      <c r="AR477" t="s">
        <v>3380</v>
      </c>
      <c r="AS477" t="s">
        <v>3392</v>
      </c>
      <c r="AT477" t="s">
        <v>9636</v>
      </c>
      <c r="AU477">
        <v>2022</v>
      </c>
      <c r="AV477">
        <v>608</v>
      </c>
      <c r="AW477">
        <v>7922</v>
      </c>
      <c r="AX477" t="s">
        <v>74</v>
      </c>
      <c r="AY477" t="s">
        <v>74</v>
      </c>
      <c r="AZ477" t="s">
        <v>74</v>
      </c>
      <c r="BA477" t="s">
        <v>74</v>
      </c>
      <c r="BB477">
        <v>275</v>
      </c>
      <c r="BC477" t="s">
        <v>2114</v>
      </c>
      <c r="BD477" t="s">
        <v>74</v>
      </c>
      <c r="BE477" t="s">
        <v>9705</v>
      </c>
      <c r="BF477" t="str">
        <f>HYPERLINK("http://dx.doi.org/10.1038/s41586-022-04946-0","http://dx.doi.org/10.1038/s41586-022-04946-0")</f>
        <v>http://dx.doi.org/10.1038/s41586-022-04946-0</v>
      </c>
      <c r="BG477" t="s">
        <v>74</v>
      </c>
      <c r="BH477" t="s">
        <v>74</v>
      </c>
      <c r="BI477">
        <v>13</v>
      </c>
      <c r="BJ477" t="s">
        <v>156</v>
      </c>
      <c r="BK477" t="s">
        <v>100</v>
      </c>
      <c r="BL477" t="s">
        <v>157</v>
      </c>
      <c r="BM477" t="s">
        <v>9706</v>
      </c>
      <c r="BN477">
        <v>35948707</v>
      </c>
      <c r="BO477" t="s">
        <v>4297</v>
      </c>
      <c r="BP477" t="s">
        <v>74</v>
      </c>
      <c r="BQ477" t="s">
        <v>74</v>
      </c>
      <c r="BR477" t="s">
        <v>103</v>
      </c>
      <c r="BS477" t="s">
        <v>9707</v>
      </c>
      <c r="BT477" t="str">
        <f>HYPERLINK("https%3A%2F%2Fwww.webofscience.com%2Fwos%2Fwoscc%2Ffull-record%2FWOS:000838658900010","View Full Record in Web of Science")</f>
        <v>View Full Record in Web of Science</v>
      </c>
    </row>
    <row r="478" spans="1:72" x14ac:dyDescent="0.15">
      <c r="A478" t="s">
        <v>72</v>
      </c>
      <c r="B478" t="s">
        <v>9708</v>
      </c>
      <c r="C478" t="s">
        <v>74</v>
      </c>
      <c r="D478" t="s">
        <v>74</v>
      </c>
      <c r="E478" t="s">
        <v>74</v>
      </c>
      <c r="F478" t="s">
        <v>9709</v>
      </c>
      <c r="G478" t="s">
        <v>74</v>
      </c>
      <c r="H478" t="s">
        <v>74</v>
      </c>
      <c r="I478" t="s">
        <v>9710</v>
      </c>
      <c r="J478" t="s">
        <v>247</v>
      </c>
      <c r="K478" t="s">
        <v>74</v>
      </c>
      <c r="L478" t="s">
        <v>74</v>
      </c>
      <c r="M478" t="s">
        <v>78</v>
      </c>
      <c r="N478" t="s">
        <v>79</v>
      </c>
      <c r="O478" t="s">
        <v>74</v>
      </c>
      <c r="P478" t="s">
        <v>74</v>
      </c>
      <c r="Q478" t="s">
        <v>74</v>
      </c>
      <c r="R478" t="s">
        <v>74</v>
      </c>
      <c r="S478" t="s">
        <v>74</v>
      </c>
      <c r="T478" t="s">
        <v>9711</v>
      </c>
      <c r="U478" t="s">
        <v>9712</v>
      </c>
      <c r="V478" t="s">
        <v>9713</v>
      </c>
      <c r="W478" t="s">
        <v>9714</v>
      </c>
      <c r="X478" t="s">
        <v>9715</v>
      </c>
      <c r="Y478" t="s">
        <v>9716</v>
      </c>
      <c r="Z478" t="s">
        <v>9717</v>
      </c>
      <c r="AA478" t="s">
        <v>9718</v>
      </c>
      <c r="AB478" t="s">
        <v>9719</v>
      </c>
      <c r="AC478" t="s">
        <v>9720</v>
      </c>
      <c r="AD478" t="s">
        <v>9721</v>
      </c>
      <c r="AE478" t="s">
        <v>9722</v>
      </c>
      <c r="AF478" t="s">
        <v>74</v>
      </c>
      <c r="AG478">
        <v>82</v>
      </c>
      <c r="AH478">
        <v>3</v>
      </c>
      <c r="AI478">
        <v>4</v>
      </c>
      <c r="AJ478">
        <v>9</v>
      </c>
      <c r="AK478">
        <v>47</v>
      </c>
      <c r="AL478" t="s">
        <v>121</v>
      </c>
      <c r="AM478" t="s">
        <v>122</v>
      </c>
      <c r="AN478" t="s">
        <v>123</v>
      </c>
      <c r="AO478" t="s">
        <v>74</v>
      </c>
      <c r="AP478" t="s">
        <v>258</v>
      </c>
      <c r="AQ478" t="s">
        <v>74</v>
      </c>
      <c r="AR478" t="s">
        <v>259</v>
      </c>
      <c r="AS478" t="s">
        <v>260</v>
      </c>
      <c r="AT478" t="s">
        <v>9636</v>
      </c>
      <c r="AU478">
        <v>2022</v>
      </c>
      <c r="AV478">
        <v>9</v>
      </c>
      <c r="AW478" t="s">
        <v>74</v>
      </c>
      <c r="AX478" t="s">
        <v>74</v>
      </c>
      <c r="AY478" t="s">
        <v>74</v>
      </c>
      <c r="AZ478" t="s">
        <v>74</v>
      </c>
      <c r="BA478" t="s">
        <v>74</v>
      </c>
      <c r="BB478" t="s">
        <v>74</v>
      </c>
      <c r="BC478" t="s">
        <v>74</v>
      </c>
      <c r="BD478">
        <v>916140</v>
      </c>
      <c r="BE478" t="s">
        <v>9723</v>
      </c>
      <c r="BF478" t="str">
        <f>HYPERLINK("http://dx.doi.org/10.3389/fmars.2022.916140","http://dx.doi.org/10.3389/fmars.2022.916140")</f>
        <v>http://dx.doi.org/10.3389/fmars.2022.916140</v>
      </c>
      <c r="BG478" t="s">
        <v>74</v>
      </c>
      <c r="BH478" t="s">
        <v>74</v>
      </c>
      <c r="BI478">
        <v>18</v>
      </c>
      <c r="BJ478" t="s">
        <v>263</v>
      </c>
      <c r="BK478" t="s">
        <v>100</v>
      </c>
      <c r="BL478" t="s">
        <v>264</v>
      </c>
      <c r="BM478" t="s">
        <v>9724</v>
      </c>
      <c r="BN478" t="s">
        <v>74</v>
      </c>
      <c r="BO478" t="s">
        <v>266</v>
      </c>
      <c r="BP478" t="s">
        <v>74</v>
      </c>
      <c r="BQ478" t="s">
        <v>74</v>
      </c>
      <c r="BR478" t="s">
        <v>103</v>
      </c>
      <c r="BS478" t="s">
        <v>9725</v>
      </c>
      <c r="BT478" t="str">
        <f>HYPERLINK("https%3A%2F%2Fwww.webofscience.com%2Fwos%2Fwoscc%2Ffull-record%2FWOS:000844373500001","View Full Record in Web of Science")</f>
        <v>View Full Record in Web of Science</v>
      </c>
    </row>
    <row r="479" spans="1:72" x14ac:dyDescent="0.15">
      <c r="A479" t="s">
        <v>72</v>
      </c>
      <c r="B479" t="s">
        <v>9726</v>
      </c>
      <c r="C479" t="s">
        <v>74</v>
      </c>
      <c r="D479" t="s">
        <v>74</v>
      </c>
      <c r="E479" t="s">
        <v>74</v>
      </c>
      <c r="F479" t="s">
        <v>9727</v>
      </c>
      <c r="G479" t="s">
        <v>74</v>
      </c>
      <c r="H479" t="s">
        <v>74</v>
      </c>
      <c r="I479" t="s">
        <v>9728</v>
      </c>
      <c r="J479" t="s">
        <v>5194</v>
      </c>
      <c r="K479" t="s">
        <v>74</v>
      </c>
      <c r="L479" t="s">
        <v>74</v>
      </c>
      <c r="M479" t="s">
        <v>78</v>
      </c>
      <c r="N479" t="s">
        <v>79</v>
      </c>
      <c r="O479" t="s">
        <v>74</v>
      </c>
      <c r="P479" t="s">
        <v>74</v>
      </c>
      <c r="Q479" t="s">
        <v>74</v>
      </c>
      <c r="R479" t="s">
        <v>74</v>
      </c>
      <c r="S479" t="s">
        <v>74</v>
      </c>
      <c r="T479" t="s">
        <v>9729</v>
      </c>
      <c r="U479" t="s">
        <v>9730</v>
      </c>
      <c r="V479" t="s">
        <v>9731</v>
      </c>
      <c r="W479" t="s">
        <v>9732</v>
      </c>
      <c r="X479" t="s">
        <v>9733</v>
      </c>
      <c r="Y479" t="s">
        <v>9734</v>
      </c>
      <c r="Z479" t="s">
        <v>9735</v>
      </c>
      <c r="AA479" t="s">
        <v>74</v>
      </c>
      <c r="AB479" t="s">
        <v>9736</v>
      </c>
      <c r="AC479" t="s">
        <v>9737</v>
      </c>
      <c r="AD479" t="s">
        <v>9738</v>
      </c>
      <c r="AE479" t="s">
        <v>9739</v>
      </c>
      <c r="AF479" t="s">
        <v>74</v>
      </c>
      <c r="AG479">
        <v>93</v>
      </c>
      <c r="AH479">
        <v>15</v>
      </c>
      <c r="AI479">
        <v>15</v>
      </c>
      <c r="AJ479">
        <v>4</v>
      </c>
      <c r="AK479">
        <v>40</v>
      </c>
      <c r="AL479" t="s">
        <v>231</v>
      </c>
      <c r="AM479" t="s">
        <v>232</v>
      </c>
      <c r="AN479" t="s">
        <v>233</v>
      </c>
      <c r="AO479" t="s">
        <v>5207</v>
      </c>
      <c r="AP479" t="s">
        <v>5208</v>
      </c>
      <c r="AQ479" t="s">
        <v>74</v>
      </c>
      <c r="AR479" t="s">
        <v>5209</v>
      </c>
      <c r="AS479" t="s">
        <v>5210</v>
      </c>
      <c r="AT479" t="s">
        <v>2281</v>
      </c>
      <c r="AU479">
        <v>2022</v>
      </c>
      <c r="AV479">
        <v>28</v>
      </c>
      <c r="AW479">
        <v>21</v>
      </c>
      <c r="AX479" t="s">
        <v>74</v>
      </c>
      <c r="AY479" t="s">
        <v>74</v>
      </c>
      <c r="AZ479" t="s">
        <v>74</v>
      </c>
      <c r="BA479" t="s">
        <v>74</v>
      </c>
      <c r="BB479">
        <v>6239</v>
      </c>
      <c r="BC479">
        <v>6253</v>
      </c>
      <c r="BD479" t="s">
        <v>74</v>
      </c>
      <c r="BE479" t="s">
        <v>9740</v>
      </c>
      <c r="BF479" t="str">
        <f>HYPERLINK("http://dx.doi.org/10.1111/gcb.16341","http://dx.doi.org/10.1111/gcb.16341")</f>
        <v>http://dx.doi.org/10.1111/gcb.16341</v>
      </c>
      <c r="BG479" t="s">
        <v>74</v>
      </c>
      <c r="BH479" t="s">
        <v>7628</v>
      </c>
      <c r="BI479">
        <v>15</v>
      </c>
      <c r="BJ479" t="s">
        <v>3785</v>
      </c>
      <c r="BK479" t="s">
        <v>100</v>
      </c>
      <c r="BL479" t="s">
        <v>1170</v>
      </c>
      <c r="BM479" t="s">
        <v>9741</v>
      </c>
      <c r="BN479">
        <v>35822557</v>
      </c>
      <c r="BO479" t="s">
        <v>1341</v>
      </c>
      <c r="BP479" t="s">
        <v>74</v>
      </c>
      <c r="BQ479" t="s">
        <v>74</v>
      </c>
      <c r="BR479" t="s">
        <v>103</v>
      </c>
      <c r="BS479" t="s">
        <v>9742</v>
      </c>
      <c r="BT479" t="str">
        <f>HYPERLINK("https%3A%2F%2Fwww.webofscience.com%2Fwos%2Fwoscc%2Ffull-record%2FWOS:000843754900001","View Full Record in Web of Science")</f>
        <v>View Full Record in Web of Science</v>
      </c>
    </row>
    <row r="480" spans="1:72" x14ac:dyDescent="0.15">
      <c r="A480" t="s">
        <v>72</v>
      </c>
      <c r="B480" t="s">
        <v>9743</v>
      </c>
      <c r="C480" t="s">
        <v>74</v>
      </c>
      <c r="D480" t="s">
        <v>74</v>
      </c>
      <c r="E480" t="s">
        <v>74</v>
      </c>
      <c r="F480" t="s">
        <v>9744</v>
      </c>
      <c r="G480" t="s">
        <v>74</v>
      </c>
      <c r="H480" t="s">
        <v>74</v>
      </c>
      <c r="I480" t="s">
        <v>9745</v>
      </c>
      <c r="J480" t="s">
        <v>9746</v>
      </c>
      <c r="K480" t="s">
        <v>74</v>
      </c>
      <c r="L480" t="s">
        <v>74</v>
      </c>
      <c r="M480" t="s">
        <v>78</v>
      </c>
      <c r="N480" t="s">
        <v>79</v>
      </c>
      <c r="O480" t="s">
        <v>74</v>
      </c>
      <c r="P480" t="s">
        <v>74</v>
      </c>
      <c r="Q480" t="s">
        <v>74</v>
      </c>
      <c r="R480" t="s">
        <v>74</v>
      </c>
      <c r="S480" t="s">
        <v>74</v>
      </c>
      <c r="T480" t="s">
        <v>9747</v>
      </c>
      <c r="U480" t="s">
        <v>74</v>
      </c>
      <c r="V480" t="s">
        <v>9748</v>
      </c>
      <c r="W480" t="s">
        <v>9749</v>
      </c>
      <c r="X480" t="s">
        <v>9750</v>
      </c>
      <c r="Y480" t="s">
        <v>9751</v>
      </c>
      <c r="Z480" t="s">
        <v>9752</v>
      </c>
      <c r="AA480" t="s">
        <v>9753</v>
      </c>
      <c r="AB480" t="s">
        <v>9754</v>
      </c>
      <c r="AC480" t="s">
        <v>9755</v>
      </c>
      <c r="AD480" t="s">
        <v>9756</v>
      </c>
      <c r="AE480" t="s">
        <v>9757</v>
      </c>
      <c r="AF480" t="s">
        <v>74</v>
      </c>
      <c r="AG480">
        <v>46</v>
      </c>
      <c r="AH480">
        <v>7</v>
      </c>
      <c r="AI480">
        <v>7</v>
      </c>
      <c r="AJ480">
        <v>3</v>
      </c>
      <c r="AK480">
        <v>20</v>
      </c>
      <c r="AL480" t="s">
        <v>501</v>
      </c>
      <c r="AM480" t="s">
        <v>502</v>
      </c>
      <c r="AN480" t="s">
        <v>503</v>
      </c>
      <c r="AO480" t="s">
        <v>9758</v>
      </c>
      <c r="AP480" t="s">
        <v>9759</v>
      </c>
      <c r="AQ480" t="s">
        <v>74</v>
      </c>
      <c r="AR480" t="s">
        <v>9760</v>
      </c>
      <c r="AS480" t="s">
        <v>9761</v>
      </c>
      <c r="AT480" t="s">
        <v>3605</v>
      </c>
      <c r="AU480">
        <v>2022</v>
      </c>
      <c r="AV480">
        <v>232</v>
      </c>
      <c r="AW480" t="s">
        <v>74</v>
      </c>
      <c r="AX480" t="s">
        <v>74</v>
      </c>
      <c r="AY480" t="s">
        <v>74</v>
      </c>
      <c r="AZ480" t="s">
        <v>74</v>
      </c>
      <c r="BA480" t="s">
        <v>74</v>
      </c>
      <c r="BB480" t="s">
        <v>74</v>
      </c>
      <c r="BC480" t="s">
        <v>74</v>
      </c>
      <c r="BD480">
        <v>104142</v>
      </c>
      <c r="BE480" t="s">
        <v>9762</v>
      </c>
      <c r="BF480" t="str">
        <f>HYPERLINK("http://dx.doi.org/10.1016/j.earscirev.2022.104142","http://dx.doi.org/10.1016/j.earscirev.2022.104142")</f>
        <v>http://dx.doi.org/10.1016/j.earscirev.2022.104142</v>
      </c>
      <c r="BG480" t="s">
        <v>74</v>
      </c>
      <c r="BH480" t="s">
        <v>7628</v>
      </c>
      <c r="BI480">
        <v>8</v>
      </c>
      <c r="BJ480" t="s">
        <v>129</v>
      </c>
      <c r="BK480" t="s">
        <v>100</v>
      </c>
      <c r="BL480" t="s">
        <v>130</v>
      </c>
      <c r="BM480" t="s">
        <v>9763</v>
      </c>
      <c r="BN480" t="s">
        <v>74</v>
      </c>
      <c r="BO480" t="s">
        <v>74</v>
      </c>
      <c r="BP480" t="s">
        <v>74</v>
      </c>
      <c r="BQ480" t="s">
        <v>74</v>
      </c>
      <c r="BR480" t="s">
        <v>103</v>
      </c>
      <c r="BS480" t="s">
        <v>9764</v>
      </c>
      <c r="BT480" t="str">
        <f>HYPERLINK("https%3A%2F%2Fwww.webofscience.com%2Fwos%2Fwoscc%2Ffull-record%2FWOS:000868193600002","View Full Record in Web of Science")</f>
        <v>View Full Record in Web of Science</v>
      </c>
    </row>
    <row r="481" spans="1:72" x14ac:dyDescent="0.15">
      <c r="A481" t="s">
        <v>72</v>
      </c>
      <c r="B481" t="s">
        <v>9765</v>
      </c>
      <c r="C481" t="s">
        <v>74</v>
      </c>
      <c r="D481" t="s">
        <v>74</v>
      </c>
      <c r="E481" t="s">
        <v>74</v>
      </c>
      <c r="F481" t="s">
        <v>9766</v>
      </c>
      <c r="G481" t="s">
        <v>74</v>
      </c>
      <c r="H481" t="s">
        <v>74</v>
      </c>
      <c r="I481" t="s">
        <v>9767</v>
      </c>
      <c r="J481" t="s">
        <v>9768</v>
      </c>
      <c r="K481" t="s">
        <v>74</v>
      </c>
      <c r="L481" t="s">
        <v>74</v>
      </c>
      <c r="M481" t="s">
        <v>78</v>
      </c>
      <c r="N481" t="s">
        <v>79</v>
      </c>
      <c r="O481" t="s">
        <v>74</v>
      </c>
      <c r="P481" t="s">
        <v>74</v>
      </c>
      <c r="Q481" t="s">
        <v>74</v>
      </c>
      <c r="R481" t="s">
        <v>74</v>
      </c>
      <c r="S481" t="s">
        <v>74</v>
      </c>
      <c r="T481" t="s">
        <v>9769</v>
      </c>
      <c r="U481" t="s">
        <v>9770</v>
      </c>
      <c r="V481" t="s">
        <v>9771</v>
      </c>
      <c r="W481" t="s">
        <v>9772</v>
      </c>
      <c r="X481" t="s">
        <v>9773</v>
      </c>
      <c r="Y481" t="s">
        <v>9774</v>
      </c>
      <c r="Z481" t="s">
        <v>9775</v>
      </c>
      <c r="AA481" t="s">
        <v>74</v>
      </c>
      <c r="AB481" t="s">
        <v>74</v>
      </c>
      <c r="AC481" t="s">
        <v>9776</v>
      </c>
      <c r="AD481" t="s">
        <v>9777</v>
      </c>
      <c r="AE481" t="s">
        <v>9778</v>
      </c>
      <c r="AF481" t="s">
        <v>74</v>
      </c>
      <c r="AG481">
        <v>78</v>
      </c>
      <c r="AH481">
        <v>0</v>
      </c>
      <c r="AI481">
        <v>0</v>
      </c>
      <c r="AJ481">
        <v>0</v>
      </c>
      <c r="AK481">
        <v>2</v>
      </c>
      <c r="AL481" t="s">
        <v>501</v>
      </c>
      <c r="AM481" t="s">
        <v>502</v>
      </c>
      <c r="AN481" t="s">
        <v>503</v>
      </c>
      <c r="AO481" t="s">
        <v>9779</v>
      </c>
      <c r="AP481" t="s">
        <v>9780</v>
      </c>
      <c r="AQ481" t="s">
        <v>74</v>
      </c>
      <c r="AR481" t="s">
        <v>9781</v>
      </c>
      <c r="AS481" t="s">
        <v>9782</v>
      </c>
      <c r="AT481" t="s">
        <v>428</v>
      </c>
      <c r="AU481">
        <v>2022</v>
      </c>
      <c r="AV481">
        <v>241</v>
      </c>
      <c r="AW481" t="s">
        <v>74</v>
      </c>
      <c r="AX481" t="s">
        <v>74</v>
      </c>
      <c r="AY481" t="s">
        <v>74</v>
      </c>
      <c r="AZ481" t="s">
        <v>74</v>
      </c>
      <c r="BA481" t="s">
        <v>74</v>
      </c>
      <c r="BB481" t="s">
        <v>74</v>
      </c>
      <c r="BC481" t="s">
        <v>74</v>
      </c>
      <c r="BD481">
        <v>107053</v>
      </c>
      <c r="BE481" t="s">
        <v>9783</v>
      </c>
      <c r="BF481" t="str">
        <f>HYPERLINK("http://dx.doi.org/10.1016/j.gexplo.2022.107053","http://dx.doi.org/10.1016/j.gexplo.2022.107053")</f>
        <v>http://dx.doi.org/10.1016/j.gexplo.2022.107053</v>
      </c>
      <c r="BG481" t="s">
        <v>74</v>
      </c>
      <c r="BH481" t="s">
        <v>7628</v>
      </c>
      <c r="BI481">
        <v>16</v>
      </c>
      <c r="BJ481" t="s">
        <v>1379</v>
      </c>
      <c r="BK481" t="s">
        <v>100</v>
      </c>
      <c r="BL481" t="s">
        <v>1379</v>
      </c>
      <c r="BM481" t="s">
        <v>9784</v>
      </c>
      <c r="BN481" t="s">
        <v>74</v>
      </c>
      <c r="BO481" t="s">
        <v>74</v>
      </c>
      <c r="BP481" t="s">
        <v>74</v>
      </c>
      <c r="BQ481" t="s">
        <v>74</v>
      </c>
      <c r="BR481" t="s">
        <v>103</v>
      </c>
      <c r="BS481" t="s">
        <v>9785</v>
      </c>
      <c r="BT481" t="str">
        <f>HYPERLINK("https%3A%2F%2Fwww.webofscience.com%2Fwos%2Fwoscc%2Ffull-record%2FWOS:000863269300003","View Full Record in Web of Science")</f>
        <v>View Full Record in Web of Science</v>
      </c>
    </row>
    <row r="482" spans="1:72" x14ac:dyDescent="0.15">
      <c r="A482" t="s">
        <v>72</v>
      </c>
      <c r="B482" t="s">
        <v>9786</v>
      </c>
      <c r="C482" t="s">
        <v>74</v>
      </c>
      <c r="D482" t="s">
        <v>74</v>
      </c>
      <c r="E482" t="s">
        <v>74</v>
      </c>
      <c r="F482" t="s">
        <v>9787</v>
      </c>
      <c r="G482" t="s">
        <v>74</v>
      </c>
      <c r="H482" t="s">
        <v>74</v>
      </c>
      <c r="I482" t="s">
        <v>9788</v>
      </c>
      <c r="J482" t="s">
        <v>3356</v>
      </c>
      <c r="K482" t="s">
        <v>74</v>
      </c>
      <c r="L482" t="s">
        <v>74</v>
      </c>
      <c r="M482" t="s">
        <v>78</v>
      </c>
      <c r="N482" t="s">
        <v>79</v>
      </c>
      <c r="O482" t="s">
        <v>74</v>
      </c>
      <c r="P482" t="s">
        <v>74</v>
      </c>
      <c r="Q482" t="s">
        <v>74</v>
      </c>
      <c r="R482" t="s">
        <v>74</v>
      </c>
      <c r="S482" t="s">
        <v>74</v>
      </c>
      <c r="T482" t="s">
        <v>74</v>
      </c>
      <c r="U482" t="s">
        <v>9789</v>
      </c>
      <c r="V482" t="s">
        <v>9790</v>
      </c>
      <c r="W482" t="s">
        <v>9791</v>
      </c>
      <c r="X482" t="s">
        <v>9792</v>
      </c>
      <c r="Y482" t="s">
        <v>9793</v>
      </c>
      <c r="Z482" t="s">
        <v>9794</v>
      </c>
      <c r="AA482" t="s">
        <v>9795</v>
      </c>
      <c r="AB482" t="s">
        <v>9796</v>
      </c>
      <c r="AC482" t="s">
        <v>9797</v>
      </c>
      <c r="AD482" t="s">
        <v>9798</v>
      </c>
      <c r="AE482" t="s">
        <v>9799</v>
      </c>
      <c r="AF482" t="s">
        <v>74</v>
      </c>
      <c r="AG482">
        <v>76</v>
      </c>
      <c r="AH482">
        <v>12</v>
      </c>
      <c r="AI482">
        <v>12</v>
      </c>
      <c r="AJ482">
        <v>4</v>
      </c>
      <c r="AK482">
        <v>18</v>
      </c>
      <c r="AL482" t="s">
        <v>2460</v>
      </c>
      <c r="AM482" t="s">
        <v>2461</v>
      </c>
      <c r="AN482" t="s">
        <v>2462</v>
      </c>
      <c r="AO482" t="s">
        <v>3368</v>
      </c>
      <c r="AP482" t="s">
        <v>3369</v>
      </c>
      <c r="AQ482" t="s">
        <v>74</v>
      </c>
      <c r="AR482" t="s">
        <v>3370</v>
      </c>
      <c r="AS482" t="s">
        <v>3371</v>
      </c>
      <c r="AT482" t="s">
        <v>9800</v>
      </c>
      <c r="AU482">
        <v>2022</v>
      </c>
      <c r="AV482">
        <v>14</v>
      </c>
      <c r="AW482">
        <v>8</v>
      </c>
      <c r="AX482" t="s">
        <v>74</v>
      </c>
      <c r="AY482" t="s">
        <v>74</v>
      </c>
      <c r="AZ482" t="s">
        <v>74</v>
      </c>
      <c r="BA482" t="s">
        <v>74</v>
      </c>
      <c r="BB482">
        <v>3573</v>
      </c>
      <c r="BC482">
        <v>3598</v>
      </c>
      <c r="BD482" t="s">
        <v>74</v>
      </c>
      <c r="BE482" t="s">
        <v>9801</v>
      </c>
      <c r="BF482" t="str">
        <f>HYPERLINK("http://dx.doi.org/10.5194/essd-14-3573-2022","http://dx.doi.org/10.5194/essd-14-3573-2022")</f>
        <v>http://dx.doi.org/10.5194/essd-14-3573-2022</v>
      </c>
      <c r="BG482" t="s">
        <v>74</v>
      </c>
      <c r="BH482" t="s">
        <v>74</v>
      </c>
      <c r="BI482">
        <v>26</v>
      </c>
      <c r="BJ482" t="s">
        <v>3373</v>
      </c>
      <c r="BK482" t="s">
        <v>100</v>
      </c>
      <c r="BL482" t="s">
        <v>3374</v>
      </c>
      <c r="BM482" t="s">
        <v>9802</v>
      </c>
      <c r="BN482" t="s">
        <v>74</v>
      </c>
      <c r="BO482" t="s">
        <v>3262</v>
      </c>
      <c r="BP482" t="s">
        <v>74</v>
      </c>
      <c r="BQ482" t="s">
        <v>74</v>
      </c>
      <c r="BR482" t="s">
        <v>103</v>
      </c>
      <c r="BS482" t="s">
        <v>9803</v>
      </c>
      <c r="BT482" t="str">
        <f>HYPERLINK("https%3A%2F%2Fwww.webofscience.com%2Fwos%2Fwoscc%2Ffull-record%2FWOS:000838232200001","View Full Record in Web of Science")</f>
        <v>View Full Record in Web of Science</v>
      </c>
    </row>
    <row r="483" spans="1:72" x14ac:dyDescent="0.15">
      <c r="A483" t="s">
        <v>72</v>
      </c>
      <c r="B483" t="s">
        <v>9804</v>
      </c>
      <c r="C483" t="s">
        <v>74</v>
      </c>
      <c r="D483" t="s">
        <v>74</v>
      </c>
      <c r="E483" t="s">
        <v>74</v>
      </c>
      <c r="F483" t="s">
        <v>9805</v>
      </c>
      <c r="G483" t="s">
        <v>74</v>
      </c>
      <c r="H483" t="s">
        <v>74</v>
      </c>
      <c r="I483" t="s">
        <v>9806</v>
      </c>
      <c r="J483" t="s">
        <v>3380</v>
      </c>
      <c r="K483" t="s">
        <v>74</v>
      </c>
      <c r="L483" t="s">
        <v>74</v>
      </c>
      <c r="M483" t="s">
        <v>78</v>
      </c>
      <c r="N483" t="s">
        <v>79</v>
      </c>
      <c r="O483" t="s">
        <v>74</v>
      </c>
      <c r="P483" t="s">
        <v>74</v>
      </c>
      <c r="Q483" t="s">
        <v>74</v>
      </c>
      <c r="R483" t="s">
        <v>74</v>
      </c>
      <c r="S483" t="s">
        <v>74</v>
      </c>
      <c r="T483" t="s">
        <v>74</v>
      </c>
      <c r="U483" t="s">
        <v>9807</v>
      </c>
      <c r="V483" t="s">
        <v>9808</v>
      </c>
      <c r="W483" t="s">
        <v>9809</v>
      </c>
      <c r="X483" t="s">
        <v>9810</v>
      </c>
      <c r="Y483" t="s">
        <v>9811</v>
      </c>
      <c r="Z483" t="s">
        <v>9812</v>
      </c>
      <c r="AA483" t="s">
        <v>9813</v>
      </c>
      <c r="AB483" t="s">
        <v>9814</v>
      </c>
      <c r="AC483" t="s">
        <v>9815</v>
      </c>
      <c r="AD483" t="s">
        <v>9816</v>
      </c>
      <c r="AE483" t="s">
        <v>9817</v>
      </c>
      <c r="AF483" t="s">
        <v>74</v>
      </c>
      <c r="AG483">
        <v>68</v>
      </c>
      <c r="AH483">
        <v>38</v>
      </c>
      <c r="AI483">
        <v>42</v>
      </c>
      <c r="AJ483">
        <v>6</v>
      </c>
      <c r="AK483">
        <v>21</v>
      </c>
      <c r="AL483" t="s">
        <v>149</v>
      </c>
      <c r="AM483" t="s">
        <v>150</v>
      </c>
      <c r="AN483" t="s">
        <v>151</v>
      </c>
      <c r="AO483" t="s">
        <v>3390</v>
      </c>
      <c r="AP483" t="s">
        <v>3391</v>
      </c>
      <c r="AQ483" t="s">
        <v>74</v>
      </c>
      <c r="AR483" t="s">
        <v>3380</v>
      </c>
      <c r="AS483" t="s">
        <v>3392</v>
      </c>
      <c r="AT483" t="s">
        <v>2439</v>
      </c>
      <c r="AU483">
        <v>2022</v>
      </c>
      <c r="AV483">
        <v>609</v>
      </c>
      <c r="AW483">
        <v>7929</v>
      </c>
      <c r="AX483" t="s">
        <v>74</v>
      </c>
      <c r="AY483" t="s">
        <v>74</v>
      </c>
      <c r="AZ483" t="s">
        <v>74</v>
      </c>
      <c r="BA483" t="s">
        <v>74</v>
      </c>
      <c r="BB483">
        <v>948</v>
      </c>
      <c r="BC483" t="s">
        <v>2114</v>
      </c>
      <c r="BD483" t="s">
        <v>74</v>
      </c>
      <c r="BE483" t="s">
        <v>9818</v>
      </c>
      <c r="BF483" t="str">
        <f>HYPERLINK("http://dx.doi.org/10.1038/s41586-022-05037-w","http://dx.doi.org/10.1038/s41586-022-05037-w")</f>
        <v>http://dx.doi.org/10.1038/s41586-022-05037-w</v>
      </c>
      <c r="BG483" t="s">
        <v>74</v>
      </c>
      <c r="BH483" t="s">
        <v>7628</v>
      </c>
      <c r="BI483">
        <v>18</v>
      </c>
      <c r="BJ483" t="s">
        <v>156</v>
      </c>
      <c r="BK483" t="s">
        <v>100</v>
      </c>
      <c r="BL483" t="s">
        <v>157</v>
      </c>
      <c r="BM483" t="s">
        <v>9819</v>
      </c>
      <c r="BN483">
        <v>35948639</v>
      </c>
      <c r="BO483" t="s">
        <v>74</v>
      </c>
      <c r="BP483" t="s">
        <v>74</v>
      </c>
      <c r="BQ483" t="s">
        <v>74</v>
      </c>
      <c r="BR483" t="s">
        <v>103</v>
      </c>
      <c r="BS483" t="s">
        <v>9820</v>
      </c>
      <c r="BT483" t="str">
        <f>HYPERLINK("https%3A%2F%2Fwww.webofscience.com%2Fwos%2Fwoscc%2Ffull-record%2FWOS:000838585900003","View Full Record in Web of Science")</f>
        <v>View Full Record in Web of Science</v>
      </c>
    </row>
    <row r="484" spans="1:72" x14ac:dyDescent="0.15">
      <c r="A484" t="s">
        <v>72</v>
      </c>
      <c r="B484" t="s">
        <v>9821</v>
      </c>
      <c r="C484" t="s">
        <v>74</v>
      </c>
      <c r="D484" t="s">
        <v>74</v>
      </c>
      <c r="E484" t="s">
        <v>74</v>
      </c>
      <c r="F484" t="s">
        <v>9822</v>
      </c>
      <c r="G484" t="s">
        <v>74</v>
      </c>
      <c r="H484" t="s">
        <v>74</v>
      </c>
      <c r="I484" t="s">
        <v>9823</v>
      </c>
      <c r="J484" t="s">
        <v>4627</v>
      </c>
      <c r="K484" t="s">
        <v>74</v>
      </c>
      <c r="L484" t="s">
        <v>74</v>
      </c>
      <c r="M484" t="s">
        <v>78</v>
      </c>
      <c r="N484" t="s">
        <v>79</v>
      </c>
      <c r="O484" t="s">
        <v>74</v>
      </c>
      <c r="P484" t="s">
        <v>74</v>
      </c>
      <c r="Q484" t="s">
        <v>74</v>
      </c>
      <c r="R484" t="s">
        <v>74</v>
      </c>
      <c r="S484" t="s">
        <v>74</v>
      </c>
      <c r="T484" t="s">
        <v>74</v>
      </c>
      <c r="U484" t="s">
        <v>9824</v>
      </c>
      <c r="V484" t="s">
        <v>9825</v>
      </c>
      <c r="W484" t="s">
        <v>9826</v>
      </c>
      <c r="X484" t="s">
        <v>9827</v>
      </c>
      <c r="Y484" t="s">
        <v>9828</v>
      </c>
      <c r="Z484" t="s">
        <v>9829</v>
      </c>
      <c r="AA484" t="s">
        <v>9830</v>
      </c>
      <c r="AB484" t="s">
        <v>9831</v>
      </c>
      <c r="AC484" t="s">
        <v>9832</v>
      </c>
      <c r="AD484" t="s">
        <v>9833</v>
      </c>
      <c r="AE484" t="s">
        <v>9834</v>
      </c>
      <c r="AF484" t="s">
        <v>74</v>
      </c>
      <c r="AG484">
        <v>80</v>
      </c>
      <c r="AH484">
        <v>4</v>
      </c>
      <c r="AI484">
        <v>5</v>
      </c>
      <c r="AJ484">
        <v>2</v>
      </c>
      <c r="AK484">
        <v>9</v>
      </c>
      <c r="AL484" t="s">
        <v>2460</v>
      </c>
      <c r="AM484" t="s">
        <v>2461</v>
      </c>
      <c r="AN484" t="s">
        <v>2462</v>
      </c>
      <c r="AO484" t="s">
        <v>4638</v>
      </c>
      <c r="AP484" t="s">
        <v>4639</v>
      </c>
      <c r="AQ484" t="s">
        <v>74</v>
      </c>
      <c r="AR484" t="s">
        <v>4640</v>
      </c>
      <c r="AS484" t="s">
        <v>4641</v>
      </c>
      <c r="AT484" t="s">
        <v>9800</v>
      </c>
      <c r="AU484">
        <v>2022</v>
      </c>
      <c r="AV484">
        <v>18</v>
      </c>
      <c r="AW484">
        <v>8</v>
      </c>
      <c r="AX484" t="s">
        <v>74</v>
      </c>
      <c r="AY484" t="s">
        <v>74</v>
      </c>
      <c r="AZ484" t="s">
        <v>74</v>
      </c>
      <c r="BA484" t="s">
        <v>74</v>
      </c>
      <c r="BB484">
        <v>1815</v>
      </c>
      <c r="BC484">
        <v>1829</v>
      </c>
      <c r="BD484" t="s">
        <v>74</v>
      </c>
      <c r="BE484" t="s">
        <v>9835</v>
      </c>
      <c r="BF484" t="str">
        <f>HYPERLINK("http://dx.doi.org/10.5194/cp-18-1815-2022","http://dx.doi.org/10.5194/cp-18-1815-2022")</f>
        <v>http://dx.doi.org/10.5194/cp-18-1815-2022</v>
      </c>
      <c r="BG484" t="s">
        <v>74</v>
      </c>
      <c r="BH484" t="s">
        <v>74</v>
      </c>
      <c r="BI484">
        <v>15</v>
      </c>
      <c r="BJ484" t="s">
        <v>3373</v>
      </c>
      <c r="BK484" t="s">
        <v>100</v>
      </c>
      <c r="BL484" t="s">
        <v>3374</v>
      </c>
      <c r="BM484" t="s">
        <v>9836</v>
      </c>
      <c r="BN484" t="s">
        <v>74</v>
      </c>
      <c r="BO484" t="s">
        <v>4126</v>
      </c>
      <c r="BP484" t="s">
        <v>74</v>
      </c>
      <c r="BQ484" t="s">
        <v>74</v>
      </c>
      <c r="BR484" t="s">
        <v>103</v>
      </c>
      <c r="BS484" t="s">
        <v>9837</v>
      </c>
      <c r="BT484" t="str">
        <f>HYPERLINK("https%3A%2F%2Fwww.webofscience.com%2Fwos%2Fwoscc%2Ffull-record%2FWOS:000838021200001","View Full Record in Web of Science")</f>
        <v>View Full Record in Web of Science</v>
      </c>
    </row>
    <row r="485" spans="1:72" x14ac:dyDescent="0.15">
      <c r="A485" t="s">
        <v>72</v>
      </c>
      <c r="B485" t="s">
        <v>9838</v>
      </c>
      <c r="C485" t="s">
        <v>74</v>
      </c>
      <c r="D485" t="s">
        <v>74</v>
      </c>
      <c r="E485" t="s">
        <v>74</v>
      </c>
      <c r="F485" t="s">
        <v>9839</v>
      </c>
      <c r="G485" t="s">
        <v>74</v>
      </c>
      <c r="H485" t="s">
        <v>74</v>
      </c>
      <c r="I485" t="s">
        <v>9840</v>
      </c>
      <c r="J485" t="s">
        <v>4627</v>
      </c>
      <c r="K485" t="s">
        <v>74</v>
      </c>
      <c r="L485" t="s">
        <v>74</v>
      </c>
      <c r="M485" t="s">
        <v>78</v>
      </c>
      <c r="N485" t="s">
        <v>79</v>
      </c>
      <c r="O485" t="s">
        <v>74</v>
      </c>
      <c r="P485" t="s">
        <v>74</v>
      </c>
      <c r="Q485" t="s">
        <v>74</v>
      </c>
      <c r="R485" t="s">
        <v>74</v>
      </c>
      <c r="S485" t="s">
        <v>74</v>
      </c>
      <c r="T485" t="s">
        <v>74</v>
      </c>
      <c r="U485" t="s">
        <v>9841</v>
      </c>
      <c r="V485" t="s">
        <v>9842</v>
      </c>
      <c r="W485" t="s">
        <v>9843</v>
      </c>
      <c r="X485" t="s">
        <v>9844</v>
      </c>
      <c r="Y485" t="s">
        <v>9845</v>
      </c>
      <c r="Z485" t="s">
        <v>9846</v>
      </c>
      <c r="AA485" t="s">
        <v>9847</v>
      </c>
      <c r="AB485" t="s">
        <v>9848</v>
      </c>
      <c r="AC485" t="s">
        <v>9849</v>
      </c>
      <c r="AD485" t="s">
        <v>9850</v>
      </c>
      <c r="AE485" t="s">
        <v>9851</v>
      </c>
      <c r="AF485" t="s">
        <v>74</v>
      </c>
      <c r="AG485">
        <v>59</v>
      </c>
      <c r="AH485">
        <v>7</v>
      </c>
      <c r="AI485">
        <v>7</v>
      </c>
      <c r="AJ485">
        <v>2</v>
      </c>
      <c r="AK485">
        <v>11</v>
      </c>
      <c r="AL485" t="s">
        <v>2460</v>
      </c>
      <c r="AM485" t="s">
        <v>2461</v>
      </c>
      <c r="AN485" t="s">
        <v>2462</v>
      </c>
      <c r="AO485" t="s">
        <v>4638</v>
      </c>
      <c r="AP485" t="s">
        <v>4639</v>
      </c>
      <c r="AQ485" t="s">
        <v>74</v>
      </c>
      <c r="AR485" t="s">
        <v>4640</v>
      </c>
      <c r="AS485" t="s">
        <v>4641</v>
      </c>
      <c r="AT485" t="s">
        <v>9800</v>
      </c>
      <c r="AU485">
        <v>2022</v>
      </c>
      <c r="AV485">
        <v>18</v>
      </c>
      <c r="AW485">
        <v>8</v>
      </c>
      <c r="AX485" t="s">
        <v>74</v>
      </c>
      <c r="AY485" t="s">
        <v>74</v>
      </c>
      <c r="AZ485" t="s">
        <v>74</v>
      </c>
      <c r="BA485" t="s">
        <v>74</v>
      </c>
      <c r="BB485">
        <v>1831</v>
      </c>
      <c r="BC485">
        <v>1847</v>
      </c>
      <c r="BD485" t="s">
        <v>74</v>
      </c>
      <c r="BE485" t="s">
        <v>9852</v>
      </c>
      <c r="BF485" t="str">
        <f>HYPERLINK("http://dx.doi.org/10.5194/cp-18-1831-2022","http://dx.doi.org/10.5194/cp-18-1831-2022")</f>
        <v>http://dx.doi.org/10.5194/cp-18-1831-2022</v>
      </c>
      <c r="BG485" t="s">
        <v>74</v>
      </c>
      <c r="BH485" t="s">
        <v>74</v>
      </c>
      <c r="BI485">
        <v>17</v>
      </c>
      <c r="BJ485" t="s">
        <v>3373</v>
      </c>
      <c r="BK485" t="s">
        <v>100</v>
      </c>
      <c r="BL485" t="s">
        <v>3374</v>
      </c>
      <c r="BM485" t="s">
        <v>9853</v>
      </c>
      <c r="BN485" t="s">
        <v>74</v>
      </c>
      <c r="BO485" t="s">
        <v>9854</v>
      </c>
      <c r="BP485" t="s">
        <v>74</v>
      </c>
      <c r="BQ485" t="s">
        <v>74</v>
      </c>
      <c r="BR485" t="s">
        <v>103</v>
      </c>
      <c r="BS485" t="s">
        <v>9855</v>
      </c>
      <c r="BT485" t="str">
        <f>HYPERLINK("https%3A%2F%2Fwww.webofscience.com%2Fwos%2Fwoscc%2Ffull-record%2FWOS:000838025600001","View Full Record in Web of Science")</f>
        <v>View Full Record in Web of Science</v>
      </c>
    </row>
    <row r="486" spans="1:72" x14ac:dyDescent="0.15">
      <c r="A486" t="s">
        <v>72</v>
      </c>
      <c r="B486" t="s">
        <v>9856</v>
      </c>
      <c r="C486" t="s">
        <v>74</v>
      </c>
      <c r="D486" t="s">
        <v>74</v>
      </c>
      <c r="E486" t="s">
        <v>74</v>
      </c>
      <c r="F486" t="s">
        <v>9857</v>
      </c>
      <c r="G486" t="s">
        <v>74</v>
      </c>
      <c r="H486" t="s">
        <v>74</v>
      </c>
      <c r="I486" t="s">
        <v>9858</v>
      </c>
      <c r="J486" t="s">
        <v>8967</v>
      </c>
      <c r="K486" t="s">
        <v>74</v>
      </c>
      <c r="L486" t="s">
        <v>74</v>
      </c>
      <c r="M486" t="s">
        <v>78</v>
      </c>
      <c r="N486" t="s">
        <v>79</v>
      </c>
      <c r="O486" t="s">
        <v>74</v>
      </c>
      <c r="P486" t="s">
        <v>74</v>
      </c>
      <c r="Q486" t="s">
        <v>74</v>
      </c>
      <c r="R486" t="s">
        <v>74</v>
      </c>
      <c r="S486" t="s">
        <v>74</v>
      </c>
      <c r="T486" t="s">
        <v>9859</v>
      </c>
      <c r="U486" t="s">
        <v>9860</v>
      </c>
      <c r="V486" t="s">
        <v>9861</v>
      </c>
      <c r="W486" t="s">
        <v>9862</v>
      </c>
      <c r="X486" t="s">
        <v>9863</v>
      </c>
      <c r="Y486" t="s">
        <v>9864</v>
      </c>
      <c r="Z486" t="s">
        <v>9865</v>
      </c>
      <c r="AA486" t="s">
        <v>9866</v>
      </c>
      <c r="AB486" t="s">
        <v>9867</v>
      </c>
      <c r="AC486" t="s">
        <v>9868</v>
      </c>
      <c r="AD486" t="s">
        <v>5894</v>
      </c>
      <c r="AE486" t="s">
        <v>9869</v>
      </c>
      <c r="AF486" t="s">
        <v>74</v>
      </c>
      <c r="AG486">
        <v>15</v>
      </c>
      <c r="AH486">
        <v>4</v>
      </c>
      <c r="AI486">
        <v>4</v>
      </c>
      <c r="AJ486">
        <v>4</v>
      </c>
      <c r="AK486">
        <v>14</v>
      </c>
      <c r="AL486" t="s">
        <v>8978</v>
      </c>
      <c r="AM486" t="s">
        <v>207</v>
      </c>
      <c r="AN486" t="s">
        <v>8979</v>
      </c>
      <c r="AO486" t="s">
        <v>8980</v>
      </c>
      <c r="AP486" t="s">
        <v>8981</v>
      </c>
      <c r="AQ486" t="s">
        <v>74</v>
      </c>
      <c r="AR486" t="s">
        <v>8982</v>
      </c>
      <c r="AS486" t="s">
        <v>8983</v>
      </c>
      <c r="AT486" t="s">
        <v>9870</v>
      </c>
      <c r="AU486">
        <v>2022</v>
      </c>
      <c r="AV486">
        <v>119</v>
      </c>
      <c r="AW486">
        <v>32</v>
      </c>
      <c r="AX486" t="s">
        <v>74</v>
      </c>
      <c r="AY486" t="s">
        <v>74</v>
      </c>
      <c r="AZ486" t="s">
        <v>74</v>
      </c>
      <c r="BA486" t="s">
        <v>74</v>
      </c>
      <c r="BB486" t="s">
        <v>74</v>
      </c>
      <c r="BC486" t="s">
        <v>74</v>
      </c>
      <c r="BD486" t="s">
        <v>9871</v>
      </c>
      <c r="BE486" t="s">
        <v>9872</v>
      </c>
      <c r="BF486" t="str">
        <f>HYPERLINK("http://dx.doi.org/10.1073/pnas.2206345119","http://dx.doi.org/10.1073/pnas.2206345119")</f>
        <v>http://dx.doi.org/10.1073/pnas.2206345119</v>
      </c>
      <c r="BG486" t="s">
        <v>74</v>
      </c>
      <c r="BH486" t="s">
        <v>74</v>
      </c>
      <c r="BI486">
        <v>3</v>
      </c>
      <c r="BJ486" t="s">
        <v>156</v>
      </c>
      <c r="BK486" t="s">
        <v>100</v>
      </c>
      <c r="BL486" t="s">
        <v>157</v>
      </c>
      <c r="BM486" t="s">
        <v>9873</v>
      </c>
      <c r="BN486">
        <v>35914152</v>
      </c>
      <c r="BO486" t="s">
        <v>3952</v>
      </c>
      <c r="BP486" t="s">
        <v>74</v>
      </c>
      <c r="BQ486" t="s">
        <v>74</v>
      </c>
      <c r="BR486" t="s">
        <v>103</v>
      </c>
      <c r="BS486" t="s">
        <v>9874</v>
      </c>
      <c r="BT486" t="str">
        <f>HYPERLINK("https%3A%2F%2Fwww.webofscience.com%2Fwos%2Fwoscc%2Ffull-record%2FWOS:000931973700070","View Full Record in Web of Science")</f>
        <v>View Full Record in Web of Science</v>
      </c>
    </row>
    <row r="487" spans="1:72" x14ac:dyDescent="0.15">
      <c r="A487" t="s">
        <v>72</v>
      </c>
      <c r="B487" t="s">
        <v>9875</v>
      </c>
      <c r="C487" t="s">
        <v>74</v>
      </c>
      <c r="D487" t="s">
        <v>74</v>
      </c>
      <c r="E487" t="s">
        <v>74</v>
      </c>
      <c r="F487" t="s">
        <v>9876</v>
      </c>
      <c r="G487" t="s">
        <v>74</v>
      </c>
      <c r="H487" t="s">
        <v>74</v>
      </c>
      <c r="I487" t="s">
        <v>9877</v>
      </c>
      <c r="J487" t="s">
        <v>8074</v>
      </c>
      <c r="K487" t="s">
        <v>74</v>
      </c>
      <c r="L487" t="s">
        <v>74</v>
      </c>
      <c r="M487" t="s">
        <v>78</v>
      </c>
      <c r="N487" t="s">
        <v>79</v>
      </c>
      <c r="O487" t="s">
        <v>74</v>
      </c>
      <c r="P487" t="s">
        <v>74</v>
      </c>
      <c r="Q487" t="s">
        <v>74</v>
      </c>
      <c r="R487" t="s">
        <v>74</v>
      </c>
      <c r="S487" t="s">
        <v>74</v>
      </c>
      <c r="T487" t="s">
        <v>9878</v>
      </c>
      <c r="U487" t="s">
        <v>9879</v>
      </c>
      <c r="V487" t="s">
        <v>9880</v>
      </c>
      <c r="W487" t="s">
        <v>9881</v>
      </c>
      <c r="X487" t="s">
        <v>9882</v>
      </c>
      <c r="Y487" t="s">
        <v>9883</v>
      </c>
      <c r="Z487" t="s">
        <v>9884</v>
      </c>
      <c r="AA487" t="s">
        <v>9885</v>
      </c>
      <c r="AB487" t="s">
        <v>9886</v>
      </c>
      <c r="AC487" t="s">
        <v>9887</v>
      </c>
      <c r="AD487" t="s">
        <v>9888</v>
      </c>
      <c r="AE487" t="s">
        <v>9889</v>
      </c>
      <c r="AF487" t="s">
        <v>74</v>
      </c>
      <c r="AG487">
        <v>35</v>
      </c>
      <c r="AH487">
        <v>1</v>
      </c>
      <c r="AI487">
        <v>1</v>
      </c>
      <c r="AJ487">
        <v>0</v>
      </c>
      <c r="AK487">
        <v>5</v>
      </c>
      <c r="AL487" t="s">
        <v>4000</v>
      </c>
      <c r="AM487" t="s">
        <v>4001</v>
      </c>
      <c r="AN487" t="s">
        <v>4002</v>
      </c>
      <c r="AO487" t="s">
        <v>8087</v>
      </c>
      <c r="AP487" t="s">
        <v>8088</v>
      </c>
      <c r="AQ487" t="s">
        <v>74</v>
      </c>
      <c r="AR487" t="s">
        <v>8089</v>
      </c>
      <c r="AS487" t="s">
        <v>8090</v>
      </c>
      <c r="AT487" t="s">
        <v>2281</v>
      </c>
      <c r="AU487">
        <v>2022</v>
      </c>
      <c r="AV487">
        <v>214</v>
      </c>
      <c r="AW487" t="s">
        <v>74</v>
      </c>
      <c r="AX487">
        <v>3</v>
      </c>
      <c r="AY487" t="s">
        <v>74</v>
      </c>
      <c r="AZ487" t="s">
        <v>74</v>
      </c>
      <c r="BA487" t="s">
        <v>74</v>
      </c>
      <c r="BB487" t="s">
        <v>74</v>
      </c>
      <c r="BC487" t="s">
        <v>74</v>
      </c>
      <c r="BD487">
        <v>113998</v>
      </c>
      <c r="BE487" t="s">
        <v>9890</v>
      </c>
      <c r="BF487" t="str">
        <f>HYPERLINK("http://dx.doi.org/10.1016/j.envres.2022.113998","http://dx.doi.org/10.1016/j.envres.2022.113998")</f>
        <v>http://dx.doi.org/10.1016/j.envres.2022.113998</v>
      </c>
      <c r="BG487" t="s">
        <v>74</v>
      </c>
      <c r="BH487" t="s">
        <v>7628</v>
      </c>
      <c r="BI487">
        <v>9</v>
      </c>
      <c r="BJ487" t="s">
        <v>8092</v>
      </c>
      <c r="BK487" t="s">
        <v>100</v>
      </c>
      <c r="BL487" t="s">
        <v>8093</v>
      </c>
      <c r="BM487" t="s">
        <v>9891</v>
      </c>
      <c r="BN487">
        <v>35940229</v>
      </c>
      <c r="BO487" t="s">
        <v>74</v>
      </c>
      <c r="BP487" t="s">
        <v>74</v>
      </c>
      <c r="BQ487" t="s">
        <v>74</v>
      </c>
      <c r="BR487" t="s">
        <v>103</v>
      </c>
      <c r="BS487" t="s">
        <v>9892</v>
      </c>
      <c r="BT487" t="str">
        <f>HYPERLINK("https%3A%2F%2Fwww.webofscience.com%2Fwos%2Fwoscc%2Ffull-record%2FWOS:000861177300002","View Full Record in Web of Science")</f>
        <v>View Full Record in Web of Science</v>
      </c>
    </row>
    <row r="488" spans="1:72" x14ac:dyDescent="0.15">
      <c r="A488" t="s">
        <v>72</v>
      </c>
      <c r="B488" t="s">
        <v>9893</v>
      </c>
      <c r="C488" t="s">
        <v>74</v>
      </c>
      <c r="D488" t="s">
        <v>74</v>
      </c>
      <c r="E488" t="s">
        <v>74</v>
      </c>
      <c r="F488" t="s">
        <v>9894</v>
      </c>
      <c r="G488" t="s">
        <v>74</v>
      </c>
      <c r="H488" t="s">
        <v>74</v>
      </c>
      <c r="I488" t="s">
        <v>9895</v>
      </c>
      <c r="J488" t="s">
        <v>9896</v>
      </c>
      <c r="K488" t="s">
        <v>74</v>
      </c>
      <c r="L488" t="s">
        <v>74</v>
      </c>
      <c r="M488" t="s">
        <v>78</v>
      </c>
      <c r="N488" t="s">
        <v>79</v>
      </c>
      <c r="O488" t="s">
        <v>74</v>
      </c>
      <c r="P488" t="s">
        <v>74</v>
      </c>
      <c r="Q488" t="s">
        <v>74</v>
      </c>
      <c r="R488" t="s">
        <v>74</v>
      </c>
      <c r="S488" t="s">
        <v>74</v>
      </c>
      <c r="T488" t="s">
        <v>9897</v>
      </c>
      <c r="U488" t="s">
        <v>9898</v>
      </c>
      <c r="V488" t="s">
        <v>9899</v>
      </c>
      <c r="W488" t="s">
        <v>9900</v>
      </c>
      <c r="X488" t="s">
        <v>9901</v>
      </c>
      <c r="Y488" t="s">
        <v>9902</v>
      </c>
      <c r="Z488" t="s">
        <v>9903</v>
      </c>
      <c r="AA488" t="s">
        <v>9904</v>
      </c>
      <c r="AB488" t="s">
        <v>9905</v>
      </c>
      <c r="AC488" t="s">
        <v>9906</v>
      </c>
      <c r="AD488" t="s">
        <v>9907</v>
      </c>
      <c r="AE488" t="s">
        <v>9908</v>
      </c>
      <c r="AF488" t="s">
        <v>74</v>
      </c>
      <c r="AG488">
        <v>55</v>
      </c>
      <c r="AH488">
        <v>8</v>
      </c>
      <c r="AI488">
        <v>8</v>
      </c>
      <c r="AJ488">
        <v>3</v>
      </c>
      <c r="AK488">
        <v>20</v>
      </c>
      <c r="AL488" t="s">
        <v>6126</v>
      </c>
      <c r="AM488" t="s">
        <v>450</v>
      </c>
      <c r="AN488" t="s">
        <v>6127</v>
      </c>
      <c r="AO488" t="s">
        <v>9909</v>
      </c>
      <c r="AP488" t="s">
        <v>9910</v>
      </c>
      <c r="AQ488" t="s">
        <v>74</v>
      </c>
      <c r="AR488" t="s">
        <v>9911</v>
      </c>
      <c r="AS488" t="s">
        <v>9912</v>
      </c>
      <c r="AT488" t="s">
        <v>428</v>
      </c>
      <c r="AU488">
        <v>2022</v>
      </c>
      <c r="AV488">
        <v>280</v>
      </c>
      <c r="AW488" t="s">
        <v>74</v>
      </c>
      <c r="AX488" t="s">
        <v>74</v>
      </c>
      <c r="AY488" t="s">
        <v>74</v>
      </c>
      <c r="AZ488" t="s">
        <v>74</v>
      </c>
      <c r="BA488" t="s">
        <v>74</v>
      </c>
      <c r="BB488" t="s">
        <v>74</v>
      </c>
      <c r="BC488" t="s">
        <v>74</v>
      </c>
      <c r="BD488">
        <v>113202</v>
      </c>
      <c r="BE488" t="s">
        <v>9913</v>
      </c>
      <c r="BF488" t="str">
        <f>HYPERLINK("http://dx.doi.org/10.1016/j.rse.2022.113202","http://dx.doi.org/10.1016/j.rse.2022.113202")</f>
        <v>http://dx.doi.org/10.1016/j.rse.2022.113202</v>
      </c>
      <c r="BG488" t="s">
        <v>74</v>
      </c>
      <c r="BH488" t="s">
        <v>7628</v>
      </c>
      <c r="BI488">
        <v>21</v>
      </c>
      <c r="BJ488" t="s">
        <v>9914</v>
      </c>
      <c r="BK488" t="s">
        <v>100</v>
      </c>
      <c r="BL488" t="s">
        <v>9915</v>
      </c>
      <c r="BM488" t="s">
        <v>9916</v>
      </c>
      <c r="BN488" t="s">
        <v>74</v>
      </c>
      <c r="BO488" t="s">
        <v>3952</v>
      </c>
      <c r="BP488" t="s">
        <v>74</v>
      </c>
      <c r="BQ488" t="s">
        <v>74</v>
      </c>
      <c r="BR488" t="s">
        <v>103</v>
      </c>
      <c r="BS488" t="s">
        <v>9917</v>
      </c>
      <c r="BT488" t="str">
        <f>HYPERLINK("https%3A%2F%2Fwww.webofscience.com%2Fwos%2Fwoscc%2Ffull-record%2FWOS:000863996700002","View Full Record in Web of Science")</f>
        <v>View Full Record in Web of Science</v>
      </c>
    </row>
    <row r="489" spans="1:72" x14ac:dyDescent="0.15">
      <c r="A489" t="s">
        <v>72</v>
      </c>
      <c r="B489" t="s">
        <v>9918</v>
      </c>
      <c r="C489" t="s">
        <v>74</v>
      </c>
      <c r="D489" t="s">
        <v>74</v>
      </c>
      <c r="E489" t="s">
        <v>74</v>
      </c>
      <c r="F489" t="s">
        <v>9919</v>
      </c>
      <c r="G489" t="s">
        <v>74</v>
      </c>
      <c r="H489" t="s">
        <v>74</v>
      </c>
      <c r="I489" t="s">
        <v>9920</v>
      </c>
      <c r="J489" t="s">
        <v>108</v>
      </c>
      <c r="K489" t="s">
        <v>74</v>
      </c>
      <c r="L489" t="s">
        <v>74</v>
      </c>
      <c r="M489" t="s">
        <v>78</v>
      </c>
      <c r="N489" t="s">
        <v>79</v>
      </c>
      <c r="O489" t="s">
        <v>74</v>
      </c>
      <c r="P489" t="s">
        <v>74</v>
      </c>
      <c r="Q489" t="s">
        <v>74</v>
      </c>
      <c r="R489" t="s">
        <v>74</v>
      </c>
      <c r="S489" t="s">
        <v>74</v>
      </c>
      <c r="T489" t="s">
        <v>9921</v>
      </c>
      <c r="U489" t="s">
        <v>9922</v>
      </c>
      <c r="V489" t="s">
        <v>9923</v>
      </c>
      <c r="W489" t="s">
        <v>9924</v>
      </c>
      <c r="X489" t="s">
        <v>9925</v>
      </c>
      <c r="Y489" t="s">
        <v>9926</v>
      </c>
      <c r="Z489" t="s">
        <v>9927</v>
      </c>
      <c r="AA489" t="s">
        <v>9928</v>
      </c>
      <c r="AB489" t="s">
        <v>9929</v>
      </c>
      <c r="AC489" t="s">
        <v>9930</v>
      </c>
      <c r="AD489" t="s">
        <v>9931</v>
      </c>
      <c r="AE489" t="s">
        <v>9932</v>
      </c>
      <c r="AF489" t="s">
        <v>74</v>
      </c>
      <c r="AG489">
        <v>62</v>
      </c>
      <c r="AH489">
        <v>3</v>
      </c>
      <c r="AI489">
        <v>3</v>
      </c>
      <c r="AJ489">
        <v>2</v>
      </c>
      <c r="AK489">
        <v>7</v>
      </c>
      <c r="AL489" t="s">
        <v>121</v>
      </c>
      <c r="AM489" t="s">
        <v>122</v>
      </c>
      <c r="AN489" t="s">
        <v>123</v>
      </c>
      <c r="AO489" t="s">
        <v>74</v>
      </c>
      <c r="AP489" t="s">
        <v>124</v>
      </c>
      <c r="AQ489" t="s">
        <v>74</v>
      </c>
      <c r="AR489" t="s">
        <v>125</v>
      </c>
      <c r="AS489" t="s">
        <v>126</v>
      </c>
      <c r="AT489" t="s">
        <v>9870</v>
      </c>
      <c r="AU489">
        <v>2022</v>
      </c>
      <c r="AV489">
        <v>10</v>
      </c>
      <c r="AW489" t="s">
        <v>74</v>
      </c>
      <c r="AX489" t="s">
        <v>74</v>
      </c>
      <c r="AY489" t="s">
        <v>74</v>
      </c>
      <c r="AZ489" t="s">
        <v>74</v>
      </c>
      <c r="BA489" t="s">
        <v>74</v>
      </c>
      <c r="BB489" t="s">
        <v>74</v>
      </c>
      <c r="BC489" t="s">
        <v>74</v>
      </c>
      <c r="BD489">
        <v>864523</v>
      </c>
      <c r="BE489" t="s">
        <v>9933</v>
      </c>
      <c r="BF489" t="str">
        <f>HYPERLINK("http://dx.doi.org/10.3389/feart.2022.864523","http://dx.doi.org/10.3389/feart.2022.864523")</f>
        <v>http://dx.doi.org/10.3389/feart.2022.864523</v>
      </c>
      <c r="BG489" t="s">
        <v>74</v>
      </c>
      <c r="BH489" t="s">
        <v>74</v>
      </c>
      <c r="BI489">
        <v>19</v>
      </c>
      <c r="BJ489" t="s">
        <v>129</v>
      </c>
      <c r="BK489" t="s">
        <v>100</v>
      </c>
      <c r="BL489" t="s">
        <v>130</v>
      </c>
      <c r="BM489" t="s">
        <v>9934</v>
      </c>
      <c r="BN489" t="s">
        <v>74</v>
      </c>
      <c r="BO489" t="s">
        <v>132</v>
      </c>
      <c r="BP489" t="s">
        <v>74</v>
      </c>
      <c r="BQ489" t="s">
        <v>74</v>
      </c>
      <c r="BR489" t="s">
        <v>103</v>
      </c>
      <c r="BS489" t="s">
        <v>9935</v>
      </c>
      <c r="BT489" t="str">
        <f>HYPERLINK("https%3A%2F%2Fwww.webofscience.com%2Fwos%2Fwoscc%2Ffull-record%2FWOS:000843843800001","View Full Record in Web of Science")</f>
        <v>View Full Record in Web of Science</v>
      </c>
    </row>
    <row r="490" spans="1:72" x14ac:dyDescent="0.15">
      <c r="A490" t="s">
        <v>72</v>
      </c>
      <c r="B490" t="s">
        <v>9936</v>
      </c>
      <c r="C490" t="s">
        <v>74</v>
      </c>
      <c r="D490" t="s">
        <v>74</v>
      </c>
      <c r="E490" t="s">
        <v>74</v>
      </c>
      <c r="F490" t="s">
        <v>9937</v>
      </c>
      <c r="G490" t="s">
        <v>74</v>
      </c>
      <c r="H490" t="s">
        <v>74</v>
      </c>
      <c r="I490" t="s">
        <v>9938</v>
      </c>
      <c r="J490" t="s">
        <v>164</v>
      </c>
      <c r="K490" t="s">
        <v>74</v>
      </c>
      <c r="L490" t="s">
        <v>74</v>
      </c>
      <c r="M490" t="s">
        <v>78</v>
      </c>
      <c r="N490" t="s">
        <v>79</v>
      </c>
      <c r="O490" t="s">
        <v>74</v>
      </c>
      <c r="P490" t="s">
        <v>74</v>
      </c>
      <c r="Q490" t="s">
        <v>74</v>
      </c>
      <c r="R490" t="s">
        <v>74</v>
      </c>
      <c r="S490" t="s">
        <v>74</v>
      </c>
      <c r="T490" t="s">
        <v>9939</v>
      </c>
      <c r="U490" t="s">
        <v>9940</v>
      </c>
      <c r="V490" t="s">
        <v>9941</v>
      </c>
      <c r="W490" t="s">
        <v>9942</v>
      </c>
      <c r="X490" t="s">
        <v>74</v>
      </c>
      <c r="Y490" t="s">
        <v>9943</v>
      </c>
      <c r="Z490" t="s">
        <v>9944</v>
      </c>
      <c r="AA490" t="s">
        <v>74</v>
      </c>
      <c r="AB490" t="s">
        <v>74</v>
      </c>
      <c r="AC490" t="s">
        <v>9945</v>
      </c>
      <c r="AD490" t="s">
        <v>9946</v>
      </c>
      <c r="AE490" t="s">
        <v>9947</v>
      </c>
      <c r="AF490" t="s">
        <v>74</v>
      </c>
      <c r="AG490">
        <v>66</v>
      </c>
      <c r="AH490">
        <v>1</v>
      </c>
      <c r="AI490">
        <v>3</v>
      </c>
      <c r="AJ490">
        <v>3</v>
      </c>
      <c r="AK490">
        <v>14</v>
      </c>
      <c r="AL490" t="s">
        <v>178</v>
      </c>
      <c r="AM490" t="s">
        <v>179</v>
      </c>
      <c r="AN490" t="s">
        <v>180</v>
      </c>
      <c r="AO490" t="s">
        <v>181</v>
      </c>
      <c r="AP490" t="s">
        <v>182</v>
      </c>
      <c r="AQ490" t="s">
        <v>74</v>
      </c>
      <c r="AR490" t="s">
        <v>164</v>
      </c>
      <c r="AS490" t="s">
        <v>183</v>
      </c>
      <c r="AT490" t="s">
        <v>3605</v>
      </c>
      <c r="AU490">
        <v>2022</v>
      </c>
      <c r="AV490">
        <v>849</v>
      </c>
      <c r="AW490">
        <v>16</v>
      </c>
      <c r="AX490" t="s">
        <v>74</v>
      </c>
      <c r="AY490" t="s">
        <v>74</v>
      </c>
      <c r="AZ490" t="s">
        <v>74</v>
      </c>
      <c r="BA490" t="s">
        <v>74</v>
      </c>
      <c r="BB490">
        <v>3515</v>
      </c>
      <c r="BC490">
        <v>3529</v>
      </c>
      <c r="BD490" t="s">
        <v>74</v>
      </c>
      <c r="BE490" t="s">
        <v>9948</v>
      </c>
      <c r="BF490" t="str">
        <f>HYPERLINK("http://dx.doi.org/10.1007/s10750-022-04951-4","http://dx.doi.org/10.1007/s10750-022-04951-4")</f>
        <v>http://dx.doi.org/10.1007/s10750-022-04951-4</v>
      </c>
      <c r="BG490" t="s">
        <v>74</v>
      </c>
      <c r="BH490" t="s">
        <v>7628</v>
      </c>
      <c r="BI490">
        <v>15</v>
      </c>
      <c r="BJ490" t="s">
        <v>188</v>
      </c>
      <c r="BK490" t="s">
        <v>100</v>
      </c>
      <c r="BL490" t="s">
        <v>188</v>
      </c>
      <c r="BM490" t="s">
        <v>9949</v>
      </c>
      <c r="BN490" t="s">
        <v>74</v>
      </c>
      <c r="BO490" t="s">
        <v>74</v>
      </c>
      <c r="BP490" t="s">
        <v>74</v>
      </c>
      <c r="BQ490" t="s">
        <v>74</v>
      </c>
      <c r="BR490" t="s">
        <v>103</v>
      </c>
      <c r="BS490" t="s">
        <v>9950</v>
      </c>
      <c r="BT490" t="str">
        <f>HYPERLINK("https%3A%2F%2Fwww.webofscience.com%2Fwos%2Fwoscc%2Ffull-record%2FWOS:000837919300003","View Full Record in Web of Science")</f>
        <v>View Full Record in Web of Science</v>
      </c>
    </row>
    <row r="491" spans="1:72" x14ac:dyDescent="0.15">
      <c r="A491" t="s">
        <v>72</v>
      </c>
      <c r="B491" t="s">
        <v>9951</v>
      </c>
      <c r="C491" t="s">
        <v>74</v>
      </c>
      <c r="D491" t="s">
        <v>74</v>
      </c>
      <c r="E491" t="s">
        <v>74</v>
      </c>
      <c r="F491" t="s">
        <v>9952</v>
      </c>
      <c r="G491" t="s">
        <v>74</v>
      </c>
      <c r="H491" t="s">
        <v>74</v>
      </c>
      <c r="I491" t="s">
        <v>9953</v>
      </c>
      <c r="J491" t="s">
        <v>4627</v>
      </c>
      <c r="K491" t="s">
        <v>74</v>
      </c>
      <c r="L491" t="s">
        <v>74</v>
      </c>
      <c r="M491" t="s">
        <v>78</v>
      </c>
      <c r="N491" t="s">
        <v>79</v>
      </c>
      <c r="O491" t="s">
        <v>74</v>
      </c>
      <c r="P491" t="s">
        <v>74</v>
      </c>
      <c r="Q491" t="s">
        <v>74</v>
      </c>
      <c r="R491" t="s">
        <v>74</v>
      </c>
      <c r="S491" t="s">
        <v>74</v>
      </c>
      <c r="T491" t="s">
        <v>74</v>
      </c>
      <c r="U491" t="s">
        <v>9954</v>
      </c>
      <c r="V491" t="s">
        <v>9955</v>
      </c>
      <c r="W491" t="s">
        <v>9956</v>
      </c>
      <c r="X491" t="s">
        <v>9957</v>
      </c>
      <c r="Y491" t="s">
        <v>9958</v>
      </c>
      <c r="Z491" t="s">
        <v>9959</v>
      </c>
      <c r="AA491" t="s">
        <v>9960</v>
      </c>
      <c r="AB491" t="s">
        <v>9961</v>
      </c>
      <c r="AC491" t="s">
        <v>9962</v>
      </c>
      <c r="AD491" t="s">
        <v>9963</v>
      </c>
      <c r="AE491" t="s">
        <v>9964</v>
      </c>
      <c r="AF491" t="s">
        <v>74</v>
      </c>
      <c r="AG491">
        <v>126</v>
      </c>
      <c r="AH491">
        <v>6</v>
      </c>
      <c r="AI491">
        <v>7</v>
      </c>
      <c r="AJ491">
        <v>3</v>
      </c>
      <c r="AK491">
        <v>17</v>
      </c>
      <c r="AL491" t="s">
        <v>2460</v>
      </c>
      <c r="AM491" t="s">
        <v>2461</v>
      </c>
      <c r="AN491" t="s">
        <v>2462</v>
      </c>
      <c r="AO491" t="s">
        <v>4638</v>
      </c>
      <c r="AP491" t="s">
        <v>4639</v>
      </c>
      <c r="AQ491" t="s">
        <v>74</v>
      </c>
      <c r="AR491" t="s">
        <v>4640</v>
      </c>
      <c r="AS491" t="s">
        <v>4641</v>
      </c>
      <c r="AT491" t="s">
        <v>9870</v>
      </c>
      <c r="AU491">
        <v>2022</v>
      </c>
      <c r="AV491">
        <v>18</v>
      </c>
      <c r="AW491">
        <v>8</v>
      </c>
      <c r="AX491" t="s">
        <v>74</v>
      </c>
      <c r="AY491" t="s">
        <v>74</v>
      </c>
      <c r="AZ491" t="s">
        <v>74</v>
      </c>
      <c r="BA491" t="s">
        <v>74</v>
      </c>
      <c r="BB491">
        <v>1797</v>
      </c>
      <c r="BC491">
        <v>1813</v>
      </c>
      <c r="BD491" t="s">
        <v>74</v>
      </c>
      <c r="BE491" t="s">
        <v>9965</v>
      </c>
      <c r="BF491" t="str">
        <f>HYPERLINK("http://dx.doi.org/10.5194/cp-18-1797-2022","http://dx.doi.org/10.5194/cp-18-1797-2022")</f>
        <v>http://dx.doi.org/10.5194/cp-18-1797-2022</v>
      </c>
      <c r="BG491" t="s">
        <v>74</v>
      </c>
      <c r="BH491" t="s">
        <v>74</v>
      </c>
      <c r="BI491">
        <v>17</v>
      </c>
      <c r="BJ491" t="s">
        <v>3373</v>
      </c>
      <c r="BK491" t="s">
        <v>100</v>
      </c>
      <c r="BL491" t="s">
        <v>3374</v>
      </c>
      <c r="BM491" t="s">
        <v>9966</v>
      </c>
      <c r="BN491" t="s">
        <v>74</v>
      </c>
      <c r="BO491" t="s">
        <v>763</v>
      </c>
      <c r="BP491" t="s">
        <v>74</v>
      </c>
      <c r="BQ491" t="s">
        <v>74</v>
      </c>
      <c r="BR491" t="s">
        <v>103</v>
      </c>
      <c r="BS491" t="s">
        <v>9967</v>
      </c>
      <c r="BT491" t="str">
        <f>HYPERLINK("https%3A%2F%2Fwww.webofscience.com%2Fwos%2Fwoscc%2Ffull-record%2FWOS:000837728200001","View Full Record in Web of Science")</f>
        <v>View Full Record in Web of Science</v>
      </c>
    </row>
    <row r="492" spans="1:72" x14ac:dyDescent="0.15">
      <c r="A492" t="s">
        <v>72</v>
      </c>
      <c r="B492" t="s">
        <v>9968</v>
      </c>
      <c r="C492" t="s">
        <v>74</v>
      </c>
      <c r="D492" t="s">
        <v>74</v>
      </c>
      <c r="E492" t="s">
        <v>74</v>
      </c>
      <c r="F492" t="s">
        <v>9969</v>
      </c>
      <c r="G492" t="s">
        <v>74</v>
      </c>
      <c r="H492" t="s">
        <v>74</v>
      </c>
      <c r="I492" t="s">
        <v>9970</v>
      </c>
      <c r="J492" t="s">
        <v>9971</v>
      </c>
      <c r="K492" t="s">
        <v>74</v>
      </c>
      <c r="L492" t="s">
        <v>74</v>
      </c>
      <c r="M492" t="s">
        <v>78</v>
      </c>
      <c r="N492" t="s">
        <v>79</v>
      </c>
      <c r="O492" t="s">
        <v>74</v>
      </c>
      <c r="P492" t="s">
        <v>74</v>
      </c>
      <c r="Q492" t="s">
        <v>74</v>
      </c>
      <c r="R492" t="s">
        <v>74</v>
      </c>
      <c r="S492" t="s">
        <v>74</v>
      </c>
      <c r="T492" t="s">
        <v>9972</v>
      </c>
      <c r="U492" t="s">
        <v>9973</v>
      </c>
      <c r="V492" t="s">
        <v>9974</v>
      </c>
      <c r="W492" t="s">
        <v>9975</v>
      </c>
      <c r="X492" t="s">
        <v>9976</v>
      </c>
      <c r="Y492" t="s">
        <v>9977</v>
      </c>
      <c r="Z492" t="s">
        <v>9978</v>
      </c>
      <c r="AA492" t="s">
        <v>9979</v>
      </c>
      <c r="AB492" t="s">
        <v>9980</v>
      </c>
      <c r="AC492" t="s">
        <v>9981</v>
      </c>
      <c r="AD492" t="s">
        <v>9982</v>
      </c>
      <c r="AE492" t="s">
        <v>9983</v>
      </c>
      <c r="AF492" t="s">
        <v>74</v>
      </c>
      <c r="AG492">
        <v>41</v>
      </c>
      <c r="AH492">
        <v>4</v>
      </c>
      <c r="AI492">
        <v>4</v>
      </c>
      <c r="AJ492">
        <v>3</v>
      </c>
      <c r="AK492">
        <v>11</v>
      </c>
      <c r="AL492" t="s">
        <v>4000</v>
      </c>
      <c r="AM492" t="s">
        <v>4001</v>
      </c>
      <c r="AN492" t="s">
        <v>4002</v>
      </c>
      <c r="AO492" t="s">
        <v>9984</v>
      </c>
      <c r="AP492" t="s">
        <v>9985</v>
      </c>
      <c r="AQ492" t="s">
        <v>74</v>
      </c>
      <c r="AR492" t="s">
        <v>9986</v>
      </c>
      <c r="AS492" t="s">
        <v>9987</v>
      </c>
      <c r="AT492" t="s">
        <v>325</v>
      </c>
      <c r="AU492">
        <v>2022</v>
      </c>
      <c r="AV492">
        <v>114</v>
      </c>
      <c r="AW492" t="s">
        <v>74</v>
      </c>
      <c r="AX492" t="s">
        <v>74</v>
      </c>
      <c r="AY492" t="s">
        <v>74</v>
      </c>
      <c r="AZ492" t="s">
        <v>74</v>
      </c>
      <c r="BA492" t="s">
        <v>74</v>
      </c>
      <c r="BB492" t="s">
        <v>74</v>
      </c>
      <c r="BC492" t="s">
        <v>74</v>
      </c>
      <c r="BD492">
        <v>104813</v>
      </c>
      <c r="BE492" t="s">
        <v>9988</v>
      </c>
      <c r="BF492" t="str">
        <f>HYPERLINK("http://dx.doi.org/10.1016/j.jfca.2022.104813","http://dx.doi.org/10.1016/j.jfca.2022.104813")</f>
        <v>http://dx.doi.org/10.1016/j.jfca.2022.104813</v>
      </c>
      <c r="BG492" t="s">
        <v>74</v>
      </c>
      <c r="BH492" t="s">
        <v>7628</v>
      </c>
      <c r="BI492">
        <v>6</v>
      </c>
      <c r="BJ492" t="s">
        <v>9989</v>
      </c>
      <c r="BK492" t="s">
        <v>100</v>
      </c>
      <c r="BL492" t="s">
        <v>9990</v>
      </c>
      <c r="BM492" t="s">
        <v>9991</v>
      </c>
      <c r="BN492" t="s">
        <v>74</v>
      </c>
      <c r="BO492" t="s">
        <v>74</v>
      </c>
      <c r="BP492" t="s">
        <v>74</v>
      </c>
      <c r="BQ492" t="s">
        <v>74</v>
      </c>
      <c r="BR492" t="s">
        <v>103</v>
      </c>
      <c r="BS492" t="s">
        <v>9992</v>
      </c>
      <c r="BT492" t="str">
        <f>HYPERLINK("https%3A%2F%2Fwww.webofscience.com%2Fwos%2Fwoscc%2Ffull-record%2FWOS:000891788000001","View Full Record in Web of Science")</f>
        <v>View Full Record in Web of Science</v>
      </c>
    </row>
    <row r="493" spans="1:72" x14ac:dyDescent="0.15">
      <c r="A493" t="s">
        <v>72</v>
      </c>
      <c r="B493" t="s">
        <v>9993</v>
      </c>
      <c r="C493" t="s">
        <v>74</v>
      </c>
      <c r="D493" t="s">
        <v>74</v>
      </c>
      <c r="E493" t="s">
        <v>74</v>
      </c>
      <c r="F493" t="s">
        <v>9994</v>
      </c>
      <c r="G493" t="s">
        <v>74</v>
      </c>
      <c r="H493" t="s">
        <v>74</v>
      </c>
      <c r="I493" t="s">
        <v>9995</v>
      </c>
      <c r="J493" t="s">
        <v>8992</v>
      </c>
      <c r="K493" t="s">
        <v>74</v>
      </c>
      <c r="L493" t="s">
        <v>74</v>
      </c>
      <c r="M493" t="s">
        <v>78</v>
      </c>
      <c r="N493" t="s">
        <v>79</v>
      </c>
      <c r="O493" t="s">
        <v>74</v>
      </c>
      <c r="P493" t="s">
        <v>74</v>
      </c>
      <c r="Q493" t="s">
        <v>74</v>
      </c>
      <c r="R493" t="s">
        <v>74</v>
      </c>
      <c r="S493" t="s">
        <v>74</v>
      </c>
      <c r="T493" t="s">
        <v>9996</v>
      </c>
      <c r="U493" t="s">
        <v>9997</v>
      </c>
      <c r="V493" t="s">
        <v>9998</v>
      </c>
      <c r="W493" t="s">
        <v>9999</v>
      </c>
      <c r="X493" t="s">
        <v>10000</v>
      </c>
      <c r="Y493" t="s">
        <v>10001</v>
      </c>
      <c r="Z493" t="s">
        <v>10002</v>
      </c>
      <c r="AA493" t="s">
        <v>74</v>
      </c>
      <c r="AB493" t="s">
        <v>74</v>
      </c>
      <c r="AC493" t="s">
        <v>10003</v>
      </c>
      <c r="AD493" t="s">
        <v>10004</v>
      </c>
      <c r="AE493" t="s">
        <v>10005</v>
      </c>
      <c r="AF493" t="s">
        <v>74</v>
      </c>
      <c r="AG493">
        <v>87</v>
      </c>
      <c r="AH493">
        <v>2</v>
      </c>
      <c r="AI493">
        <v>2</v>
      </c>
      <c r="AJ493">
        <v>16</v>
      </c>
      <c r="AK493">
        <v>37</v>
      </c>
      <c r="AL493" t="s">
        <v>501</v>
      </c>
      <c r="AM493" t="s">
        <v>502</v>
      </c>
      <c r="AN493" t="s">
        <v>503</v>
      </c>
      <c r="AO493" t="s">
        <v>9002</v>
      </c>
      <c r="AP493" t="s">
        <v>9003</v>
      </c>
      <c r="AQ493" t="s">
        <v>74</v>
      </c>
      <c r="AR493" t="s">
        <v>9004</v>
      </c>
      <c r="AS493" t="s">
        <v>9005</v>
      </c>
      <c r="AT493" t="s">
        <v>3605</v>
      </c>
      <c r="AU493">
        <v>2022</v>
      </c>
      <c r="AV493">
        <v>216</v>
      </c>
      <c r="AW493" t="s">
        <v>74</v>
      </c>
      <c r="AX493" t="s">
        <v>74</v>
      </c>
      <c r="AY493" t="s">
        <v>74</v>
      </c>
      <c r="AZ493" t="s">
        <v>74</v>
      </c>
      <c r="BA493" t="s">
        <v>74</v>
      </c>
      <c r="BB493" t="s">
        <v>74</v>
      </c>
      <c r="BC493" t="s">
        <v>74</v>
      </c>
      <c r="BD493">
        <v>103892</v>
      </c>
      <c r="BE493" t="s">
        <v>10006</v>
      </c>
      <c r="BF493" t="str">
        <f>HYPERLINK("http://dx.doi.org/10.1016/j.gloplacha.2022.103892","http://dx.doi.org/10.1016/j.gloplacha.2022.103892")</f>
        <v>http://dx.doi.org/10.1016/j.gloplacha.2022.103892</v>
      </c>
      <c r="BG493" t="s">
        <v>74</v>
      </c>
      <c r="BH493" t="s">
        <v>7628</v>
      </c>
      <c r="BI493">
        <v>11</v>
      </c>
      <c r="BJ493" t="s">
        <v>354</v>
      </c>
      <c r="BK493" t="s">
        <v>100</v>
      </c>
      <c r="BL493" t="s">
        <v>241</v>
      </c>
      <c r="BM493" t="s">
        <v>10007</v>
      </c>
      <c r="BN493" t="s">
        <v>74</v>
      </c>
      <c r="BO493" t="s">
        <v>74</v>
      </c>
      <c r="BP493" t="s">
        <v>74</v>
      </c>
      <c r="BQ493" t="s">
        <v>74</v>
      </c>
      <c r="BR493" t="s">
        <v>103</v>
      </c>
      <c r="BS493" t="s">
        <v>10008</v>
      </c>
      <c r="BT493" t="str">
        <f>HYPERLINK("https%3A%2F%2Fwww.webofscience.com%2Fwos%2Fwoscc%2Ffull-record%2FWOS:000862931200002","View Full Record in Web of Science")</f>
        <v>View Full Record in Web of Science</v>
      </c>
    </row>
    <row r="494" spans="1:72" x14ac:dyDescent="0.15">
      <c r="A494" t="s">
        <v>72</v>
      </c>
      <c r="B494" t="s">
        <v>10009</v>
      </c>
      <c r="C494" t="s">
        <v>74</v>
      </c>
      <c r="D494" t="s">
        <v>74</v>
      </c>
      <c r="E494" t="s">
        <v>74</v>
      </c>
      <c r="F494" t="s">
        <v>10010</v>
      </c>
      <c r="G494" t="s">
        <v>74</v>
      </c>
      <c r="H494" t="s">
        <v>74</v>
      </c>
      <c r="I494" t="s">
        <v>10011</v>
      </c>
      <c r="J494" t="s">
        <v>5106</v>
      </c>
      <c r="K494" t="s">
        <v>74</v>
      </c>
      <c r="L494" t="s">
        <v>74</v>
      </c>
      <c r="M494" t="s">
        <v>78</v>
      </c>
      <c r="N494" t="s">
        <v>79</v>
      </c>
      <c r="O494" t="s">
        <v>74</v>
      </c>
      <c r="P494" t="s">
        <v>74</v>
      </c>
      <c r="Q494" t="s">
        <v>74</v>
      </c>
      <c r="R494" t="s">
        <v>74</v>
      </c>
      <c r="S494" t="s">
        <v>74</v>
      </c>
      <c r="T494" t="s">
        <v>10012</v>
      </c>
      <c r="U494" t="s">
        <v>10013</v>
      </c>
      <c r="V494" t="s">
        <v>10014</v>
      </c>
      <c r="W494" t="s">
        <v>10015</v>
      </c>
      <c r="X494" t="s">
        <v>10016</v>
      </c>
      <c r="Y494" t="s">
        <v>10017</v>
      </c>
      <c r="Z494" t="s">
        <v>10018</v>
      </c>
      <c r="AA494" t="s">
        <v>10019</v>
      </c>
      <c r="AB494" t="s">
        <v>10020</v>
      </c>
      <c r="AC494" t="s">
        <v>10021</v>
      </c>
      <c r="AD494" t="s">
        <v>10022</v>
      </c>
      <c r="AE494" t="s">
        <v>10023</v>
      </c>
      <c r="AF494" t="s">
        <v>74</v>
      </c>
      <c r="AG494">
        <v>43</v>
      </c>
      <c r="AH494">
        <v>2</v>
      </c>
      <c r="AI494">
        <v>2</v>
      </c>
      <c r="AJ494">
        <v>2</v>
      </c>
      <c r="AK494">
        <v>6</v>
      </c>
      <c r="AL494" t="s">
        <v>2275</v>
      </c>
      <c r="AM494" t="s">
        <v>90</v>
      </c>
      <c r="AN494" t="s">
        <v>2276</v>
      </c>
      <c r="AO494" t="s">
        <v>5119</v>
      </c>
      <c r="AP494" t="s">
        <v>5120</v>
      </c>
      <c r="AQ494" t="s">
        <v>74</v>
      </c>
      <c r="AR494" t="s">
        <v>5121</v>
      </c>
      <c r="AS494" t="s">
        <v>5122</v>
      </c>
      <c r="AT494" t="s">
        <v>428</v>
      </c>
      <c r="AU494">
        <v>2022</v>
      </c>
      <c r="AV494">
        <v>188</v>
      </c>
      <c r="AW494" t="s">
        <v>74</v>
      </c>
      <c r="AX494" t="s">
        <v>74</v>
      </c>
      <c r="AY494" t="s">
        <v>74</v>
      </c>
      <c r="AZ494" t="s">
        <v>74</v>
      </c>
      <c r="BA494" t="s">
        <v>74</v>
      </c>
      <c r="BB494" t="s">
        <v>74</v>
      </c>
      <c r="BC494" t="s">
        <v>74</v>
      </c>
      <c r="BD494">
        <v>103852</v>
      </c>
      <c r="BE494" t="s">
        <v>10024</v>
      </c>
      <c r="BF494" t="str">
        <f>HYPERLINK("http://dx.doi.org/10.1016/j.dsr.2022.103852","http://dx.doi.org/10.1016/j.dsr.2022.103852")</f>
        <v>http://dx.doi.org/10.1016/j.dsr.2022.103852</v>
      </c>
      <c r="BG494" t="s">
        <v>74</v>
      </c>
      <c r="BH494" t="s">
        <v>7628</v>
      </c>
      <c r="BI494">
        <v>12</v>
      </c>
      <c r="BJ494" t="s">
        <v>674</v>
      </c>
      <c r="BK494" t="s">
        <v>100</v>
      </c>
      <c r="BL494" t="s">
        <v>674</v>
      </c>
      <c r="BM494" t="s">
        <v>10025</v>
      </c>
      <c r="BN494" t="s">
        <v>74</v>
      </c>
      <c r="BO494" t="s">
        <v>102</v>
      </c>
      <c r="BP494" t="s">
        <v>74</v>
      </c>
      <c r="BQ494" t="s">
        <v>74</v>
      </c>
      <c r="BR494" t="s">
        <v>103</v>
      </c>
      <c r="BS494" t="s">
        <v>10026</v>
      </c>
      <c r="BT494" t="str">
        <f>HYPERLINK("https%3A%2F%2Fwww.webofscience.com%2Fwos%2Fwoscc%2Ffull-record%2FWOS:000861650000003","View Full Record in Web of Science")</f>
        <v>View Full Record in Web of Science</v>
      </c>
    </row>
    <row r="495" spans="1:72" x14ac:dyDescent="0.15">
      <c r="A495" t="s">
        <v>72</v>
      </c>
      <c r="B495" t="s">
        <v>10027</v>
      </c>
      <c r="C495" t="s">
        <v>74</v>
      </c>
      <c r="D495" t="s">
        <v>74</v>
      </c>
      <c r="E495" t="s">
        <v>74</v>
      </c>
      <c r="F495" t="s">
        <v>10028</v>
      </c>
      <c r="G495" t="s">
        <v>74</v>
      </c>
      <c r="H495" t="s">
        <v>74</v>
      </c>
      <c r="I495" t="s">
        <v>10029</v>
      </c>
      <c r="J495" t="s">
        <v>5106</v>
      </c>
      <c r="K495" t="s">
        <v>74</v>
      </c>
      <c r="L495" t="s">
        <v>74</v>
      </c>
      <c r="M495" t="s">
        <v>78</v>
      </c>
      <c r="N495" t="s">
        <v>79</v>
      </c>
      <c r="O495" t="s">
        <v>74</v>
      </c>
      <c r="P495" t="s">
        <v>74</v>
      </c>
      <c r="Q495" t="s">
        <v>74</v>
      </c>
      <c r="R495" t="s">
        <v>74</v>
      </c>
      <c r="S495" t="s">
        <v>74</v>
      </c>
      <c r="T495" t="s">
        <v>10030</v>
      </c>
      <c r="U495" t="s">
        <v>10031</v>
      </c>
      <c r="V495" t="s">
        <v>10032</v>
      </c>
      <c r="W495" t="s">
        <v>10033</v>
      </c>
      <c r="X495" t="s">
        <v>10034</v>
      </c>
      <c r="Y495" t="s">
        <v>10035</v>
      </c>
      <c r="Z495" t="s">
        <v>10036</v>
      </c>
      <c r="AA495" t="s">
        <v>74</v>
      </c>
      <c r="AB495" t="s">
        <v>10037</v>
      </c>
      <c r="AC495" t="s">
        <v>10038</v>
      </c>
      <c r="AD495" t="s">
        <v>10039</v>
      </c>
      <c r="AE495" t="s">
        <v>10040</v>
      </c>
      <c r="AF495" t="s">
        <v>74</v>
      </c>
      <c r="AG495">
        <v>90</v>
      </c>
      <c r="AH495">
        <v>1</v>
      </c>
      <c r="AI495">
        <v>1</v>
      </c>
      <c r="AJ495">
        <v>6</v>
      </c>
      <c r="AK495">
        <v>20</v>
      </c>
      <c r="AL495" t="s">
        <v>2275</v>
      </c>
      <c r="AM495" t="s">
        <v>90</v>
      </c>
      <c r="AN495" t="s">
        <v>2276</v>
      </c>
      <c r="AO495" t="s">
        <v>5119</v>
      </c>
      <c r="AP495" t="s">
        <v>5120</v>
      </c>
      <c r="AQ495" t="s">
        <v>74</v>
      </c>
      <c r="AR495" t="s">
        <v>5121</v>
      </c>
      <c r="AS495" t="s">
        <v>5122</v>
      </c>
      <c r="AT495" t="s">
        <v>428</v>
      </c>
      <c r="AU495">
        <v>2022</v>
      </c>
      <c r="AV495">
        <v>188</v>
      </c>
      <c r="AW495" t="s">
        <v>74</v>
      </c>
      <c r="AX495" t="s">
        <v>74</v>
      </c>
      <c r="AY495" t="s">
        <v>74</v>
      </c>
      <c r="AZ495" t="s">
        <v>74</v>
      </c>
      <c r="BA495" t="s">
        <v>74</v>
      </c>
      <c r="BB495" t="s">
        <v>74</v>
      </c>
      <c r="BC495" t="s">
        <v>74</v>
      </c>
      <c r="BD495">
        <v>103849</v>
      </c>
      <c r="BE495" t="s">
        <v>10041</v>
      </c>
      <c r="BF495" t="str">
        <f>HYPERLINK("http://dx.doi.org/10.1016/j.dsr.2022.103849","http://dx.doi.org/10.1016/j.dsr.2022.103849")</f>
        <v>http://dx.doi.org/10.1016/j.dsr.2022.103849</v>
      </c>
      <c r="BG495" t="s">
        <v>74</v>
      </c>
      <c r="BH495" t="s">
        <v>7628</v>
      </c>
      <c r="BI495">
        <v>16</v>
      </c>
      <c r="BJ495" t="s">
        <v>674</v>
      </c>
      <c r="BK495" t="s">
        <v>100</v>
      </c>
      <c r="BL495" t="s">
        <v>674</v>
      </c>
      <c r="BM495" t="s">
        <v>10025</v>
      </c>
      <c r="BN495" t="s">
        <v>74</v>
      </c>
      <c r="BO495" t="s">
        <v>2512</v>
      </c>
      <c r="BP495" t="s">
        <v>74</v>
      </c>
      <c r="BQ495" t="s">
        <v>74</v>
      </c>
      <c r="BR495" t="s">
        <v>103</v>
      </c>
      <c r="BS495" t="s">
        <v>10042</v>
      </c>
      <c r="BT495" t="str">
        <f>HYPERLINK("https%3A%2F%2Fwww.webofscience.com%2Fwos%2Fwoscc%2Ffull-record%2FWOS:000861650000002","View Full Record in Web of Science")</f>
        <v>View Full Record in Web of Science</v>
      </c>
    </row>
    <row r="496" spans="1:72" x14ac:dyDescent="0.15">
      <c r="A496" t="s">
        <v>72</v>
      </c>
      <c r="B496" t="s">
        <v>10043</v>
      </c>
      <c r="C496" t="s">
        <v>74</v>
      </c>
      <c r="D496" t="s">
        <v>74</v>
      </c>
      <c r="E496" t="s">
        <v>74</v>
      </c>
      <c r="F496" t="s">
        <v>10044</v>
      </c>
      <c r="G496" t="s">
        <v>74</v>
      </c>
      <c r="H496" t="s">
        <v>74</v>
      </c>
      <c r="I496" t="s">
        <v>10045</v>
      </c>
      <c r="J496" t="s">
        <v>2653</v>
      </c>
      <c r="K496" t="s">
        <v>74</v>
      </c>
      <c r="L496" t="s">
        <v>74</v>
      </c>
      <c r="M496" t="s">
        <v>78</v>
      </c>
      <c r="N496" t="s">
        <v>79</v>
      </c>
      <c r="O496" t="s">
        <v>74</v>
      </c>
      <c r="P496" t="s">
        <v>74</v>
      </c>
      <c r="Q496" t="s">
        <v>74</v>
      </c>
      <c r="R496" t="s">
        <v>74</v>
      </c>
      <c r="S496" t="s">
        <v>74</v>
      </c>
      <c r="T496" t="s">
        <v>10046</v>
      </c>
      <c r="U496" t="s">
        <v>10047</v>
      </c>
      <c r="V496" t="s">
        <v>10048</v>
      </c>
      <c r="W496" t="s">
        <v>10049</v>
      </c>
      <c r="X496" t="s">
        <v>10050</v>
      </c>
      <c r="Y496" t="s">
        <v>10051</v>
      </c>
      <c r="Z496" t="s">
        <v>10052</v>
      </c>
      <c r="AA496" t="s">
        <v>10053</v>
      </c>
      <c r="AB496" t="s">
        <v>10054</v>
      </c>
      <c r="AC496" t="s">
        <v>10055</v>
      </c>
      <c r="AD496" t="s">
        <v>10056</v>
      </c>
      <c r="AE496" t="s">
        <v>10057</v>
      </c>
      <c r="AF496" t="s">
        <v>74</v>
      </c>
      <c r="AG496">
        <v>150</v>
      </c>
      <c r="AH496">
        <v>2</v>
      </c>
      <c r="AI496">
        <v>2</v>
      </c>
      <c r="AJ496">
        <v>2</v>
      </c>
      <c r="AK496">
        <v>6</v>
      </c>
      <c r="AL496" t="s">
        <v>2275</v>
      </c>
      <c r="AM496" t="s">
        <v>90</v>
      </c>
      <c r="AN496" t="s">
        <v>2276</v>
      </c>
      <c r="AO496" t="s">
        <v>2666</v>
      </c>
      <c r="AP496" t="s">
        <v>2667</v>
      </c>
      <c r="AQ496" t="s">
        <v>74</v>
      </c>
      <c r="AR496" t="s">
        <v>2668</v>
      </c>
      <c r="AS496" t="s">
        <v>2669</v>
      </c>
      <c r="AT496" t="s">
        <v>4180</v>
      </c>
      <c r="AU496">
        <v>2022</v>
      </c>
      <c r="AV496">
        <v>292</v>
      </c>
      <c r="AW496" t="s">
        <v>74</v>
      </c>
      <c r="AX496" t="s">
        <v>74</v>
      </c>
      <c r="AY496" t="s">
        <v>74</v>
      </c>
      <c r="AZ496" t="s">
        <v>74</v>
      </c>
      <c r="BA496" t="s">
        <v>74</v>
      </c>
      <c r="BB496" t="s">
        <v>74</v>
      </c>
      <c r="BC496" t="s">
        <v>74</v>
      </c>
      <c r="BD496">
        <v>107657</v>
      </c>
      <c r="BE496" t="s">
        <v>10058</v>
      </c>
      <c r="BF496" t="str">
        <f>HYPERLINK("http://dx.doi.org/10.1016/j.quascirev.2022.107657","http://dx.doi.org/10.1016/j.quascirev.2022.107657")</f>
        <v>http://dx.doi.org/10.1016/j.quascirev.2022.107657</v>
      </c>
      <c r="BG496" t="s">
        <v>74</v>
      </c>
      <c r="BH496" t="s">
        <v>7628</v>
      </c>
      <c r="BI496">
        <v>22</v>
      </c>
      <c r="BJ496" t="s">
        <v>354</v>
      </c>
      <c r="BK496" t="s">
        <v>100</v>
      </c>
      <c r="BL496" t="s">
        <v>241</v>
      </c>
      <c r="BM496" t="s">
        <v>10059</v>
      </c>
      <c r="BN496" t="s">
        <v>74</v>
      </c>
      <c r="BO496" t="s">
        <v>831</v>
      </c>
      <c r="BP496" t="s">
        <v>74</v>
      </c>
      <c r="BQ496" t="s">
        <v>74</v>
      </c>
      <c r="BR496" t="s">
        <v>103</v>
      </c>
      <c r="BS496" t="s">
        <v>10060</v>
      </c>
      <c r="BT496" t="str">
        <f>HYPERLINK("https%3A%2F%2Fwww.webofscience.com%2Fwos%2Fwoscc%2Ffull-record%2FWOS:000860280100006","View Full Record in Web of Science")</f>
        <v>View Full Record in Web of Science</v>
      </c>
    </row>
    <row r="497" spans="1:72" x14ac:dyDescent="0.15">
      <c r="A497" t="s">
        <v>72</v>
      </c>
      <c r="B497" t="s">
        <v>10061</v>
      </c>
      <c r="C497" t="s">
        <v>74</v>
      </c>
      <c r="D497" t="s">
        <v>74</v>
      </c>
      <c r="E497" t="s">
        <v>74</v>
      </c>
      <c r="F497" t="s">
        <v>10062</v>
      </c>
      <c r="G497" t="s">
        <v>74</v>
      </c>
      <c r="H497" t="s">
        <v>74</v>
      </c>
      <c r="I497" t="s">
        <v>10063</v>
      </c>
      <c r="J497" t="s">
        <v>10064</v>
      </c>
      <c r="K497" t="s">
        <v>74</v>
      </c>
      <c r="L497" t="s">
        <v>74</v>
      </c>
      <c r="M497" t="s">
        <v>78</v>
      </c>
      <c r="N497" t="s">
        <v>79</v>
      </c>
      <c r="O497" t="s">
        <v>74</v>
      </c>
      <c r="P497" t="s">
        <v>74</v>
      </c>
      <c r="Q497" t="s">
        <v>74</v>
      </c>
      <c r="R497" t="s">
        <v>74</v>
      </c>
      <c r="S497" t="s">
        <v>74</v>
      </c>
      <c r="T497" t="s">
        <v>10065</v>
      </c>
      <c r="U497" t="s">
        <v>10066</v>
      </c>
      <c r="V497" t="s">
        <v>10067</v>
      </c>
      <c r="W497" t="s">
        <v>10068</v>
      </c>
      <c r="X497" t="s">
        <v>10069</v>
      </c>
      <c r="Y497" t="s">
        <v>10070</v>
      </c>
      <c r="Z497" t="s">
        <v>10071</v>
      </c>
      <c r="AA497" t="s">
        <v>10072</v>
      </c>
      <c r="AB497" t="s">
        <v>10073</v>
      </c>
      <c r="AC497" t="s">
        <v>10074</v>
      </c>
      <c r="AD497" t="s">
        <v>10075</v>
      </c>
      <c r="AE497" t="s">
        <v>10076</v>
      </c>
      <c r="AF497" t="s">
        <v>74</v>
      </c>
      <c r="AG497">
        <v>35</v>
      </c>
      <c r="AH497">
        <v>7</v>
      </c>
      <c r="AI497">
        <v>7</v>
      </c>
      <c r="AJ497">
        <v>5</v>
      </c>
      <c r="AK497">
        <v>14</v>
      </c>
      <c r="AL497" t="s">
        <v>2275</v>
      </c>
      <c r="AM497" t="s">
        <v>90</v>
      </c>
      <c r="AN497" t="s">
        <v>2276</v>
      </c>
      <c r="AO497" t="s">
        <v>10077</v>
      </c>
      <c r="AP497" t="s">
        <v>10078</v>
      </c>
      <c r="AQ497" t="s">
        <v>74</v>
      </c>
      <c r="AR497" t="s">
        <v>10079</v>
      </c>
      <c r="AS497" t="s">
        <v>10080</v>
      </c>
      <c r="AT497" t="s">
        <v>5933</v>
      </c>
      <c r="AU497">
        <v>2022</v>
      </c>
      <c r="AV497">
        <v>246</v>
      </c>
      <c r="AW497" t="s">
        <v>74</v>
      </c>
      <c r="AX497" t="s">
        <v>74</v>
      </c>
      <c r="AY497" t="s">
        <v>74</v>
      </c>
      <c r="AZ497" t="s">
        <v>74</v>
      </c>
      <c r="BA497" t="s">
        <v>74</v>
      </c>
      <c r="BB497" t="s">
        <v>74</v>
      </c>
      <c r="BC497" t="s">
        <v>74</v>
      </c>
      <c r="BD497">
        <v>104829</v>
      </c>
      <c r="BE497" t="s">
        <v>10081</v>
      </c>
      <c r="BF497" t="str">
        <f>HYPERLINK("http://dx.doi.org/10.1016/j.csr.2022.104829","http://dx.doi.org/10.1016/j.csr.2022.104829")</f>
        <v>http://dx.doi.org/10.1016/j.csr.2022.104829</v>
      </c>
      <c r="BG497" t="s">
        <v>74</v>
      </c>
      <c r="BH497" t="s">
        <v>7628</v>
      </c>
      <c r="BI497">
        <v>19</v>
      </c>
      <c r="BJ497" t="s">
        <v>674</v>
      </c>
      <c r="BK497" t="s">
        <v>100</v>
      </c>
      <c r="BL497" t="s">
        <v>674</v>
      </c>
      <c r="BM497" t="s">
        <v>10082</v>
      </c>
      <c r="BN497" t="s">
        <v>74</v>
      </c>
      <c r="BO497" t="s">
        <v>74</v>
      </c>
      <c r="BP497" t="s">
        <v>74</v>
      </c>
      <c r="BQ497" t="s">
        <v>74</v>
      </c>
      <c r="BR497" t="s">
        <v>103</v>
      </c>
      <c r="BS497" t="s">
        <v>10083</v>
      </c>
      <c r="BT497" t="str">
        <f>HYPERLINK("https%3A%2F%2Fwww.webofscience.com%2Fwos%2Fwoscc%2Ffull-record%2FWOS:000860684800001","View Full Record in Web of Science")</f>
        <v>View Full Record in Web of Science</v>
      </c>
    </row>
    <row r="498" spans="1:72" x14ac:dyDescent="0.15">
      <c r="A498" t="s">
        <v>72</v>
      </c>
      <c r="B498" t="s">
        <v>10084</v>
      </c>
      <c r="C498" t="s">
        <v>74</v>
      </c>
      <c r="D498" t="s">
        <v>74</v>
      </c>
      <c r="E498" t="s">
        <v>74</v>
      </c>
      <c r="F498" t="s">
        <v>10085</v>
      </c>
      <c r="G498" t="s">
        <v>74</v>
      </c>
      <c r="H498" t="s">
        <v>74</v>
      </c>
      <c r="I498" t="s">
        <v>10086</v>
      </c>
      <c r="J498" t="s">
        <v>10087</v>
      </c>
      <c r="K498" t="s">
        <v>74</v>
      </c>
      <c r="L498" t="s">
        <v>74</v>
      </c>
      <c r="M498" t="s">
        <v>78</v>
      </c>
      <c r="N498" t="s">
        <v>79</v>
      </c>
      <c r="O498" t="s">
        <v>74</v>
      </c>
      <c r="P498" t="s">
        <v>74</v>
      </c>
      <c r="Q498" t="s">
        <v>74</v>
      </c>
      <c r="R498" t="s">
        <v>74</v>
      </c>
      <c r="S498" t="s">
        <v>74</v>
      </c>
      <c r="T498" t="s">
        <v>10088</v>
      </c>
      <c r="U498" t="s">
        <v>10089</v>
      </c>
      <c r="V498" t="s">
        <v>10090</v>
      </c>
      <c r="W498" t="s">
        <v>10091</v>
      </c>
      <c r="X498" t="s">
        <v>10092</v>
      </c>
      <c r="Y498" t="s">
        <v>10093</v>
      </c>
      <c r="Z498" t="s">
        <v>10094</v>
      </c>
      <c r="AA498" t="s">
        <v>74</v>
      </c>
      <c r="AB498" t="s">
        <v>74</v>
      </c>
      <c r="AC498" t="s">
        <v>10095</v>
      </c>
      <c r="AD498" t="s">
        <v>10096</v>
      </c>
      <c r="AE498" t="s">
        <v>10097</v>
      </c>
      <c r="AF498" t="s">
        <v>74</v>
      </c>
      <c r="AG498">
        <v>51</v>
      </c>
      <c r="AH498">
        <v>0</v>
      </c>
      <c r="AI498">
        <v>0</v>
      </c>
      <c r="AJ498">
        <v>1</v>
      </c>
      <c r="AK498">
        <v>1</v>
      </c>
      <c r="AL498" t="s">
        <v>501</v>
      </c>
      <c r="AM498" t="s">
        <v>502</v>
      </c>
      <c r="AN498" t="s">
        <v>503</v>
      </c>
      <c r="AO498" t="s">
        <v>10098</v>
      </c>
      <c r="AP498" t="s">
        <v>10099</v>
      </c>
      <c r="AQ498" t="s">
        <v>74</v>
      </c>
      <c r="AR498" t="s">
        <v>10100</v>
      </c>
      <c r="AS498" t="s">
        <v>10101</v>
      </c>
      <c r="AT498" t="s">
        <v>3605</v>
      </c>
      <c r="AU498">
        <v>2022</v>
      </c>
      <c r="AV498">
        <v>187</v>
      </c>
      <c r="AW498" t="s">
        <v>74</v>
      </c>
      <c r="AX498" t="s">
        <v>74</v>
      </c>
      <c r="AY498" t="s">
        <v>74</v>
      </c>
      <c r="AZ498" t="s">
        <v>74</v>
      </c>
      <c r="BA498" t="s">
        <v>74</v>
      </c>
      <c r="BB498" t="s">
        <v>74</v>
      </c>
      <c r="BC498" t="s">
        <v>74</v>
      </c>
      <c r="BD498">
        <v>102256</v>
      </c>
      <c r="BE498" t="s">
        <v>10102</v>
      </c>
      <c r="BF498" t="str">
        <f>HYPERLINK("http://dx.doi.org/10.1016/j.seares.2022.102256","http://dx.doi.org/10.1016/j.seares.2022.102256")</f>
        <v>http://dx.doi.org/10.1016/j.seares.2022.102256</v>
      </c>
      <c r="BG498" t="s">
        <v>74</v>
      </c>
      <c r="BH498" t="s">
        <v>7628</v>
      </c>
      <c r="BI498">
        <v>11</v>
      </c>
      <c r="BJ498" t="s">
        <v>5083</v>
      </c>
      <c r="BK498" t="s">
        <v>100</v>
      </c>
      <c r="BL498" t="s">
        <v>5083</v>
      </c>
      <c r="BM498" t="s">
        <v>10103</v>
      </c>
      <c r="BN498" t="s">
        <v>74</v>
      </c>
      <c r="BO498" t="s">
        <v>266</v>
      </c>
      <c r="BP498" t="s">
        <v>74</v>
      </c>
      <c r="BQ498" t="s">
        <v>74</v>
      </c>
      <c r="BR498" t="s">
        <v>103</v>
      </c>
      <c r="BS498" t="s">
        <v>10104</v>
      </c>
      <c r="BT498" t="str">
        <f>HYPERLINK("https%3A%2F%2Fwww.webofscience.com%2Fwos%2Fwoscc%2Ffull-record%2FWOS:000848293500003","View Full Record in Web of Science")</f>
        <v>View Full Record in Web of Science</v>
      </c>
    </row>
    <row r="499" spans="1:72" x14ac:dyDescent="0.15">
      <c r="A499" t="s">
        <v>72</v>
      </c>
      <c r="B499" t="s">
        <v>10105</v>
      </c>
      <c r="C499" t="s">
        <v>74</v>
      </c>
      <c r="D499" t="s">
        <v>74</v>
      </c>
      <c r="E499" t="s">
        <v>74</v>
      </c>
      <c r="F499" t="s">
        <v>10106</v>
      </c>
      <c r="G499" t="s">
        <v>74</v>
      </c>
      <c r="H499" t="s">
        <v>74</v>
      </c>
      <c r="I499" t="s">
        <v>10107</v>
      </c>
      <c r="J499" t="s">
        <v>10108</v>
      </c>
      <c r="K499" t="s">
        <v>74</v>
      </c>
      <c r="L499" t="s">
        <v>74</v>
      </c>
      <c r="M499" t="s">
        <v>78</v>
      </c>
      <c r="N499" t="s">
        <v>79</v>
      </c>
      <c r="O499" t="s">
        <v>74</v>
      </c>
      <c r="P499" t="s">
        <v>74</v>
      </c>
      <c r="Q499" t="s">
        <v>74</v>
      </c>
      <c r="R499" t="s">
        <v>74</v>
      </c>
      <c r="S499" t="s">
        <v>74</v>
      </c>
      <c r="T499" t="s">
        <v>10109</v>
      </c>
      <c r="U499" t="s">
        <v>74</v>
      </c>
      <c r="V499" t="s">
        <v>10110</v>
      </c>
      <c r="W499" t="s">
        <v>10111</v>
      </c>
      <c r="X499" t="s">
        <v>10112</v>
      </c>
      <c r="Y499" t="s">
        <v>10113</v>
      </c>
      <c r="Z499" t="s">
        <v>10114</v>
      </c>
      <c r="AA499" t="s">
        <v>74</v>
      </c>
      <c r="AB499" t="s">
        <v>74</v>
      </c>
      <c r="AC499" t="s">
        <v>74</v>
      </c>
      <c r="AD499" t="s">
        <v>74</v>
      </c>
      <c r="AE499" t="s">
        <v>74</v>
      </c>
      <c r="AF499" t="s">
        <v>74</v>
      </c>
      <c r="AG499">
        <v>40</v>
      </c>
      <c r="AH499">
        <v>1</v>
      </c>
      <c r="AI499">
        <v>1</v>
      </c>
      <c r="AJ499">
        <v>0</v>
      </c>
      <c r="AK499">
        <v>0</v>
      </c>
      <c r="AL499" t="s">
        <v>10115</v>
      </c>
      <c r="AM499" t="s">
        <v>3828</v>
      </c>
      <c r="AN499" t="s">
        <v>10116</v>
      </c>
      <c r="AO499" t="s">
        <v>10117</v>
      </c>
      <c r="AP499" t="s">
        <v>10118</v>
      </c>
      <c r="AQ499" t="s">
        <v>74</v>
      </c>
      <c r="AR499" t="s">
        <v>10119</v>
      </c>
      <c r="AS499" t="s">
        <v>10120</v>
      </c>
      <c r="AT499" t="s">
        <v>10121</v>
      </c>
      <c r="AU499">
        <v>2022</v>
      </c>
      <c r="AV499">
        <v>44</v>
      </c>
      <c r="AW499">
        <v>4</v>
      </c>
      <c r="AX499" t="s">
        <v>74</v>
      </c>
      <c r="AY499" t="s">
        <v>74</v>
      </c>
      <c r="AZ499" t="s">
        <v>74</v>
      </c>
      <c r="BA499" t="s">
        <v>74</v>
      </c>
      <c r="BB499">
        <v>433</v>
      </c>
      <c r="BC499">
        <v>446</v>
      </c>
      <c r="BD499" t="s">
        <v>74</v>
      </c>
      <c r="BE499" t="s">
        <v>10122</v>
      </c>
      <c r="BF499" t="str">
        <f>HYPERLINK("http://dx.doi.org/10.1080/08905495.2022.2106718","http://dx.doi.org/10.1080/08905495.2022.2106718")</f>
        <v>http://dx.doi.org/10.1080/08905495.2022.2106718</v>
      </c>
      <c r="BG499" t="s">
        <v>74</v>
      </c>
      <c r="BH499" t="s">
        <v>7628</v>
      </c>
      <c r="BI499">
        <v>14</v>
      </c>
      <c r="BJ499" t="s">
        <v>10123</v>
      </c>
      <c r="BK499" t="s">
        <v>10124</v>
      </c>
      <c r="BL499" t="s">
        <v>10125</v>
      </c>
      <c r="BM499" t="s">
        <v>10126</v>
      </c>
      <c r="BN499" t="s">
        <v>74</v>
      </c>
      <c r="BO499" t="s">
        <v>74</v>
      </c>
      <c r="BP499" t="s">
        <v>74</v>
      </c>
      <c r="BQ499" t="s">
        <v>74</v>
      </c>
      <c r="BR499" t="s">
        <v>103</v>
      </c>
      <c r="BS499" t="s">
        <v>10127</v>
      </c>
      <c r="BT499" t="str">
        <f>HYPERLINK("https%3A%2F%2Fwww.webofscience.com%2Fwos%2Fwoscc%2Ffull-record%2FWOS:000842551600001","View Full Record in Web of Science")</f>
        <v>View Full Record in Web of Science</v>
      </c>
    </row>
    <row r="500" spans="1:72" x14ac:dyDescent="0.15">
      <c r="A500" t="s">
        <v>72</v>
      </c>
      <c r="B500" t="s">
        <v>10128</v>
      </c>
      <c r="C500" t="s">
        <v>74</v>
      </c>
      <c r="D500" t="s">
        <v>74</v>
      </c>
      <c r="E500" t="s">
        <v>74</v>
      </c>
      <c r="F500" t="s">
        <v>10129</v>
      </c>
      <c r="G500" t="s">
        <v>74</v>
      </c>
      <c r="H500" t="s">
        <v>74</v>
      </c>
      <c r="I500" t="s">
        <v>10130</v>
      </c>
      <c r="J500" t="s">
        <v>9746</v>
      </c>
      <c r="K500" t="s">
        <v>74</v>
      </c>
      <c r="L500" t="s">
        <v>74</v>
      </c>
      <c r="M500" t="s">
        <v>78</v>
      </c>
      <c r="N500" t="s">
        <v>79</v>
      </c>
      <c r="O500" t="s">
        <v>74</v>
      </c>
      <c r="P500" t="s">
        <v>74</v>
      </c>
      <c r="Q500" t="s">
        <v>74</v>
      </c>
      <c r="R500" t="s">
        <v>74</v>
      </c>
      <c r="S500" t="s">
        <v>74</v>
      </c>
      <c r="T500" t="s">
        <v>10131</v>
      </c>
      <c r="U500" t="s">
        <v>10132</v>
      </c>
      <c r="V500" t="s">
        <v>10133</v>
      </c>
      <c r="W500" t="s">
        <v>10134</v>
      </c>
      <c r="X500" t="s">
        <v>10135</v>
      </c>
      <c r="Y500" t="s">
        <v>10136</v>
      </c>
      <c r="Z500" t="s">
        <v>10137</v>
      </c>
      <c r="AA500" t="s">
        <v>74</v>
      </c>
      <c r="AB500" t="s">
        <v>10138</v>
      </c>
      <c r="AC500" t="s">
        <v>10139</v>
      </c>
      <c r="AD500" t="s">
        <v>10140</v>
      </c>
      <c r="AE500" t="s">
        <v>10141</v>
      </c>
      <c r="AF500" t="s">
        <v>74</v>
      </c>
      <c r="AG500">
        <v>154</v>
      </c>
      <c r="AH500">
        <v>5</v>
      </c>
      <c r="AI500">
        <v>5</v>
      </c>
      <c r="AJ500">
        <v>1</v>
      </c>
      <c r="AK500">
        <v>12</v>
      </c>
      <c r="AL500" t="s">
        <v>501</v>
      </c>
      <c r="AM500" t="s">
        <v>502</v>
      </c>
      <c r="AN500" t="s">
        <v>503</v>
      </c>
      <c r="AO500" t="s">
        <v>9758</v>
      </c>
      <c r="AP500" t="s">
        <v>9759</v>
      </c>
      <c r="AQ500" t="s">
        <v>74</v>
      </c>
      <c r="AR500" t="s">
        <v>9760</v>
      </c>
      <c r="AS500" t="s">
        <v>9761</v>
      </c>
      <c r="AT500" t="s">
        <v>3605</v>
      </c>
      <c r="AU500">
        <v>2022</v>
      </c>
      <c r="AV500">
        <v>232</v>
      </c>
      <c r="AW500" t="s">
        <v>74</v>
      </c>
      <c r="AX500" t="s">
        <v>74</v>
      </c>
      <c r="AY500" t="s">
        <v>74</v>
      </c>
      <c r="AZ500" t="s">
        <v>74</v>
      </c>
      <c r="BA500" t="s">
        <v>74</v>
      </c>
      <c r="BB500" t="s">
        <v>74</v>
      </c>
      <c r="BC500" t="s">
        <v>74</v>
      </c>
      <c r="BD500">
        <v>104143</v>
      </c>
      <c r="BE500" t="s">
        <v>10142</v>
      </c>
      <c r="BF500" t="str">
        <f>HYPERLINK("http://dx.doi.org/10.1016/j.earscirev.2022.104143","http://dx.doi.org/10.1016/j.earscirev.2022.104143")</f>
        <v>http://dx.doi.org/10.1016/j.earscirev.2022.104143</v>
      </c>
      <c r="BG500" t="s">
        <v>74</v>
      </c>
      <c r="BH500" t="s">
        <v>7628</v>
      </c>
      <c r="BI500">
        <v>17</v>
      </c>
      <c r="BJ500" t="s">
        <v>129</v>
      </c>
      <c r="BK500" t="s">
        <v>100</v>
      </c>
      <c r="BL500" t="s">
        <v>130</v>
      </c>
      <c r="BM500" t="s">
        <v>10143</v>
      </c>
      <c r="BN500" t="s">
        <v>74</v>
      </c>
      <c r="BO500" t="s">
        <v>3327</v>
      </c>
      <c r="BP500" t="s">
        <v>74</v>
      </c>
      <c r="BQ500" t="s">
        <v>74</v>
      </c>
      <c r="BR500" t="s">
        <v>103</v>
      </c>
      <c r="BS500" t="s">
        <v>10144</v>
      </c>
      <c r="BT500" t="str">
        <f>HYPERLINK("https%3A%2F%2Fwww.webofscience.com%2Fwos%2Fwoscc%2Ffull-record%2FWOS:000840983000001","View Full Record in Web of Science")</f>
        <v>View Full Record in Web of Science</v>
      </c>
    </row>
    <row r="501" spans="1:72" x14ac:dyDescent="0.15">
      <c r="A501" t="s">
        <v>72</v>
      </c>
      <c r="B501" t="s">
        <v>10145</v>
      </c>
      <c r="C501" t="s">
        <v>74</v>
      </c>
      <c r="D501" t="s">
        <v>74</v>
      </c>
      <c r="E501" t="s">
        <v>74</v>
      </c>
      <c r="F501" t="s">
        <v>10146</v>
      </c>
      <c r="G501" t="s">
        <v>74</v>
      </c>
      <c r="H501" t="s">
        <v>74</v>
      </c>
      <c r="I501" t="s">
        <v>10147</v>
      </c>
      <c r="J501" t="s">
        <v>10148</v>
      </c>
      <c r="K501" t="s">
        <v>74</v>
      </c>
      <c r="L501" t="s">
        <v>74</v>
      </c>
      <c r="M501" t="s">
        <v>78</v>
      </c>
      <c r="N501" t="s">
        <v>79</v>
      </c>
      <c r="O501" t="s">
        <v>74</v>
      </c>
      <c r="P501" t="s">
        <v>74</v>
      </c>
      <c r="Q501" t="s">
        <v>74</v>
      </c>
      <c r="R501" t="s">
        <v>74</v>
      </c>
      <c r="S501" t="s">
        <v>74</v>
      </c>
      <c r="T501" t="s">
        <v>74</v>
      </c>
      <c r="U501" t="s">
        <v>10149</v>
      </c>
      <c r="V501" t="s">
        <v>10150</v>
      </c>
      <c r="W501" t="s">
        <v>10151</v>
      </c>
      <c r="X501" t="s">
        <v>10152</v>
      </c>
      <c r="Y501" t="s">
        <v>10153</v>
      </c>
      <c r="Z501" t="s">
        <v>10154</v>
      </c>
      <c r="AA501" t="s">
        <v>10155</v>
      </c>
      <c r="AB501" t="s">
        <v>10156</v>
      </c>
      <c r="AC501" t="s">
        <v>74</v>
      </c>
      <c r="AD501" t="s">
        <v>74</v>
      </c>
      <c r="AE501" t="s">
        <v>74</v>
      </c>
      <c r="AF501" t="s">
        <v>74</v>
      </c>
      <c r="AG501">
        <v>42</v>
      </c>
      <c r="AH501">
        <v>2</v>
      </c>
      <c r="AI501">
        <v>2</v>
      </c>
      <c r="AJ501">
        <v>0</v>
      </c>
      <c r="AK501">
        <v>2</v>
      </c>
      <c r="AL501" t="s">
        <v>2460</v>
      </c>
      <c r="AM501" t="s">
        <v>2461</v>
      </c>
      <c r="AN501" t="s">
        <v>2462</v>
      </c>
      <c r="AO501" t="s">
        <v>10157</v>
      </c>
      <c r="AP501" t="s">
        <v>10158</v>
      </c>
      <c r="AQ501" t="s">
        <v>74</v>
      </c>
      <c r="AR501" t="s">
        <v>10159</v>
      </c>
      <c r="AS501" t="s">
        <v>10160</v>
      </c>
      <c r="AT501" t="s">
        <v>10121</v>
      </c>
      <c r="AU501">
        <v>2022</v>
      </c>
      <c r="AV501">
        <v>13</v>
      </c>
      <c r="AW501">
        <v>2</v>
      </c>
      <c r="AX501" t="s">
        <v>74</v>
      </c>
      <c r="AY501" t="s">
        <v>74</v>
      </c>
      <c r="AZ501" t="s">
        <v>74</v>
      </c>
      <c r="BA501" t="s">
        <v>74</v>
      </c>
      <c r="BB501">
        <v>133</v>
      </c>
      <c r="BC501">
        <v>146</v>
      </c>
      <c r="BD501" t="s">
        <v>74</v>
      </c>
      <c r="BE501" t="s">
        <v>10161</v>
      </c>
      <c r="BF501" t="str">
        <f>HYPERLINK("http://dx.doi.org/10.5194/hgss-13-133-2022","http://dx.doi.org/10.5194/hgss-13-133-2022")</f>
        <v>http://dx.doi.org/10.5194/hgss-13-133-2022</v>
      </c>
      <c r="BG501" t="s">
        <v>74</v>
      </c>
      <c r="BH501" t="s">
        <v>74</v>
      </c>
      <c r="BI501">
        <v>14</v>
      </c>
      <c r="BJ501" t="s">
        <v>10162</v>
      </c>
      <c r="BK501" t="s">
        <v>2332</v>
      </c>
      <c r="BL501" t="s">
        <v>10163</v>
      </c>
      <c r="BM501" t="s">
        <v>10164</v>
      </c>
      <c r="BN501" t="s">
        <v>74</v>
      </c>
      <c r="BO501" t="s">
        <v>10165</v>
      </c>
      <c r="BP501" t="s">
        <v>74</v>
      </c>
      <c r="BQ501" t="s">
        <v>74</v>
      </c>
      <c r="BR501" t="s">
        <v>103</v>
      </c>
      <c r="BS501" t="s">
        <v>10166</v>
      </c>
      <c r="BT501" t="str">
        <f>HYPERLINK("https%3A%2F%2Fwww.webofscience.com%2Fwos%2Fwoscc%2Ffull-record%2FWOS:000837097800001","View Full Record in Web of Science")</f>
        <v>View Full Record in Web of Science</v>
      </c>
    </row>
    <row r="502" spans="1:72" x14ac:dyDescent="0.15">
      <c r="A502" t="s">
        <v>72</v>
      </c>
      <c r="B502" t="s">
        <v>10167</v>
      </c>
      <c r="C502" t="s">
        <v>74</v>
      </c>
      <c r="D502" t="s">
        <v>74</v>
      </c>
      <c r="E502" t="s">
        <v>74</v>
      </c>
      <c r="F502" t="s">
        <v>10168</v>
      </c>
      <c r="G502" t="s">
        <v>74</v>
      </c>
      <c r="H502" t="s">
        <v>74</v>
      </c>
      <c r="I502" t="s">
        <v>10169</v>
      </c>
      <c r="J502" t="s">
        <v>4445</v>
      </c>
      <c r="K502" t="s">
        <v>74</v>
      </c>
      <c r="L502" t="s">
        <v>74</v>
      </c>
      <c r="M502" t="s">
        <v>78</v>
      </c>
      <c r="N502" t="s">
        <v>79</v>
      </c>
      <c r="O502" t="s">
        <v>74</v>
      </c>
      <c r="P502" t="s">
        <v>74</v>
      </c>
      <c r="Q502" t="s">
        <v>74</v>
      </c>
      <c r="R502" t="s">
        <v>74</v>
      </c>
      <c r="S502" t="s">
        <v>74</v>
      </c>
      <c r="T502" t="s">
        <v>10170</v>
      </c>
      <c r="U502" t="s">
        <v>10171</v>
      </c>
      <c r="V502" t="s">
        <v>10172</v>
      </c>
      <c r="W502" t="s">
        <v>10173</v>
      </c>
      <c r="X502" t="s">
        <v>10174</v>
      </c>
      <c r="Y502" t="s">
        <v>10175</v>
      </c>
      <c r="Z502" t="s">
        <v>10176</v>
      </c>
      <c r="AA502" t="s">
        <v>10177</v>
      </c>
      <c r="AB502" t="s">
        <v>10178</v>
      </c>
      <c r="AC502" t="s">
        <v>10179</v>
      </c>
      <c r="AD502" t="s">
        <v>10179</v>
      </c>
      <c r="AE502" t="s">
        <v>10180</v>
      </c>
      <c r="AF502" t="s">
        <v>74</v>
      </c>
      <c r="AG502">
        <v>57</v>
      </c>
      <c r="AH502">
        <v>0</v>
      </c>
      <c r="AI502">
        <v>0</v>
      </c>
      <c r="AJ502">
        <v>0</v>
      </c>
      <c r="AK502">
        <v>4</v>
      </c>
      <c r="AL502" t="s">
        <v>2391</v>
      </c>
      <c r="AM502" t="s">
        <v>2392</v>
      </c>
      <c r="AN502" t="s">
        <v>2393</v>
      </c>
      <c r="AO502" t="s">
        <v>4457</v>
      </c>
      <c r="AP502" t="s">
        <v>4458</v>
      </c>
      <c r="AQ502" t="s">
        <v>74</v>
      </c>
      <c r="AR502" t="s">
        <v>4459</v>
      </c>
      <c r="AS502" t="s">
        <v>4460</v>
      </c>
      <c r="AT502" t="s">
        <v>2281</v>
      </c>
      <c r="AU502">
        <v>2022</v>
      </c>
      <c r="AV502">
        <v>192</v>
      </c>
      <c r="AW502">
        <v>6</v>
      </c>
      <c r="AX502" t="s">
        <v>74</v>
      </c>
      <c r="AY502" t="s">
        <v>74</v>
      </c>
      <c r="AZ502" t="s">
        <v>74</v>
      </c>
      <c r="BA502" t="s">
        <v>74</v>
      </c>
      <c r="BB502">
        <v>789</v>
      </c>
      <c r="BC502">
        <v>804</v>
      </c>
      <c r="BD502" t="s">
        <v>74</v>
      </c>
      <c r="BE502" t="s">
        <v>10181</v>
      </c>
      <c r="BF502" t="str">
        <f>HYPERLINK("http://dx.doi.org/10.1007/s00360-022-01453-6","http://dx.doi.org/10.1007/s00360-022-01453-6")</f>
        <v>http://dx.doi.org/10.1007/s00360-022-01453-6</v>
      </c>
      <c r="BG502" t="s">
        <v>74</v>
      </c>
      <c r="BH502" t="s">
        <v>7628</v>
      </c>
      <c r="BI502">
        <v>16</v>
      </c>
      <c r="BJ502" t="s">
        <v>4462</v>
      </c>
      <c r="BK502" t="s">
        <v>100</v>
      </c>
      <c r="BL502" t="s">
        <v>4462</v>
      </c>
      <c r="BM502" t="s">
        <v>4463</v>
      </c>
      <c r="BN502">
        <v>35939091</v>
      </c>
      <c r="BO502" t="s">
        <v>74</v>
      </c>
      <c r="BP502" t="s">
        <v>74</v>
      </c>
      <c r="BQ502" t="s">
        <v>74</v>
      </c>
      <c r="BR502" t="s">
        <v>103</v>
      </c>
      <c r="BS502" t="s">
        <v>10182</v>
      </c>
      <c r="BT502" t="str">
        <f>HYPERLINK("https%3A%2F%2Fwww.webofscience.com%2Fwos%2Fwoscc%2Ffull-record%2FWOS:000837509200002","View Full Record in Web of Science")</f>
        <v>View Full Record in Web of Science</v>
      </c>
    </row>
    <row r="503" spans="1:72" x14ac:dyDescent="0.15">
      <c r="A503" t="s">
        <v>72</v>
      </c>
      <c r="B503" t="s">
        <v>10183</v>
      </c>
      <c r="C503" t="s">
        <v>74</v>
      </c>
      <c r="D503" t="s">
        <v>74</v>
      </c>
      <c r="E503" t="s">
        <v>74</v>
      </c>
      <c r="F503" t="s">
        <v>10184</v>
      </c>
      <c r="G503" t="s">
        <v>74</v>
      </c>
      <c r="H503" t="s">
        <v>74</v>
      </c>
      <c r="I503" t="s">
        <v>10185</v>
      </c>
      <c r="J503" t="s">
        <v>6092</v>
      </c>
      <c r="K503" t="s">
        <v>74</v>
      </c>
      <c r="L503" t="s">
        <v>74</v>
      </c>
      <c r="M503" t="s">
        <v>78</v>
      </c>
      <c r="N503" t="s">
        <v>79</v>
      </c>
      <c r="O503" t="s">
        <v>74</v>
      </c>
      <c r="P503" t="s">
        <v>74</v>
      </c>
      <c r="Q503" t="s">
        <v>74</v>
      </c>
      <c r="R503" t="s">
        <v>74</v>
      </c>
      <c r="S503" t="s">
        <v>74</v>
      </c>
      <c r="T503" t="s">
        <v>10186</v>
      </c>
      <c r="U503" t="s">
        <v>10187</v>
      </c>
      <c r="V503" t="s">
        <v>10188</v>
      </c>
      <c r="W503" t="s">
        <v>10189</v>
      </c>
      <c r="X503" t="s">
        <v>10190</v>
      </c>
      <c r="Y503" t="s">
        <v>10191</v>
      </c>
      <c r="Z503" t="s">
        <v>10192</v>
      </c>
      <c r="AA503" t="s">
        <v>74</v>
      </c>
      <c r="AB503" t="s">
        <v>10193</v>
      </c>
      <c r="AC503" t="s">
        <v>10194</v>
      </c>
      <c r="AD503" t="s">
        <v>10194</v>
      </c>
      <c r="AE503" t="s">
        <v>10195</v>
      </c>
      <c r="AF503" t="s">
        <v>74</v>
      </c>
      <c r="AG503">
        <v>73</v>
      </c>
      <c r="AH503">
        <v>0</v>
      </c>
      <c r="AI503">
        <v>0</v>
      </c>
      <c r="AJ503">
        <v>1</v>
      </c>
      <c r="AK503">
        <v>6</v>
      </c>
      <c r="AL503" t="s">
        <v>3089</v>
      </c>
      <c r="AM503" t="s">
        <v>2774</v>
      </c>
      <c r="AN503" t="s">
        <v>3090</v>
      </c>
      <c r="AO503" t="s">
        <v>6102</v>
      </c>
      <c r="AP503" t="s">
        <v>6103</v>
      </c>
      <c r="AQ503" t="s">
        <v>74</v>
      </c>
      <c r="AR503" t="s">
        <v>6104</v>
      </c>
      <c r="AS503" t="s">
        <v>6105</v>
      </c>
      <c r="AT503" t="s">
        <v>2113</v>
      </c>
      <c r="AU503">
        <v>2022</v>
      </c>
      <c r="AV503">
        <v>275</v>
      </c>
      <c r="AW503" t="s">
        <v>74</v>
      </c>
      <c r="AX503" t="s">
        <v>74</v>
      </c>
      <c r="AY503" t="s">
        <v>74</v>
      </c>
      <c r="AZ503" t="s">
        <v>74</v>
      </c>
      <c r="BA503" t="s">
        <v>74</v>
      </c>
      <c r="BB503" t="s">
        <v>74</v>
      </c>
      <c r="BC503" t="s">
        <v>74</v>
      </c>
      <c r="BD503">
        <v>107975</v>
      </c>
      <c r="BE503" t="s">
        <v>10196</v>
      </c>
      <c r="BF503" t="str">
        <f>HYPERLINK("http://dx.doi.org/10.1016/j.ecss.2022.107975","http://dx.doi.org/10.1016/j.ecss.2022.107975")</f>
        <v>http://dx.doi.org/10.1016/j.ecss.2022.107975</v>
      </c>
      <c r="BG503" t="s">
        <v>74</v>
      </c>
      <c r="BH503" t="s">
        <v>7628</v>
      </c>
      <c r="BI503">
        <v>14</v>
      </c>
      <c r="BJ503" t="s">
        <v>5083</v>
      </c>
      <c r="BK503" t="s">
        <v>100</v>
      </c>
      <c r="BL503" t="s">
        <v>5083</v>
      </c>
      <c r="BM503" t="s">
        <v>10197</v>
      </c>
      <c r="BN503" t="s">
        <v>74</v>
      </c>
      <c r="BO503" t="s">
        <v>74</v>
      </c>
      <c r="BP503" t="s">
        <v>74</v>
      </c>
      <c r="BQ503" t="s">
        <v>74</v>
      </c>
      <c r="BR503" t="s">
        <v>103</v>
      </c>
      <c r="BS503" t="s">
        <v>10198</v>
      </c>
      <c r="BT503" t="str">
        <f>HYPERLINK("https%3A%2F%2Fwww.webofscience.com%2Fwos%2Fwoscc%2Ffull-record%2FWOS:000869449900003","View Full Record in Web of Science")</f>
        <v>View Full Record in Web of Science</v>
      </c>
    </row>
    <row r="504" spans="1:72" x14ac:dyDescent="0.15">
      <c r="A504" t="s">
        <v>72</v>
      </c>
      <c r="B504" t="s">
        <v>10199</v>
      </c>
      <c r="C504" t="s">
        <v>74</v>
      </c>
      <c r="D504" t="s">
        <v>74</v>
      </c>
      <c r="E504" t="s">
        <v>74</v>
      </c>
      <c r="F504" t="s">
        <v>10200</v>
      </c>
      <c r="G504" t="s">
        <v>74</v>
      </c>
      <c r="H504" t="s">
        <v>74</v>
      </c>
      <c r="I504" t="s">
        <v>10201</v>
      </c>
      <c r="J504" t="s">
        <v>10202</v>
      </c>
      <c r="K504" t="s">
        <v>74</v>
      </c>
      <c r="L504" t="s">
        <v>74</v>
      </c>
      <c r="M504" t="s">
        <v>78</v>
      </c>
      <c r="N504" t="s">
        <v>79</v>
      </c>
      <c r="O504" t="s">
        <v>74</v>
      </c>
      <c r="P504" t="s">
        <v>74</v>
      </c>
      <c r="Q504" t="s">
        <v>74</v>
      </c>
      <c r="R504" t="s">
        <v>74</v>
      </c>
      <c r="S504" t="s">
        <v>74</v>
      </c>
      <c r="T504" t="s">
        <v>10203</v>
      </c>
      <c r="U504" t="s">
        <v>10204</v>
      </c>
      <c r="V504" t="s">
        <v>10205</v>
      </c>
      <c r="W504" t="s">
        <v>10206</v>
      </c>
      <c r="X504" t="s">
        <v>10207</v>
      </c>
      <c r="Y504" t="s">
        <v>10208</v>
      </c>
      <c r="Z504" t="s">
        <v>10209</v>
      </c>
      <c r="AA504" t="s">
        <v>10210</v>
      </c>
      <c r="AB504" t="s">
        <v>10211</v>
      </c>
      <c r="AC504" t="s">
        <v>74</v>
      </c>
      <c r="AD504" t="s">
        <v>74</v>
      </c>
      <c r="AE504" t="s">
        <v>74</v>
      </c>
      <c r="AF504" t="s">
        <v>74</v>
      </c>
      <c r="AG504">
        <v>46</v>
      </c>
      <c r="AH504">
        <v>18</v>
      </c>
      <c r="AI504">
        <v>18</v>
      </c>
      <c r="AJ504">
        <v>4</v>
      </c>
      <c r="AK504">
        <v>27</v>
      </c>
      <c r="AL504" t="s">
        <v>231</v>
      </c>
      <c r="AM504" t="s">
        <v>232</v>
      </c>
      <c r="AN504" t="s">
        <v>233</v>
      </c>
      <c r="AO504" t="s">
        <v>10212</v>
      </c>
      <c r="AP504" t="s">
        <v>10213</v>
      </c>
      <c r="AQ504" t="s">
        <v>74</v>
      </c>
      <c r="AR504" t="s">
        <v>10214</v>
      </c>
      <c r="AS504" t="s">
        <v>10215</v>
      </c>
      <c r="AT504" t="s">
        <v>325</v>
      </c>
      <c r="AU504">
        <v>2022</v>
      </c>
      <c r="AV504">
        <v>36</v>
      </c>
      <c r="AW504">
        <v>6</v>
      </c>
      <c r="AX504" t="s">
        <v>74</v>
      </c>
      <c r="AY504" t="s">
        <v>74</v>
      </c>
      <c r="AZ504" t="s">
        <v>74</v>
      </c>
      <c r="BA504" t="s">
        <v>74</v>
      </c>
      <c r="BB504" t="s">
        <v>74</v>
      </c>
      <c r="BC504" t="s">
        <v>74</v>
      </c>
      <c r="BD504" t="s">
        <v>10216</v>
      </c>
      <c r="BE504" t="s">
        <v>10217</v>
      </c>
      <c r="BF504" t="str">
        <f>HYPERLINK("http://dx.doi.org/10.1111/cobi.13958","http://dx.doi.org/10.1111/cobi.13958")</f>
        <v>http://dx.doi.org/10.1111/cobi.13958</v>
      </c>
      <c r="BG504" t="s">
        <v>74</v>
      </c>
      <c r="BH504" t="s">
        <v>7628</v>
      </c>
      <c r="BI504">
        <v>10</v>
      </c>
      <c r="BJ504" t="s">
        <v>3785</v>
      </c>
      <c r="BK504" t="s">
        <v>100</v>
      </c>
      <c r="BL504" t="s">
        <v>1170</v>
      </c>
      <c r="BM504" t="s">
        <v>10218</v>
      </c>
      <c r="BN504">
        <v>35621094</v>
      </c>
      <c r="BO504" t="s">
        <v>3053</v>
      </c>
      <c r="BP504" t="s">
        <v>74</v>
      </c>
      <c r="BQ504" t="s">
        <v>74</v>
      </c>
      <c r="BR504" t="s">
        <v>103</v>
      </c>
      <c r="BS504" t="s">
        <v>10219</v>
      </c>
      <c r="BT504" t="str">
        <f>HYPERLINK("https%3A%2F%2Fwww.webofscience.com%2Fwos%2Fwoscc%2Ffull-record%2FWOS:000837008900001","View Full Record in Web of Science")</f>
        <v>View Full Record in Web of Science</v>
      </c>
    </row>
    <row r="505" spans="1:72" x14ac:dyDescent="0.15">
      <c r="A505" t="s">
        <v>72</v>
      </c>
      <c r="B505" t="s">
        <v>10220</v>
      </c>
      <c r="C505" t="s">
        <v>74</v>
      </c>
      <c r="D505" t="s">
        <v>74</v>
      </c>
      <c r="E505" t="s">
        <v>74</v>
      </c>
      <c r="F505" t="s">
        <v>10221</v>
      </c>
      <c r="G505" t="s">
        <v>74</v>
      </c>
      <c r="H505" t="s">
        <v>74</v>
      </c>
      <c r="I505" t="s">
        <v>10222</v>
      </c>
      <c r="J505" t="s">
        <v>2653</v>
      </c>
      <c r="K505" t="s">
        <v>74</v>
      </c>
      <c r="L505" t="s">
        <v>74</v>
      </c>
      <c r="M505" t="s">
        <v>78</v>
      </c>
      <c r="N505" t="s">
        <v>79</v>
      </c>
      <c r="O505" t="s">
        <v>74</v>
      </c>
      <c r="P505" t="s">
        <v>74</v>
      </c>
      <c r="Q505" t="s">
        <v>74</v>
      </c>
      <c r="R505" t="s">
        <v>74</v>
      </c>
      <c r="S505" t="s">
        <v>74</v>
      </c>
      <c r="T505" t="s">
        <v>10223</v>
      </c>
      <c r="U505" t="s">
        <v>10224</v>
      </c>
      <c r="V505" t="s">
        <v>10225</v>
      </c>
      <c r="W505" t="s">
        <v>10226</v>
      </c>
      <c r="X505" t="s">
        <v>10227</v>
      </c>
      <c r="Y505" t="s">
        <v>10228</v>
      </c>
      <c r="Z505" t="s">
        <v>10229</v>
      </c>
      <c r="AA505" t="s">
        <v>74</v>
      </c>
      <c r="AB505" t="s">
        <v>10230</v>
      </c>
      <c r="AC505" t="s">
        <v>10231</v>
      </c>
      <c r="AD505" t="s">
        <v>10232</v>
      </c>
      <c r="AE505" t="s">
        <v>10233</v>
      </c>
      <c r="AF505" t="s">
        <v>74</v>
      </c>
      <c r="AG505">
        <v>113</v>
      </c>
      <c r="AH505">
        <v>1</v>
      </c>
      <c r="AI505">
        <v>1</v>
      </c>
      <c r="AJ505">
        <v>2</v>
      </c>
      <c r="AK505">
        <v>3</v>
      </c>
      <c r="AL505" t="s">
        <v>2275</v>
      </c>
      <c r="AM505" t="s">
        <v>90</v>
      </c>
      <c r="AN505" t="s">
        <v>2276</v>
      </c>
      <c r="AO505" t="s">
        <v>2666</v>
      </c>
      <c r="AP505" t="s">
        <v>2667</v>
      </c>
      <c r="AQ505" t="s">
        <v>74</v>
      </c>
      <c r="AR505" t="s">
        <v>2668</v>
      </c>
      <c r="AS505" t="s">
        <v>2669</v>
      </c>
      <c r="AT505" t="s">
        <v>5933</v>
      </c>
      <c r="AU505">
        <v>2022</v>
      </c>
      <c r="AV505">
        <v>291</v>
      </c>
      <c r="AW505" t="s">
        <v>74</v>
      </c>
      <c r="AX505" t="s">
        <v>74</v>
      </c>
      <c r="AY505" t="s">
        <v>74</v>
      </c>
      <c r="AZ505" t="s">
        <v>74</v>
      </c>
      <c r="BA505" t="s">
        <v>74</v>
      </c>
      <c r="BB505" t="s">
        <v>74</v>
      </c>
      <c r="BC505" t="s">
        <v>74</v>
      </c>
      <c r="BD505">
        <v>107661</v>
      </c>
      <c r="BE505" t="s">
        <v>10234</v>
      </c>
      <c r="BF505" t="str">
        <f>HYPERLINK("http://dx.doi.org/10.1016/j.quascirev.2022.107661","http://dx.doi.org/10.1016/j.quascirev.2022.107661")</f>
        <v>http://dx.doi.org/10.1016/j.quascirev.2022.107661</v>
      </c>
      <c r="BG505" t="s">
        <v>74</v>
      </c>
      <c r="BH505" t="s">
        <v>7628</v>
      </c>
      <c r="BI505">
        <v>12</v>
      </c>
      <c r="BJ505" t="s">
        <v>354</v>
      </c>
      <c r="BK505" t="s">
        <v>100</v>
      </c>
      <c r="BL505" t="s">
        <v>241</v>
      </c>
      <c r="BM505" t="s">
        <v>10235</v>
      </c>
      <c r="BN505" t="s">
        <v>74</v>
      </c>
      <c r="BO505" t="s">
        <v>74</v>
      </c>
      <c r="BP505" t="s">
        <v>74</v>
      </c>
      <c r="BQ505" t="s">
        <v>74</v>
      </c>
      <c r="BR505" t="s">
        <v>103</v>
      </c>
      <c r="BS505" t="s">
        <v>10236</v>
      </c>
      <c r="BT505" t="str">
        <f>HYPERLINK("https%3A%2F%2Fwww.webofscience.com%2Fwos%2Fwoscc%2Ffull-record%2FWOS:000861231300006","View Full Record in Web of Science")</f>
        <v>View Full Record in Web of Science</v>
      </c>
    </row>
    <row r="506" spans="1:72" x14ac:dyDescent="0.15">
      <c r="A506" t="s">
        <v>72</v>
      </c>
      <c r="B506" t="s">
        <v>10237</v>
      </c>
      <c r="C506" t="s">
        <v>74</v>
      </c>
      <c r="D506" t="s">
        <v>74</v>
      </c>
      <c r="E506" t="s">
        <v>74</v>
      </c>
      <c r="F506" t="s">
        <v>10238</v>
      </c>
      <c r="G506" t="s">
        <v>74</v>
      </c>
      <c r="H506" t="s">
        <v>74</v>
      </c>
      <c r="I506" t="s">
        <v>10239</v>
      </c>
      <c r="J506" t="s">
        <v>137</v>
      </c>
      <c r="K506" t="s">
        <v>74</v>
      </c>
      <c r="L506" t="s">
        <v>74</v>
      </c>
      <c r="M506" t="s">
        <v>78</v>
      </c>
      <c r="N506" t="s">
        <v>79</v>
      </c>
      <c r="O506" t="s">
        <v>74</v>
      </c>
      <c r="P506" t="s">
        <v>74</v>
      </c>
      <c r="Q506" t="s">
        <v>74</v>
      </c>
      <c r="R506" t="s">
        <v>74</v>
      </c>
      <c r="S506" t="s">
        <v>74</v>
      </c>
      <c r="T506" t="s">
        <v>74</v>
      </c>
      <c r="U506" t="s">
        <v>10240</v>
      </c>
      <c r="V506" t="s">
        <v>10241</v>
      </c>
      <c r="W506" t="s">
        <v>10242</v>
      </c>
      <c r="X506" t="s">
        <v>10243</v>
      </c>
      <c r="Y506" t="s">
        <v>10244</v>
      </c>
      <c r="Z506" t="s">
        <v>10245</v>
      </c>
      <c r="AA506" t="s">
        <v>10246</v>
      </c>
      <c r="AB506" t="s">
        <v>10247</v>
      </c>
      <c r="AC506" t="s">
        <v>10248</v>
      </c>
      <c r="AD506" t="s">
        <v>10249</v>
      </c>
      <c r="AE506" t="s">
        <v>10250</v>
      </c>
      <c r="AF506" t="s">
        <v>74</v>
      </c>
      <c r="AG506">
        <v>69</v>
      </c>
      <c r="AH506">
        <v>12</v>
      </c>
      <c r="AI506">
        <v>12</v>
      </c>
      <c r="AJ506">
        <v>4</v>
      </c>
      <c r="AK506">
        <v>15</v>
      </c>
      <c r="AL506" t="s">
        <v>149</v>
      </c>
      <c r="AM506" t="s">
        <v>150</v>
      </c>
      <c r="AN506" t="s">
        <v>151</v>
      </c>
      <c r="AO506" t="s">
        <v>74</v>
      </c>
      <c r="AP506" t="s">
        <v>152</v>
      </c>
      <c r="AQ506" t="s">
        <v>74</v>
      </c>
      <c r="AR506" t="s">
        <v>153</v>
      </c>
      <c r="AS506" t="s">
        <v>154</v>
      </c>
      <c r="AT506" t="s">
        <v>10251</v>
      </c>
      <c r="AU506">
        <v>2022</v>
      </c>
      <c r="AV506">
        <v>13</v>
      </c>
      <c r="AW506">
        <v>1</v>
      </c>
      <c r="AX506" t="s">
        <v>74</v>
      </c>
      <c r="AY506" t="s">
        <v>74</v>
      </c>
      <c r="AZ506" t="s">
        <v>74</v>
      </c>
      <c r="BA506" t="s">
        <v>74</v>
      </c>
      <c r="BB506" t="s">
        <v>74</v>
      </c>
      <c r="BC506" t="s">
        <v>74</v>
      </c>
      <c r="BD506">
        <v>4590</v>
      </c>
      <c r="BE506" t="s">
        <v>10252</v>
      </c>
      <c r="BF506" t="str">
        <f>HYPERLINK("http://dx.doi.org/10.1038/s41467-022-32036-2","http://dx.doi.org/10.1038/s41467-022-32036-2")</f>
        <v>http://dx.doi.org/10.1038/s41467-022-32036-2</v>
      </c>
      <c r="BG506" t="s">
        <v>74</v>
      </c>
      <c r="BH506" t="s">
        <v>74</v>
      </c>
      <c r="BI506">
        <v>11</v>
      </c>
      <c r="BJ506" t="s">
        <v>156</v>
      </c>
      <c r="BK506" t="s">
        <v>100</v>
      </c>
      <c r="BL506" t="s">
        <v>157</v>
      </c>
      <c r="BM506" t="s">
        <v>10253</v>
      </c>
      <c r="BN506">
        <v>35933464</v>
      </c>
      <c r="BO506" t="s">
        <v>10254</v>
      </c>
      <c r="BP506" t="s">
        <v>74</v>
      </c>
      <c r="BQ506" t="s">
        <v>74</v>
      </c>
      <c r="BR506" t="s">
        <v>103</v>
      </c>
      <c r="BS506" t="s">
        <v>10255</v>
      </c>
      <c r="BT506" t="str">
        <f>HYPERLINK("https%3A%2F%2Fwww.webofscience.com%2Fwos%2Fwoscc%2Ffull-record%2FWOS:000836839500015","View Full Record in Web of Science")</f>
        <v>View Full Record in Web of Science</v>
      </c>
    </row>
    <row r="507" spans="1:72" x14ac:dyDescent="0.15">
      <c r="A507" t="s">
        <v>72</v>
      </c>
      <c r="B507" t="s">
        <v>10256</v>
      </c>
      <c r="C507" t="s">
        <v>74</v>
      </c>
      <c r="D507" t="s">
        <v>74</v>
      </c>
      <c r="E507" t="s">
        <v>74</v>
      </c>
      <c r="F507" t="s">
        <v>10257</v>
      </c>
      <c r="G507" t="s">
        <v>74</v>
      </c>
      <c r="H507" t="s">
        <v>74</v>
      </c>
      <c r="I507" t="s">
        <v>10258</v>
      </c>
      <c r="J507" t="s">
        <v>10259</v>
      </c>
      <c r="K507" t="s">
        <v>74</v>
      </c>
      <c r="L507" t="s">
        <v>74</v>
      </c>
      <c r="M507" t="s">
        <v>78</v>
      </c>
      <c r="N507" t="s">
        <v>3357</v>
      </c>
      <c r="O507" t="s">
        <v>74</v>
      </c>
      <c r="P507" t="s">
        <v>74</v>
      </c>
      <c r="Q507" t="s">
        <v>74</v>
      </c>
      <c r="R507" t="s">
        <v>74</v>
      </c>
      <c r="S507" t="s">
        <v>74</v>
      </c>
      <c r="T507" t="s">
        <v>74</v>
      </c>
      <c r="U507" t="s">
        <v>74</v>
      </c>
      <c r="V507" t="s">
        <v>10260</v>
      </c>
      <c r="W507" t="s">
        <v>10261</v>
      </c>
      <c r="X507" t="s">
        <v>10262</v>
      </c>
      <c r="Y507" t="s">
        <v>10263</v>
      </c>
      <c r="Z507" t="s">
        <v>10264</v>
      </c>
      <c r="AA507" t="s">
        <v>10265</v>
      </c>
      <c r="AB507" t="s">
        <v>10266</v>
      </c>
      <c r="AC507" t="s">
        <v>1670</v>
      </c>
      <c r="AD507" t="s">
        <v>1670</v>
      </c>
      <c r="AE507" t="s">
        <v>1671</v>
      </c>
      <c r="AF507" t="s">
        <v>74</v>
      </c>
      <c r="AG507">
        <v>49</v>
      </c>
      <c r="AH507">
        <v>4</v>
      </c>
      <c r="AI507">
        <v>5</v>
      </c>
      <c r="AJ507">
        <v>2</v>
      </c>
      <c r="AK507">
        <v>8</v>
      </c>
      <c r="AL507" t="s">
        <v>149</v>
      </c>
      <c r="AM507" t="s">
        <v>150</v>
      </c>
      <c r="AN507" t="s">
        <v>151</v>
      </c>
      <c r="AO507" t="s">
        <v>74</v>
      </c>
      <c r="AP507" t="s">
        <v>10267</v>
      </c>
      <c r="AQ507" t="s">
        <v>74</v>
      </c>
      <c r="AR507" t="s">
        <v>10268</v>
      </c>
      <c r="AS507" t="s">
        <v>10269</v>
      </c>
      <c r="AT507" t="s">
        <v>10251</v>
      </c>
      <c r="AU507">
        <v>2022</v>
      </c>
      <c r="AV507">
        <v>9</v>
      </c>
      <c r="AW507">
        <v>1</v>
      </c>
      <c r="AX507" t="s">
        <v>74</v>
      </c>
      <c r="AY507" t="s">
        <v>74</v>
      </c>
      <c r="AZ507" t="s">
        <v>74</v>
      </c>
      <c r="BA507" t="s">
        <v>74</v>
      </c>
      <c r="BB507" t="s">
        <v>74</v>
      </c>
      <c r="BC507" t="s">
        <v>74</v>
      </c>
      <c r="BD507">
        <v>483</v>
      </c>
      <c r="BE507" t="s">
        <v>10270</v>
      </c>
      <c r="BF507" t="str">
        <f>HYPERLINK("http://dx.doi.org/10.1038/s41597-022-01590-1","http://dx.doi.org/10.1038/s41597-022-01590-1")</f>
        <v>http://dx.doi.org/10.1038/s41597-022-01590-1</v>
      </c>
      <c r="BG507" t="s">
        <v>74</v>
      </c>
      <c r="BH507" t="s">
        <v>74</v>
      </c>
      <c r="BI507">
        <v>7</v>
      </c>
      <c r="BJ507" t="s">
        <v>156</v>
      </c>
      <c r="BK507" t="s">
        <v>100</v>
      </c>
      <c r="BL507" t="s">
        <v>157</v>
      </c>
      <c r="BM507" t="s">
        <v>10271</v>
      </c>
      <c r="BN507">
        <v>35933490</v>
      </c>
      <c r="BO507" t="s">
        <v>159</v>
      </c>
      <c r="BP507" t="s">
        <v>74</v>
      </c>
      <c r="BQ507" t="s">
        <v>74</v>
      </c>
      <c r="BR507" t="s">
        <v>103</v>
      </c>
      <c r="BS507" t="s">
        <v>10272</v>
      </c>
      <c r="BT507" t="str">
        <f>HYPERLINK("https%3A%2F%2Fwww.webofscience.com%2Fwos%2Fwoscc%2Ffull-record%2FWOS:000836796800004","View Full Record in Web of Science")</f>
        <v>View Full Record in Web of Science</v>
      </c>
    </row>
    <row r="508" spans="1:72" x14ac:dyDescent="0.15">
      <c r="A508" t="s">
        <v>72</v>
      </c>
      <c r="B508" t="s">
        <v>10273</v>
      </c>
      <c r="C508" t="s">
        <v>74</v>
      </c>
      <c r="D508" t="s">
        <v>74</v>
      </c>
      <c r="E508" t="s">
        <v>74</v>
      </c>
      <c r="F508" t="s">
        <v>10274</v>
      </c>
      <c r="G508" t="s">
        <v>74</v>
      </c>
      <c r="H508" t="s">
        <v>74</v>
      </c>
      <c r="I508" t="s">
        <v>10275</v>
      </c>
      <c r="J508" t="s">
        <v>10276</v>
      </c>
      <c r="K508" t="s">
        <v>74</v>
      </c>
      <c r="L508" t="s">
        <v>74</v>
      </c>
      <c r="M508" t="s">
        <v>78</v>
      </c>
      <c r="N508" t="s">
        <v>79</v>
      </c>
      <c r="O508" t="s">
        <v>74</v>
      </c>
      <c r="P508" t="s">
        <v>74</v>
      </c>
      <c r="Q508" t="s">
        <v>74</v>
      </c>
      <c r="R508" t="s">
        <v>74</v>
      </c>
      <c r="S508" t="s">
        <v>74</v>
      </c>
      <c r="T508" t="s">
        <v>74</v>
      </c>
      <c r="U508" t="s">
        <v>10277</v>
      </c>
      <c r="V508" t="s">
        <v>10278</v>
      </c>
      <c r="W508" t="s">
        <v>10279</v>
      </c>
      <c r="X508" t="s">
        <v>10280</v>
      </c>
      <c r="Y508" t="s">
        <v>10281</v>
      </c>
      <c r="Z508" t="s">
        <v>10282</v>
      </c>
      <c r="AA508" t="s">
        <v>10283</v>
      </c>
      <c r="AB508" t="s">
        <v>10284</v>
      </c>
      <c r="AC508" t="s">
        <v>10285</v>
      </c>
      <c r="AD508" t="s">
        <v>10286</v>
      </c>
      <c r="AE508" t="s">
        <v>10287</v>
      </c>
      <c r="AF508" t="s">
        <v>74</v>
      </c>
      <c r="AG508">
        <v>132</v>
      </c>
      <c r="AH508">
        <v>17</v>
      </c>
      <c r="AI508">
        <v>18</v>
      </c>
      <c r="AJ508">
        <v>14</v>
      </c>
      <c r="AK508">
        <v>63</v>
      </c>
      <c r="AL508" t="s">
        <v>89</v>
      </c>
      <c r="AM508" t="s">
        <v>90</v>
      </c>
      <c r="AN508" t="s">
        <v>91</v>
      </c>
      <c r="AO508" t="s">
        <v>10288</v>
      </c>
      <c r="AP508" t="s">
        <v>10289</v>
      </c>
      <c r="AQ508" t="s">
        <v>74</v>
      </c>
      <c r="AR508" t="s">
        <v>10290</v>
      </c>
      <c r="AS508" t="s">
        <v>10291</v>
      </c>
      <c r="AT508" t="s">
        <v>2281</v>
      </c>
      <c r="AU508">
        <v>2022</v>
      </c>
      <c r="AV508">
        <v>16</v>
      </c>
      <c r="AW508">
        <v>11</v>
      </c>
      <c r="AX508" t="s">
        <v>74</v>
      </c>
      <c r="AY508" t="s">
        <v>74</v>
      </c>
      <c r="AZ508" t="s">
        <v>74</v>
      </c>
      <c r="BA508" t="s">
        <v>74</v>
      </c>
      <c r="BB508">
        <v>2547</v>
      </c>
      <c r="BC508">
        <v>2560</v>
      </c>
      <c r="BD508" t="s">
        <v>74</v>
      </c>
      <c r="BE508" t="s">
        <v>10292</v>
      </c>
      <c r="BF508" t="str">
        <f>HYPERLINK("http://dx.doi.org/10.1038/s41396-022-01298-5","http://dx.doi.org/10.1038/s41396-022-01298-5")</f>
        <v>http://dx.doi.org/10.1038/s41396-022-01298-5</v>
      </c>
      <c r="BG508" t="s">
        <v>74</v>
      </c>
      <c r="BH508" t="s">
        <v>7628</v>
      </c>
      <c r="BI508">
        <v>14</v>
      </c>
      <c r="BJ508" t="s">
        <v>2780</v>
      </c>
      <c r="BK508" t="s">
        <v>100</v>
      </c>
      <c r="BL508" t="s">
        <v>2781</v>
      </c>
      <c r="BM508" t="s">
        <v>10293</v>
      </c>
      <c r="BN508">
        <v>35933499</v>
      </c>
      <c r="BO508" t="s">
        <v>5536</v>
      </c>
      <c r="BP508" t="s">
        <v>74</v>
      </c>
      <c r="BQ508" t="s">
        <v>74</v>
      </c>
      <c r="BR508" t="s">
        <v>103</v>
      </c>
      <c r="BS508" t="s">
        <v>10294</v>
      </c>
      <c r="BT508" t="str">
        <f>HYPERLINK("https%3A%2F%2Fwww.webofscience.com%2Fwos%2Fwoscc%2Ffull-record%2FWOS:000836772300001","View Full Record in Web of Science")</f>
        <v>View Full Record in Web of Science</v>
      </c>
    </row>
    <row r="509" spans="1:72" x14ac:dyDescent="0.15">
      <c r="A509" t="s">
        <v>72</v>
      </c>
      <c r="B509" t="s">
        <v>10295</v>
      </c>
      <c r="C509" t="s">
        <v>74</v>
      </c>
      <c r="D509" t="s">
        <v>74</v>
      </c>
      <c r="E509" t="s">
        <v>74</v>
      </c>
      <c r="F509" t="s">
        <v>10296</v>
      </c>
      <c r="G509" t="s">
        <v>74</v>
      </c>
      <c r="H509" t="s">
        <v>74</v>
      </c>
      <c r="I509" t="s">
        <v>10297</v>
      </c>
      <c r="J509" t="s">
        <v>10298</v>
      </c>
      <c r="K509" t="s">
        <v>74</v>
      </c>
      <c r="L509" t="s">
        <v>74</v>
      </c>
      <c r="M509" t="s">
        <v>78</v>
      </c>
      <c r="N509" t="s">
        <v>79</v>
      </c>
      <c r="O509" t="s">
        <v>74</v>
      </c>
      <c r="P509" t="s">
        <v>74</v>
      </c>
      <c r="Q509" t="s">
        <v>74</v>
      </c>
      <c r="R509" t="s">
        <v>74</v>
      </c>
      <c r="S509" t="s">
        <v>74</v>
      </c>
      <c r="T509" t="s">
        <v>74</v>
      </c>
      <c r="U509" t="s">
        <v>10299</v>
      </c>
      <c r="V509" t="s">
        <v>10300</v>
      </c>
      <c r="W509" t="s">
        <v>10301</v>
      </c>
      <c r="X509" t="s">
        <v>10302</v>
      </c>
      <c r="Y509" t="s">
        <v>10303</v>
      </c>
      <c r="Z509" t="s">
        <v>10304</v>
      </c>
      <c r="AA509" t="s">
        <v>10305</v>
      </c>
      <c r="AB509" t="s">
        <v>10306</v>
      </c>
      <c r="AC509" t="s">
        <v>10307</v>
      </c>
      <c r="AD509" t="s">
        <v>10308</v>
      </c>
      <c r="AE509" t="s">
        <v>10309</v>
      </c>
      <c r="AF509" t="s">
        <v>74</v>
      </c>
      <c r="AG509">
        <v>61</v>
      </c>
      <c r="AH509">
        <v>2</v>
      </c>
      <c r="AI509">
        <v>2</v>
      </c>
      <c r="AJ509">
        <v>1</v>
      </c>
      <c r="AK509">
        <v>5</v>
      </c>
      <c r="AL509" t="s">
        <v>4024</v>
      </c>
      <c r="AM509" t="s">
        <v>2774</v>
      </c>
      <c r="AN509" t="s">
        <v>4025</v>
      </c>
      <c r="AO509" t="s">
        <v>10310</v>
      </c>
      <c r="AP509" t="s">
        <v>10311</v>
      </c>
      <c r="AQ509" t="s">
        <v>74</v>
      </c>
      <c r="AR509" t="s">
        <v>10312</v>
      </c>
      <c r="AS509" t="s">
        <v>10313</v>
      </c>
      <c r="AT509" t="s">
        <v>10314</v>
      </c>
      <c r="AU509">
        <v>2022</v>
      </c>
      <c r="AV509">
        <v>2022</v>
      </c>
      <c r="AW509" t="s">
        <v>74</v>
      </c>
      <c r="AX509" t="s">
        <v>74</v>
      </c>
      <c r="AY509" t="s">
        <v>74</v>
      </c>
      <c r="AZ509" t="s">
        <v>74</v>
      </c>
      <c r="BA509" t="s">
        <v>74</v>
      </c>
      <c r="BB509" t="s">
        <v>74</v>
      </c>
      <c r="BC509" t="s">
        <v>74</v>
      </c>
      <c r="BD509">
        <v>7540077</v>
      </c>
      <c r="BE509" t="s">
        <v>10315</v>
      </c>
      <c r="BF509" t="str">
        <f>HYPERLINK("http://dx.doi.org/10.1155/2022/7540077","http://dx.doi.org/10.1155/2022/7540077")</f>
        <v>http://dx.doi.org/10.1155/2022/7540077</v>
      </c>
      <c r="BG509" t="s">
        <v>74</v>
      </c>
      <c r="BH509" t="s">
        <v>74</v>
      </c>
      <c r="BI509">
        <v>12</v>
      </c>
      <c r="BJ509" t="s">
        <v>10316</v>
      </c>
      <c r="BK509" t="s">
        <v>215</v>
      </c>
      <c r="BL509" t="s">
        <v>10317</v>
      </c>
      <c r="BM509" t="s">
        <v>10318</v>
      </c>
      <c r="BN509" t="s">
        <v>74</v>
      </c>
      <c r="BO509" t="s">
        <v>266</v>
      </c>
      <c r="BP509" t="s">
        <v>74</v>
      </c>
      <c r="BQ509" t="s">
        <v>74</v>
      </c>
      <c r="BR509" t="s">
        <v>103</v>
      </c>
      <c r="BS509" t="s">
        <v>10319</v>
      </c>
      <c r="BT509" t="str">
        <f>HYPERLINK("https%3A%2F%2Fwww.webofscience.com%2Fwos%2Fwoscc%2Ffull-record%2FWOS:000879365000001","View Full Record in Web of Science")</f>
        <v>View Full Record in Web of Science</v>
      </c>
    </row>
    <row r="510" spans="1:72" x14ac:dyDescent="0.15">
      <c r="A510" t="s">
        <v>72</v>
      </c>
      <c r="B510" t="s">
        <v>10320</v>
      </c>
      <c r="C510" t="s">
        <v>74</v>
      </c>
      <c r="D510" t="s">
        <v>74</v>
      </c>
      <c r="E510" t="s">
        <v>74</v>
      </c>
      <c r="F510" t="s">
        <v>10321</v>
      </c>
      <c r="G510" t="s">
        <v>74</v>
      </c>
      <c r="H510" t="s">
        <v>74</v>
      </c>
      <c r="I510" t="s">
        <v>10322</v>
      </c>
      <c r="J510" t="s">
        <v>108</v>
      </c>
      <c r="K510" t="s">
        <v>74</v>
      </c>
      <c r="L510" t="s">
        <v>74</v>
      </c>
      <c r="M510" t="s">
        <v>78</v>
      </c>
      <c r="N510" t="s">
        <v>79</v>
      </c>
      <c r="O510" t="s">
        <v>74</v>
      </c>
      <c r="P510" t="s">
        <v>74</v>
      </c>
      <c r="Q510" t="s">
        <v>74</v>
      </c>
      <c r="R510" t="s">
        <v>74</v>
      </c>
      <c r="S510" t="s">
        <v>74</v>
      </c>
      <c r="T510" t="s">
        <v>10323</v>
      </c>
      <c r="U510" t="s">
        <v>10324</v>
      </c>
      <c r="V510" t="s">
        <v>10325</v>
      </c>
      <c r="W510" t="s">
        <v>10326</v>
      </c>
      <c r="X510" t="s">
        <v>10327</v>
      </c>
      <c r="Y510" t="s">
        <v>10328</v>
      </c>
      <c r="Z510" t="s">
        <v>10329</v>
      </c>
      <c r="AA510" t="s">
        <v>74</v>
      </c>
      <c r="AB510" t="s">
        <v>10330</v>
      </c>
      <c r="AC510" t="s">
        <v>10331</v>
      </c>
      <c r="AD510" t="s">
        <v>10332</v>
      </c>
      <c r="AE510" t="s">
        <v>10333</v>
      </c>
      <c r="AF510" t="s">
        <v>74</v>
      </c>
      <c r="AG510">
        <v>72</v>
      </c>
      <c r="AH510">
        <v>2</v>
      </c>
      <c r="AI510">
        <v>2</v>
      </c>
      <c r="AJ510">
        <v>0</v>
      </c>
      <c r="AK510">
        <v>11</v>
      </c>
      <c r="AL510" t="s">
        <v>121</v>
      </c>
      <c r="AM510" t="s">
        <v>122</v>
      </c>
      <c r="AN510" t="s">
        <v>123</v>
      </c>
      <c r="AO510" t="s">
        <v>74</v>
      </c>
      <c r="AP510" t="s">
        <v>124</v>
      </c>
      <c r="AQ510" t="s">
        <v>74</v>
      </c>
      <c r="AR510" t="s">
        <v>125</v>
      </c>
      <c r="AS510" t="s">
        <v>126</v>
      </c>
      <c r="AT510" t="s">
        <v>10314</v>
      </c>
      <c r="AU510">
        <v>2022</v>
      </c>
      <c r="AV510">
        <v>10</v>
      </c>
      <c r="AW510" t="s">
        <v>74</v>
      </c>
      <c r="AX510" t="s">
        <v>74</v>
      </c>
      <c r="AY510" t="s">
        <v>74</v>
      </c>
      <c r="AZ510" t="s">
        <v>74</v>
      </c>
      <c r="BA510" t="s">
        <v>74</v>
      </c>
      <c r="BB510" t="s">
        <v>74</v>
      </c>
      <c r="BC510" t="s">
        <v>74</v>
      </c>
      <c r="BD510">
        <v>799613</v>
      </c>
      <c r="BE510" t="s">
        <v>10334</v>
      </c>
      <c r="BF510" t="str">
        <f>HYPERLINK("http://dx.doi.org/10.3389/feart.2022.799613","http://dx.doi.org/10.3389/feart.2022.799613")</f>
        <v>http://dx.doi.org/10.3389/feart.2022.799613</v>
      </c>
      <c r="BG510" t="s">
        <v>74</v>
      </c>
      <c r="BH510" t="s">
        <v>74</v>
      </c>
      <c r="BI510">
        <v>13</v>
      </c>
      <c r="BJ510" t="s">
        <v>129</v>
      </c>
      <c r="BK510" t="s">
        <v>100</v>
      </c>
      <c r="BL510" t="s">
        <v>130</v>
      </c>
      <c r="BM510" t="s">
        <v>10335</v>
      </c>
      <c r="BN510" t="s">
        <v>74</v>
      </c>
      <c r="BO510" t="s">
        <v>266</v>
      </c>
      <c r="BP510" t="s">
        <v>74</v>
      </c>
      <c r="BQ510" t="s">
        <v>74</v>
      </c>
      <c r="BR510" t="s">
        <v>103</v>
      </c>
      <c r="BS510" t="s">
        <v>10336</v>
      </c>
      <c r="BT510" t="str">
        <f>HYPERLINK("https%3A%2F%2Fwww.webofscience.com%2Fwos%2Fwoscc%2Ffull-record%2FWOS:000842914500001","View Full Record in Web of Science")</f>
        <v>View Full Record in Web of Science</v>
      </c>
    </row>
    <row r="511" spans="1:72" x14ac:dyDescent="0.15">
      <c r="A511" t="s">
        <v>72</v>
      </c>
      <c r="B511" t="s">
        <v>10337</v>
      </c>
      <c r="C511" t="s">
        <v>74</v>
      </c>
      <c r="D511" t="s">
        <v>74</v>
      </c>
      <c r="E511" t="s">
        <v>74</v>
      </c>
      <c r="F511" t="s">
        <v>10338</v>
      </c>
      <c r="G511" t="s">
        <v>74</v>
      </c>
      <c r="H511" t="s">
        <v>74</v>
      </c>
      <c r="I511" t="s">
        <v>10339</v>
      </c>
      <c r="J511" t="s">
        <v>10340</v>
      </c>
      <c r="K511" t="s">
        <v>74</v>
      </c>
      <c r="L511" t="s">
        <v>74</v>
      </c>
      <c r="M511" t="s">
        <v>78</v>
      </c>
      <c r="N511" t="s">
        <v>165</v>
      </c>
      <c r="O511" t="s">
        <v>74</v>
      </c>
      <c r="P511" t="s">
        <v>74</v>
      </c>
      <c r="Q511" t="s">
        <v>74</v>
      </c>
      <c r="R511" t="s">
        <v>74</v>
      </c>
      <c r="S511" t="s">
        <v>74</v>
      </c>
      <c r="T511" t="s">
        <v>74</v>
      </c>
      <c r="U511" t="s">
        <v>10341</v>
      </c>
      <c r="V511" t="s">
        <v>10342</v>
      </c>
      <c r="W511" t="s">
        <v>10343</v>
      </c>
      <c r="X511" t="s">
        <v>10344</v>
      </c>
      <c r="Y511" t="s">
        <v>10345</v>
      </c>
      <c r="Z511" t="s">
        <v>10346</v>
      </c>
      <c r="AA511" t="s">
        <v>74</v>
      </c>
      <c r="AB511" t="s">
        <v>10347</v>
      </c>
      <c r="AC511" t="s">
        <v>10348</v>
      </c>
      <c r="AD511" t="s">
        <v>10349</v>
      </c>
      <c r="AE511" t="s">
        <v>10350</v>
      </c>
      <c r="AF511" t="s">
        <v>74</v>
      </c>
      <c r="AG511">
        <v>285</v>
      </c>
      <c r="AH511">
        <v>1</v>
      </c>
      <c r="AI511">
        <v>1</v>
      </c>
      <c r="AJ511">
        <v>7</v>
      </c>
      <c r="AK511">
        <v>29</v>
      </c>
      <c r="AL511" t="s">
        <v>3450</v>
      </c>
      <c r="AM511" t="s">
        <v>346</v>
      </c>
      <c r="AN511" t="s">
        <v>3451</v>
      </c>
      <c r="AO511" t="s">
        <v>74</v>
      </c>
      <c r="AP511" t="s">
        <v>10351</v>
      </c>
      <c r="AQ511" t="s">
        <v>74</v>
      </c>
      <c r="AR511" t="s">
        <v>10352</v>
      </c>
      <c r="AS511" t="s">
        <v>10353</v>
      </c>
      <c r="AT511" t="s">
        <v>4180</v>
      </c>
      <c r="AU511">
        <v>2022</v>
      </c>
      <c r="AV511">
        <v>2</v>
      </c>
      <c r="AW511">
        <v>5</v>
      </c>
      <c r="AX511" t="s">
        <v>74</v>
      </c>
      <c r="AY511" t="s">
        <v>74</v>
      </c>
      <c r="AZ511" t="s">
        <v>74</v>
      </c>
      <c r="BA511" t="s">
        <v>74</v>
      </c>
      <c r="BB511">
        <v>891</v>
      </c>
      <c r="BC511">
        <v>920</v>
      </c>
      <c r="BD511" t="s">
        <v>74</v>
      </c>
      <c r="BE511" t="s">
        <v>10354</v>
      </c>
      <c r="BF511" t="str">
        <f>HYPERLINK("http://dx.doi.org/10.1039/d2ea00067a","http://dx.doi.org/10.1039/d2ea00067a")</f>
        <v>http://dx.doi.org/10.1039/d2ea00067a</v>
      </c>
      <c r="BG511" t="s">
        <v>74</v>
      </c>
      <c r="BH511" t="s">
        <v>7628</v>
      </c>
      <c r="BI511">
        <v>30</v>
      </c>
      <c r="BJ511" t="s">
        <v>1129</v>
      </c>
      <c r="BK511" t="s">
        <v>215</v>
      </c>
      <c r="BL511" t="s">
        <v>1130</v>
      </c>
      <c r="BM511" t="s">
        <v>10355</v>
      </c>
      <c r="BN511" t="s">
        <v>74</v>
      </c>
      <c r="BO511" t="s">
        <v>266</v>
      </c>
      <c r="BP511" t="s">
        <v>74</v>
      </c>
      <c r="BQ511" t="s">
        <v>74</v>
      </c>
      <c r="BR511" t="s">
        <v>103</v>
      </c>
      <c r="BS511" t="s">
        <v>10356</v>
      </c>
      <c r="BT511" t="str">
        <f>HYPERLINK("https%3A%2F%2Fwww.webofscience.com%2Fwos%2Fwoscc%2Ffull-record%2FWOS:000841137600001","View Full Record in Web of Science")</f>
        <v>View Full Record in Web of Science</v>
      </c>
    </row>
    <row r="512" spans="1:72" x14ac:dyDescent="0.15">
      <c r="A512" t="s">
        <v>72</v>
      </c>
      <c r="B512" t="s">
        <v>10357</v>
      </c>
      <c r="C512" t="s">
        <v>74</v>
      </c>
      <c r="D512" t="s">
        <v>74</v>
      </c>
      <c r="E512" t="s">
        <v>74</v>
      </c>
      <c r="F512" t="s">
        <v>10358</v>
      </c>
      <c r="G512" t="s">
        <v>74</v>
      </c>
      <c r="H512" t="s">
        <v>74</v>
      </c>
      <c r="I512" t="s">
        <v>10359</v>
      </c>
      <c r="J512" t="s">
        <v>335</v>
      </c>
      <c r="K512" t="s">
        <v>74</v>
      </c>
      <c r="L512" t="s">
        <v>74</v>
      </c>
      <c r="M512" t="s">
        <v>78</v>
      </c>
      <c r="N512" t="s">
        <v>79</v>
      </c>
      <c r="O512" t="s">
        <v>74</v>
      </c>
      <c r="P512" t="s">
        <v>74</v>
      </c>
      <c r="Q512" t="s">
        <v>74</v>
      </c>
      <c r="R512" t="s">
        <v>74</v>
      </c>
      <c r="S512" t="s">
        <v>74</v>
      </c>
      <c r="T512" t="s">
        <v>10360</v>
      </c>
      <c r="U512" t="s">
        <v>10361</v>
      </c>
      <c r="V512" t="s">
        <v>10362</v>
      </c>
      <c r="W512" t="s">
        <v>10363</v>
      </c>
      <c r="X512" t="s">
        <v>10364</v>
      </c>
      <c r="Y512" t="s">
        <v>10365</v>
      </c>
      <c r="Z512" t="s">
        <v>10366</v>
      </c>
      <c r="AA512" t="s">
        <v>10367</v>
      </c>
      <c r="AB512" t="s">
        <v>10368</v>
      </c>
      <c r="AC512" t="s">
        <v>10369</v>
      </c>
      <c r="AD512" t="s">
        <v>10370</v>
      </c>
      <c r="AE512" t="s">
        <v>10371</v>
      </c>
      <c r="AF512" t="s">
        <v>74</v>
      </c>
      <c r="AG512">
        <v>50</v>
      </c>
      <c r="AH512">
        <v>2</v>
      </c>
      <c r="AI512">
        <v>3</v>
      </c>
      <c r="AJ512">
        <v>6</v>
      </c>
      <c r="AK512">
        <v>19</v>
      </c>
      <c r="AL512" t="s">
        <v>345</v>
      </c>
      <c r="AM512" t="s">
        <v>346</v>
      </c>
      <c r="AN512" t="s">
        <v>347</v>
      </c>
      <c r="AO512" t="s">
        <v>348</v>
      </c>
      <c r="AP512" t="s">
        <v>349</v>
      </c>
      <c r="AQ512" t="s">
        <v>74</v>
      </c>
      <c r="AR512" t="s">
        <v>350</v>
      </c>
      <c r="AS512" t="s">
        <v>351</v>
      </c>
      <c r="AT512" t="s">
        <v>2418</v>
      </c>
      <c r="AU512">
        <v>2023</v>
      </c>
      <c r="AV512">
        <v>69</v>
      </c>
      <c r="AW512">
        <v>274</v>
      </c>
      <c r="AX512" t="s">
        <v>74</v>
      </c>
      <c r="AY512" t="s">
        <v>74</v>
      </c>
      <c r="AZ512" t="s">
        <v>74</v>
      </c>
      <c r="BA512" t="s">
        <v>74</v>
      </c>
      <c r="BB512">
        <v>301</v>
      </c>
      <c r="BC512">
        <v>310</v>
      </c>
      <c r="BD512" t="s">
        <v>10372</v>
      </c>
      <c r="BE512" t="s">
        <v>10373</v>
      </c>
      <c r="BF512" t="str">
        <f>HYPERLINK("http://dx.doi.org/10.1017/jog.2022.61","http://dx.doi.org/10.1017/jog.2022.61")</f>
        <v>http://dx.doi.org/10.1017/jog.2022.61</v>
      </c>
      <c r="BG512" t="s">
        <v>74</v>
      </c>
      <c r="BH512" t="s">
        <v>7628</v>
      </c>
      <c r="BI512">
        <v>10</v>
      </c>
      <c r="BJ512" t="s">
        <v>354</v>
      </c>
      <c r="BK512" t="s">
        <v>100</v>
      </c>
      <c r="BL512" t="s">
        <v>241</v>
      </c>
      <c r="BM512" t="s">
        <v>9422</v>
      </c>
      <c r="BN512" t="s">
        <v>74</v>
      </c>
      <c r="BO512" t="s">
        <v>132</v>
      </c>
      <c r="BP512" t="s">
        <v>74</v>
      </c>
      <c r="BQ512" t="s">
        <v>74</v>
      </c>
      <c r="BR512" t="s">
        <v>103</v>
      </c>
      <c r="BS512" t="s">
        <v>10374</v>
      </c>
      <c r="BT512" t="str">
        <f>HYPERLINK("https%3A%2F%2Fwww.webofscience.com%2Fwos%2Fwoscc%2Ffull-record%2FWOS:000836624400001","View Full Record in Web of Science")</f>
        <v>View Full Record in Web of Science</v>
      </c>
    </row>
    <row r="513" spans="1:72" x14ac:dyDescent="0.15">
      <c r="A513" t="s">
        <v>72</v>
      </c>
      <c r="B513" t="s">
        <v>10375</v>
      </c>
      <c r="C513" t="s">
        <v>74</v>
      </c>
      <c r="D513" t="s">
        <v>74</v>
      </c>
      <c r="E513" t="s">
        <v>74</v>
      </c>
      <c r="F513" t="s">
        <v>10376</v>
      </c>
      <c r="G513" t="s">
        <v>74</v>
      </c>
      <c r="H513" t="s">
        <v>74</v>
      </c>
      <c r="I513" t="s">
        <v>10377</v>
      </c>
      <c r="J513" t="s">
        <v>10378</v>
      </c>
      <c r="K513" t="s">
        <v>74</v>
      </c>
      <c r="L513" t="s">
        <v>74</v>
      </c>
      <c r="M513" t="s">
        <v>78</v>
      </c>
      <c r="N513" t="s">
        <v>79</v>
      </c>
      <c r="O513" t="s">
        <v>74</v>
      </c>
      <c r="P513" t="s">
        <v>74</v>
      </c>
      <c r="Q513" t="s">
        <v>74</v>
      </c>
      <c r="R513" t="s">
        <v>74</v>
      </c>
      <c r="S513" t="s">
        <v>74</v>
      </c>
      <c r="T513" t="s">
        <v>10379</v>
      </c>
      <c r="U513" t="s">
        <v>10380</v>
      </c>
      <c r="V513" t="s">
        <v>10381</v>
      </c>
      <c r="W513" t="s">
        <v>10382</v>
      </c>
      <c r="X513" t="s">
        <v>10383</v>
      </c>
      <c r="Y513" t="s">
        <v>10384</v>
      </c>
      <c r="Z513" t="s">
        <v>10385</v>
      </c>
      <c r="AA513" t="s">
        <v>10386</v>
      </c>
      <c r="AB513" t="s">
        <v>10387</v>
      </c>
      <c r="AC513" t="s">
        <v>10388</v>
      </c>
      <c r="AD513" t="s">
        <v>10389</v>
      </c>
      <c r="AE513" t="s">
        <v>10390</v>
      </c>
      <c r="AF513" t="s">
        <v>74</v>
      </c>
      <c r="AG513">
        <v>96</v>
      </c>
      <c r="AH513">
        <v>12</v>
      </c>
      <c r="AI513">
        <v>12</v>
      </c>
      <c r="AJ513">
        <v>2</v>
      </c>
      <c r="AK513">
        <v>11</v>
      </c>
      <c r="AL513" t="s">
        <v>178</v>
      </c>
      <c r="AM513" t="s">
        <v>179</v>
      </c>
      <c r="AN513" t="s">
        <v>180</v>
      </c>
      <c r="AO513" t="s">
        <v>10391</v>
      </c>
      <c r="AP513" t="s">
        <v>10392</v>
      </c>
      <c r="AQ513" t="s">
        <v>74</v>
      </c>
      <c r="AR513" t="s">
        <v>10393</v>
      </c>
      <c r="AS513" t="s">
        <v>10394</v>
      </c>
      <c r="AT513" t="s">
        <v>352</v>
      </c>
      <c r="AU513">
        <v>2023</v>
      </c>
      <c r="AV513">
        <v>33</v>
      </c>
      <c r="AW513">
        <v>2</v>
      </c>
      <c r="AX513" t="s">
        <v>74</v>
      </c>
      <c r="AY513" t="s">
        <v>74</v>
      </c>
      <c r="AZ513" t="s">
        <v>186</v>
      </c>
      <c r="BA513" t="s">
        <v>74</v>
      </c>
      <c r="BB513">
        <v>349</v>
      </c>
      <c r="BC513">
        <v>374</v>
      </c>
      <c r="BD513" t="s">
        <v>74</v>
      </c>
      <c r="BE513" t="s">
        <v>10395</v>
      </c>
      <c r="BF513" t="str">
        <f>HYPERLINK("http://dx.doi.org/10.1007/s11160-022-09719-6","http://dx.doi.org/10.1007/s11160-022-09719-6")</f>
        <v>http://dx.doi.org/10.1007/s11160-022-09719-6</v>
      </c>
      <c r="BG513" t="s">
        <v>74</v>
      </c>
      <c r="BH513" t="s">
        <v>7628</v>
      </c>
      <c r="BI513">
        <v>26</v>
      </c>
      <c r="BJ513" t="s">
        <v>1193</v>
      </c>
      <c r="BK513" t="s">
        <v>100</v>
      </c>
      <c r="BL513" t="s">
        <v>1193</v>
      </c>
      <c r="BM513" t="s">
        <v>10396</v>
      </c>
      <c r="BN513">
        <v>35968251</v>
      </c>
      <c r="BO513" t="s">
        <v>10397</v>
      </c>
      <c r="BP513" t="s">
        <v>74</v>
      </c>
      <c r="BQ513" t="s">
        <v>74</v>
      </c>
      <c r="BR513" t="s">
        <v>103</v>
      </c>
      <c r="BS513" t="s">
        <v>10398</v>
      </c>
      <c r="BT513" t="str">
        <f>HYPERLINK("https%3A%2F%2Fwww.webofscience.com%2Fwos%2Fwoscc%2Ffull-record%2FWOS:000836494600001","View Full Record in Web of Science")</f>
        <v>View Full Record in Web of Science</v>
      </c>
    </row>
    <row r="514" spans="1:72" x14ac:dyDescent="0.15">
      <c r="A514" t="s">
        <v>72</v>
      </c>
      <c r="B514" t="s">
        <v>10399</v>
      </c>
      <c r="C514" t="s">
        <v>74</v>
      </c>
      <c r="D514" t="s">
        <v>74</v>
      </c>
      <c r="E514" t="s">
        <v>74</v>
      </c>
      <c r="F514" t="s">
        <v>10400</v>
      </c>
      <c r="G514" t="s">
        <v>74</v>
      </c>
      <c r="H514" t="s">
        <v>74</v>
      </c>
      <c r="I514" t="s">
        <v>10401</v>
      </c>
      <c r="J514" t="s">
        <v>2448</v>
      </c>
      <c r="K514" t="s">
        <v>74</v>
      </c>
      <c r="L514" t="s">
        <v>74</v>
      </c>
      <c r="M514" t="s">
        <v>78</v>
      </c>
      <c r="N514" t="s">
        <v>79</v>
      </c>
      <c r="O514" t="s">
        <v>74</v>
      </c>
      <c r="P514" t="s">
        <v>74</v>
      </c>
      <c r="Q514" t="s">
        <v>74</v>
      </c>
      <c r="R514" t="s">
        <v>74</v>
      </c>
      <c r="S514" t="s">
        <v>74</v>
      </c>
      <c r="T514" t="s">
        <v>74</v>
      </c>
      <c r="U514" t="s">
        <v>10402</v>
      </c>
      <c r="V514" t="s">
        <v>10403</v>
      </c>
      <c r="W514" t="s">
        <v>10404</v>
      </c>
      <c r="X514" t="s">
        <v>6097</v>
      </c>
      <c r="Y514" t="s">
        <v>10405</v>
      </c>
      <c r="Z514" t="s">
        <v>10406</v>
      </c>
      <c r="AA514" t="s">
        <v>10407</v>
      </c>
      <c r="AB514" t="s">
        <v>10408</v>
      </c>
      <c r="AC514" t="s">
        <v>10409</v>
      </c>
      <c r="AD514" t="s">
        <v>10410</v>
      </c>
      <c r="AE514" t="s">
        <v>10411</v>
      </c>
      <c r="AF514" t="s">
        <v>74</v>
      </c>
      <c r="AG514">
        <v>67</v>
      </c>
      <c r="AH514">
        <v>10</v>
      </c>
      <c r="AI514">
        <v>12</v>
      </c>
      <c r="AJ514">
        <v>4</v>
      </c>
      <c r="AK514">
        <v>37</v>
      </c>
      <c r="AL514" t="s">
        <v>2460</v>
      </c>
      <c r="AM514" t="s">
        <v>2461</v>
      </c>
      <c r="AN514" t="s">
        <v>2462</v>
      </c>
      <c r="AO514" t="s">
        <v>2463</v>
      </c>
      <c r="AP514" t="s">
        <v>2464</v>
      </c>
      <c r="AQ514" t="s">
        <v>74</v>
      </c>
      <c r="AR514" t="s">
        <v>2448</v>
      </c>
      <c r="AS514" t="s">
        <v>2465</v>
      </c>
      <c r="AT514" t="s">
        <v>10314</v>
      </c>
      <c r="AU514">
        <v>2022</v>
      </c>
      <c r="AV514">
        <v>19</v>
      </c>
      <c r="AW514">
        <v>15</v>
      </c>
      <c r="AX514" t="s">
        <v>74</v>
      </c>
      <c r="AY514" t="s">
        <v>74</v>
      </c>
      <c r="AZ514" t="s">
        <v>74</v>
      </c>
      <c r="BA514" t="s">
        <v>74</v>
      </c>
      <c r="BB514">
        <v>3683</v>
      </c>
      <c r="BC514">
        <v>3697</v>
      </c>
      <c r="BD514" t="s">
        <v>74</v>
      </c>
      <c r="BE514" t="s">
        <v>10412</v>
      </c>
      <c r="BF514" t="str">
        <f>HYPERLINK("http://dx.doi.org/10.5194/bg-19-3683-2022","http://dx.doi.org/10.5194/bg-19-3683-2022")</f>
        <v>http://dx.doi.org/10.5194/bg-19-3683-2022</v>
      </c>
      <c r="BG514" t="s">
        <v>74</v>
      </c>
      <c r="BH514" t="s">
        <v>74</v>
      </c>
      <c r="BI514">
        <v>15</v>
      </c>
      <c r="BJ514" t="s">
        <v>2467</v>
      </c>
      <c r="BK514" t="s">
        <v>100</v>
      </c>
      <c r="BL514" t="s">
        <v>1219</v>
      </c>
      <c r="BM514" t="s">
        <v>10413</v>
      </c>
      <c r="BN514" t="s">
        <v>74</v>
      </c>
      <c r="BO514" t="s">
        <v>1195</v>
      </c>
      <c r="BP514" t="s">
        <v>74</v>
      </c>
      <c r="BQ514" t="s">
        <v>74</v>
      </c>
      <c r="BR514" t="s">
        <v>103</v>
      </c>
      <c r="BS514" t="s">
        <v>10414</v>
      </c>
      <c r="BT514" t="str">
        <f>HYPERLINK("https%3A%2F%2Fwww.webofscience.com%2Fwos%2Fwoscc%2Ffull-record%2FWOS:000836326600001","View Full Record in Web of Science")</f>
        <v>View Full Record in Web of Science</v>
      </c>
    </row>
    <row r="515" spans="1:72" x14ac:dyDescent="0.15">
      <c r="A515" t="s">
        <v>72</v>
      </c>
      <c r="B515" t="s">
        <v>10415</v>
      </c>
      <c r="C515" t="s">
        <v>74</v>
      </c>
      <c r="D515" t="s">
        <v>74</v>
      </c>
      <c r="E515" t="s">
        <v>74</v>
      </c>
      <c r="F515" t="s">
        <v>10416</v>
      </c>
      <c r="G515" t="s">
        <v>74</v>
      </c>
      <c r="H515" t="s">
        <v>74</v>
      </c>
      <c r="I515" t="s">
        <v>10417</v>
      </c>
      <c r="J515" t="s">
        <v>4327</v>
      </c>
      <c r="K515" t="s">
        <v>74</v>
      </c>
      <c r="L515" t="s">
        <v>74</v>
      </c>
      <c r="M515" t="s">
        <v>78</v>
      </c>
      <c r="N515" t="s">
        <v>79</v>
      </c>
      <c r="O515" t="s">
        <v>74</v>
      </c>
      <c r="P515" t="s">
        <v>74</v>
      </c>
      <c r="Q515" t="s">
        <v>74</v>
      </c>
      <c r="R515" t="s">
        <v>74</v>
      </c>
      <c r="S515" t="s">
        <v>74</v>
      </c>
      <c r="T515" t="s">
        <v>10418</v>
      </c>
      <c r="U515" t="s">
        <v>10419</v>
      </c>
      <c r="V515" t="s">
        <v>10420</v>
      </c>
      <c r="W515" t="s">
        <v>10421</v>
      </c>
      <c r="X515" t="s">
        <v>10422</v>
      </c>
      <c r="Y515" t="s">
        <v>10423</v>
      </c>
      <c r="Z515" t="s">
        <v>10424</v>
      </c>
      <c r="AA515" t="s">
        <v>10425</v>
      </c>
      <c r="AB515" t="s">
        <v>10426</v>
      </c>
      <c r="AC515" t="s">
        <v>10427</v>
      </c>
      <c r="AD515" t="s">
        <v>10428</v>
      </c>
      <c r="AE515" t="s">
        <v>10429</v>
      </c>
      <c r="AF515" t="s">
        <v>74</v>
      </c>
      <c r="AG515">
        <v>87</v>
      </c>
      <c r="AH515">
        <v>0</v>
      </c>
      <c r="AI515">
        <v>0</v>
      </c>
      <c r="AJ515">
        <v>1</v>
      </c>
      <c r="AK515">
        <v>8</v>
      </c>
      <c r="AL515" t="s">
        <v>178</v>
      </c>
      <c r="AM515" t="s">
        <v>450</v>
      </c>
      <c r="AN515" t="s">
        <v>668</v>
      </c>
      <c r="AO515" t="s">
        <v>4340</v>
      </c>
      <c r="AP515" t="s">
        <v>4341</v>
      </c>
      <c r="AQ515" t="s">
        <v>74</v>
      </c>
      <c r="AR515" t="s">
        <v>4342</v>
      </c>
      <c r="AS515" t="s">
        <v>4343</v>
      </c>
      <c r="AT515" t="s">
        <v>5386</v>
      </c>
      <c r="AU515">
        <v>2022</v>
      </c>
      <c r="AV515">
        <v>45</v>
      </c>
      <c r="AW515">
        <v>8</v>
      </c>
      <c r="AX515" t="s">
        <v>74</v>
      </c>
      <c r="AY515" t="s">
        <v>74</v>
      </c>
      <c r="AZ515" t="s">
        <v>74</v>
      </c>
      <c r="BA515" t="s">
        <v>74</v>
      </c>
      <c r="BB515">
        <v>1363</v>
      </c>
      <c r="BC515">
        <v>1378</v>
      </c>
      <c r="BD515" t="s">
        <v>74</v>
      </c>
      <c r="BE515" t="s">
        <v>10430</v>
      </c>
      <c r="BF515" t="str">
        <f>HYPERLINK("http://dx.doi.org/10.1007/s00300-022-03073-w","http://dx.doi.org/10.1007/s00300-022-03073-w")</f>
        <v>http://dx.doi.org/10.1007/s00300-022-03073-w</v>
      </c>
      <c r="BG515" t="s">
        <v>74</v>
      </c>
      <c r="BH515" t="s">
        <v>7628</v>
      </c>
      <c r="BI515">
        <v>16</v>
      </c>
      <c r="BJ515" t="s">
        <v>1169</v>
      </c>
      <c r="BK515" t="s">
        <v>100</v>
      </c>
      <c r="BL515" t="s">
        <v>1170</v>
      </c>
      <c r="BM515" t="s">
        <v>7747</v>
      </c>
      <c r="BN515" t="s">
        <v>74</v>
      </c>
      <c r="BO515" t="s">
        <v>2512</v>
      </c>
      <c r="BP515" t="s">
        <v>74</v>
      </c>
      <c r="BQ515" t="s">
        <v>74</v>
      </c>
      <c r="BR515" t="s">
        <v>103</v>
      </c>
      <c r="BS515" t="s">
        <v>10431</v>
      </c>
      <c r="BT515" t="str">
        <f>HYPERLINK("https%3A%2F%2Fwww.webofscience.com%2Fwos%2Fwoscc%2Ffull-record%2FWOS:000836697900001","View Full Record in Web of Science")</f>
        <v>View Full Record in Web of Science</v>
      </c>
    </row>
    <row r="516" spans="1:72" x14ac:dyDescent="0.15">
      <c r="A516" t="s">
        <v>72</v>
      </c>
      <c r="B516" t="s">
        <v>10432</v>
      </c>
      <c r="C516" t="s">
        <v>74</v>
      </c>
      <c r="D516" t="s">
        <v>74</v>
      </c>
      <c r="E516" t="s">
        <v>74</v>
      </c>
      <c r="F516" t="s">
        <v>10433</v>
      </c>
      <c r="G516" t="s">
        <v>74</v>
      </c>
      <c r="H516" t="s">
        <v>74</v>
      </c>
      <c r="I516" t="s">
        <v>10434</v>
      </c>
      <c r="J516" t="s">
        <v>4169</v>
      </c>
      <c r="K516" t="s">
        <v>74</v>
      </c>
      <c r="L516" t="s">
        <v>74</v>
      </c>
      <c r="M516" t="s">
        <v>78</v>
      </c>
      <c r="N516" t="s">
        <v>79</v>
      </c>
      <c r="O516" t="s">
        <v>74</v>
      </c>
      <c r="P516" t="s">
        <v>74</v>
      </c>
      <c r="Q516" t="s">
        <v>74</v>
      </c>
      <c r="R516" t="s">
        <v>74</v>
      </c>
      <c r="S516" t="s">
        <v>74</v>
      </c>
      <c r="T516" t="s">
        <v>74</v>
      </c>
      <c r="U516" t="s">
        <v>10435</v>
      </c>
      <c r="V516" t="s">
        <v>10436</v>
      </c>
      <c r="W516" t="s">
        <v>10437</v>
      </c>
      <c r="X516" t="s">
        <v>10438</v>
      </c>
      <c r="Y516" t="s">
        <v>10439</v>
      </c>
      <c r="Z516" t="s">
        <v>10440</v>
      </c>
      <c r="AA516" t="s">
        <v>10441</v>
      </c>
      <c r="AB516" t="s">
        <v>10442</v>
      </c>
      <c r="AC516" t="s">
        <v>10443</v>
      </c>
      <c r="AD516" t="s">
        <v>10444</v>
      </c>
      <c r="AE516" t="s">
        <v>10445</v>
      </c>
      <c r="AF516" t="s">
        <v>74</v>
      </c>
      <c r="AG516">
        <v>97</v>
      </c>
      <c r="AH516">
        <v>2</v>
      </c>
      <c r="AI516">
        <v>2</v>
      </c>
      <c r="AJ516">
        <v>4</v>
      </c>
      <c r="AK516">
        <v>14</v>
      </c>
      <c r="AL516" t="s">
        <v>421</v>
      </c>
      <c r="AM516" t="s">
        <v>422</v>
      </c>
      <c r="AN516" t="s">
        <v>423</v>
      </c>
      <c r="AO516" t="s">
        <v>4178</v>
      </c>
      <c r="AP516" t="s">
        <v>74</v>
      </c>
      <c r="AQ516" t="s">
        <v>74</v>
      </c>
      <c r="AR516" t="s">
        <v>4169</v>
      </c>
      <c r="AS516" t="s">
        <v>4179</v>
      </c>
      <c r="AT516" t="s">
        <v>10446</v>
      </c>
      <c r="AU516">
        <v>2022</v>
      </c>
      <c r="AV516">
        <v>17</v>
      </c>
      <c r="AW516">
        <v>8</v>
      </c>
      <c r="AX516" t="s">
        <v>74</v>
      </c>
      <c r="AY516" t="s">
        <v>74</v>
      </c>
      <c r="AZ516" t="s">
        <v>74</v>
      </c>
      <c r="BA516" t="s">
        <v>74</v>
      </c>
      <c r="BB516" t="s">
        <v>74</v>
      </c>
      <c r="BC516" t="s">
        <v>74</v>
      </c>
      <c r="BD516" t="s">
        <v>10447</v>
      </c>
      <c r="BE516" t="s">
        <v>10448</v>
      </c>
      <c r="BF516" t="str">
        <f>HYPERLINK("http://dx.doi.org/10.1371/journal.pone.0265849","http://dx.doi.org/10.1371/journal.pone.0265849")</f>
        <v>http://dx.doi.org/10.1371/journal.pone.0265849</v>
      </c>
      <c r="BG516" t="s">
        <v>74</v>
      </c>
      <c r="BH516" t="s">
        <v>74</v>
      </c>
      <c r="BI516">
        <v>21</v>
      </c>
      <c r="BJ516" t="s">
        <v>156</v>
      </c>
      <c r="BK516" t="s">
        <v>100</v>
      </c>
      <c r="BL516" t="s">
        <v>157</v>
      </c>
      <c r="BM516" t="s">
        <v>10449</v>
      </c>
      <c r="BN516">
        <v>35925903</v>
      </c>
      <c r="BO516" t="s">
        <v>5348</v>
      </c>
      <c r="BP516" t="s">
        <v>74</v>
      </c>
      <c r="BQ516" t="s">
        <v>74</v>
      </c>
      <c r="BR516" t="s">
        <v>103</v>
      </c>
      <c r="BS516" t="s">
        <v>10450</v>
      </c>
      <c r="BT516" t="str">
        <f>HYPERLINK("https%3A%2F%2Fwww.webofscience.com%2Fwos%2Fwoscc%2Ffull-record%2FWOS:000848077100002","View Full Record in Web of Science")</f>
        <v>View Full Record in Web of Science</v>
      </c>
    </row>
    <row r="517" spans="1:72" x14ac:dyDescent="0.15">
      <c r="A517" t="s">
        <v>72</v>
      </c>
      <c r="B517" t="s">
        <v>10451</v>
      </c>
      <c r="C517" t="s">
        <v>74</v>
      </c>
      <c r="D517" t="s">
        <v>74</v>
      </c>
      <c r="E517" t="s">
        <v>74</v>
      </c>
      <c r="F517" t="s">
        <v>10452</v>
      </c>
      <c r="G517" t="s">
        <v>74</v>
      </c>
      <c r="H517" t="s">
        <v>74</v>
      </c>
      <c r="I517" t="s">
        <v>10453</v>
      </c>
      <c r="J517" t="s">
        <v>5700</v>
      </c>
      <c r="K517" t="s">
        <v>74</v>
      </c>
      <c r="L517" t="s">
        <v>74</v>
      </c>
      <c r="M517" t="s">
        <v>78</v>
      </c>
      <c r="N517" t="s">
        <v>79</v>
      </c>
      <c r="O517" t="s">
        <v>74</v>
      </c>
      <c r="P517" t="s">
        <v>74</v>
      </c>
      <c r="Q517" t="s">
        <v>74</v>
      </c>
      <c r="R517" t="s">
        <v>74</v>
      </c>
      <c r="S517" t="s">
        <v>74</v>
      </c>
      <c r="T517" t="s">
        <v>10454</v>
      </c>
      <c r="U517" t="s">
        <v>10455</v>
      </c>
      <c r="V517" t="s">
        <v>10456</v>
      </c>
      <c r="W517" t="s">
        <v>10457</v>
      </c>
      <c r="X517" t="s">
        <v>10458</v>
      </c>
      <c r="Y517" t="s">
        <v>10459</v>
      </c>
      <c r="Z517" t="s">
        <v>10460</v>
      </c>
      <c r="AA517" t="s">
        <v>10461</v>
      </c>
      <c r="AB517" t="s">
        <v>10462</v>
      </c>
      <c r="AC517" t="s">
        <v>10463</v>
      </c>
      <c r="AD517" t="s">
        <v>10464</v>
      </c>
      <c r="AE517" t="s">
        <v>10465</v>
      </c>
      <c r="AF517" t="s">
        <v>74</v>
      </c>
      <c r="AG517">
        <v>42</v>
      </c>
      <c r="AH517">
        <v>1</v>
      </c>
      <c r="AI517">
        <v>3</v>
      </c>
      <c r="AJ517">
        <v>0</v>
      </c>
      <c r="AK517">
        <v>8</v>
      </c>
      <c r="AL517" t="s">
        <v>2275</v>
      </c>
      <c r="AM517" t="s">
        <v>90</v>
      </c>
      <c r="AN517" t="s">
        <v>2276</v>
      </c>
      <c r="AO517" t="s">
        <v>5710</v>
      </c>
      <c r="AP517" t="s">
        <v>5711</v>
      </c>
      <c r="AQ517" t="s">
        <v>74</v>
      </c>
      <c r="AR517" t="s">
        <v>5712</v>
      </c>
      <c r="AS517" t="s">
        <v>5713</v>
      </c>
      <c r="AT517" t="s">
        <v>5386</v>
      </c>
      <c r="AU517">
        <v>2022</v>
      </c>
      <c r="AV517">
        <v>202</v>
      </c>
      <c r="AW517" t="s">
        <v>74</v>
      </c>
      <c r="AX517" t="s">
        <v>74</v>
      </c>
      <c r="AY517" t="s">
        <v>74</v>
      </c>
      <c r="AZ517" t="s">
        <v>74</v>
      </c>
      <c r="BA517" t="s">
        <v>74</v>
      </c>
      <c r="BB517" t="s">
        <v>74</v>
      </c>
      <c r="BC517" t="s">
        <v>74</v>
      </c>
      <c r="BD517">
        <v>105149</v>
      </c>
      <c r="BE517" t="s">
        <v>10466</v>
      </c>
      <c r="BF517" t="str">
        <f>HYPERLINK("http://dx.doi.org/10.1016/j.dsr2.2022.105149","http://dx.doi.org/10.1016/j.dsr2.2022.105149")</f>
        <v>http://dx.doi.org/10.1016/j.dsr2.2022.105149</v>
      </c>
      <c r="BG517" t="s">
        <v>74</v>
      </c>
      <c r="BH517" t="s">
        <v>7628</v>
      </c>
      <c r="BI517">
        <v>9</v>
      </c>
      <c r="BJ517" t="s">
        <v>674</v>
      </c>
      <c r="BK517" t="s">
        <v>100</v>
      </c>
      <c r="BL517" t="s">
        <v>674</v>
      </c>
      <c r="BM517" t="s">
        <v>10467</v>
      </c>
      <c r="BN517" t="s">
        <v>74</v>
      </c>
      <c r="BO517" t="s">
        <v>831</v>
      </c>
      <c r="BP517" t="s">
        <v>74</v>
      </c>
      <c r="BQ517" t="s">
        <v>74</v>
      </c>
      <c r="BR517" t="s">
        <v>103</v>
      </c>
      <c r="BS517" t="s">
        <v>10468</v>
      </c>
      <c r="BT517" t="str">
        <f>HYPERLINK("https%3A%2F%2Fwww.webofscience.com%2Fwos%2Fwoscc%2Ffull-record%2FWOS:000842124900004","View Full Record in Web of Science")</f>
        <v>View Full Record in Web of Science</v>
      </c>
    </row>
    <row r="518" spans="1:72" x14ac:dyDescent="0.15">
      <c r="A518" t="s">
        <v>72</v>
      </c>
      <c r="B518" t="s">
        <v>10469</v>
      </c>
      <c r="C518" t="s">
        <v>74</v>
      </c>
      <c r="D518" t="s">
        <v>74</v>
      </c>
      <c r="E518" t="s">
        <v>74</v>
      </c>
      <c r="F518" t="s">
        <v>10470</v>
      </c>
      <c r="G518" t="s">
        <v>74</v>
      </c>
      <c r="H518" t="s">
        <v>74</v>
      </c>
      <c r="I518" t="s">
        <v>10471</v>
      </c>
      <c r="J518" t="s">
        <v>247</v>
      </c>
      <c r="K518" t="s">
        <v>74</v>
      </c>
      <c r="L518" t="s">
        <v>74</v>
      </c>
      <c r="M518" t="s">
        <v>78</v>
      </c>
      <c r="N518" t="s">
        <v>79</v>
      </c>
      <c r="O518" t="s">
        <v>74</v>
      </c>
      <c r="P518" t="s">
        <v>74</v>
      </c>
      <c r="Q518" t="s">
        <v>74</v>
      </c>
      <c r="R518" t="s">
        <v>74</v>
      </c>
      <c r="S518" t="s">
        <v>74</v>
      </c>
      <c r="T518" t="s">
        <v>10472</v>
      </c>
      <c r="U518" t="s">
        <v>10473</v>
      </c>
      <c r="V518" t="s">
        <v>10474</v>
      </c>
      <c r="W518" t="s">
        <v>10475</v>
      </c>
      <c r="X518" t="s">
        <v>10476</v>
      </c>
      <c r="Y518" t="s">
        <v>10477</v>
      </c>
      <c r="Z518" t="s">
        <v>10478</v>
      </c>
      <c r="AA518" t="s">
        <v>10479</v>
      </c>
      <c r="AB518" t="s">
        <v>10480</v>
      </c>
      <c r="AC518" t="s">
        <v>10481</v>
      </c>
      <c r="AD518" t="s">
        <v>10482</v>
      </c>
      <c r="AE518" t="s">
        <v>10483</v>
      </c>
      <c r="AF518" t="s">
        <v>74</v>
      </c>
      <c r="AG518">
        <v>126</v>
      </c>
      <c r="AH518">
        <v>2</v>
      </c>
      <c r="AI518">
        <v>2</v>
      </c>
      <c r="AJ518">
        <v>4</v>
      </c>
      <c r="AK518">
        <v>21</v>
      </c>
      <c r="AL518" t="s">
        <v>121</v>
      </c>
      <c r="AM518" t="s">
        <v>122</v>
      </c>
      <c r="AN518" t="s">
        <v>123</v>
      </c>
      <c r="AO518" t="s">
        <v>74</v>
      </c>
      <c r="AP518" t="s">
        <v>258</v>
      </c>
      <c r="AQ518" t="s">
        <v>74</v>
      </c>
      <c r="AR518" t="s">
        <v>259</v>
      </c>
      <c r="AS518" t="s">
        <v>260</v>
      </c>
      <c r="AT518" t="s">
        <v>10446</v>
      </c>
      <c r="AU518">
        <v>2022</v>
      </c>
      <c r="AV518">
        <v>9</v>
      </c>
      <c r="AW518" t="s">
        <v>74</v>
      </c>
      <c r="AX518" t="s">
        <v>74</v>
      </c>
      <c r="AY518" t="s">
        <v>74</v>
      </c>
      <c r="AZ518" t="s">
        <v>74</v>
      </c>
      <c r="BA518" t="s">
        <v>74</v>
      </c>
      <c r="BB518" t="s">
        <v>74</v>
      </c>
      <c r="BC518" t="s">
        <v>74</v>
      </c>
      <c r="BD518">
        <v>948772</v>
      </c>
      <c r="BE518" t="s">
        <v>10484</v>
      </c>
      <c r="BF518" t="str">
        <f>HYPERLINK("http://dx.doi.org/10.3389/fmars.2022.948772","http://dx.doi.org/10.3389/fmars.2022.948772")</f>
        <v>http://dx.doi.org/10.3389/fmars.2022.948772</v>
      </c>
      <c r="BG518" t="s">
        <v>74</v>
      </c>
      <c r="BH518" t="s">
        <v>74</v>
      </c>
      <c r="BI518">
        <v>17</v>
      </c>
      <c r="BJ518" t="s">
        <v>263</v>
      </c>
      <c r="BK518" t="s">
        <v>100</v>
      </c>
      <c r="BL518" t="s">
        <v>264</v>
      </c>
      <c r="BM518" t="s">
        <v>10485</v>
      </c>
      <c r="BN518" t="s">
        <v>74</v>
      </c>
      <c r="BO518" t="s">
        <v>132</v>
      </c>
      <c r="BP518" t="s">
        <v>74</v>
      </c>
      <c r="BQ518" t="s">
        <v>74</v>
      </c>
      <c r="BR518" t="s">
        <v>103</v>
      </c>
      <c r="BS518" t="s">
        <v>10486</v>
      </c>
      <c r="BT518" t="str">
        <f>HYPERLINK("https%3A%2F%2Fwww.webofscience.com%2Fwos%2Fwoscc%2Ffull-record%2FWOS:000843217100001","View Full Record in Web of Science")</f>
        <v>View Full Record in Web of Science</v>
      </c>
    </row>
    <row r="519" spans="1:72" x14ac:dyDescent="0.15">
      <c r="A519" t="s">
        <v>72</v>
      </c>
      <c r="B519" t="s">
        <v>10487</v>
      </c>
      <c r="C519" t="s">
        <v>74</v>
      </c>
      <c r="D519" t="s">
        <v>74</v>
      </c>
      <c r="E519" t="s">
        <v>74</v>
      </c>
      <c r="F519" t="s">
        <v>10488</v>
      </c>
      <c r="G519" t="s">
        <v>74</v>
      </c>
      <c r="H519" t="s">
        <v>74</v>
      </c>
      <c r="I519" t="s">
        <v>10489</v>
      </c>
      <c r="J519" t="s">
        <v>5700</v>
      </c>
      <c r="K519" t="s">
        <v>74</v>
      </c>
      <c r="L519" t="s">
        <v>74</v>
      </c>
      <c r="M519" t="s">
        <v>78</v>
      </c>
      <c r="N519" t="s">
        <v>79</v>
      </c>
      <c r="O519" t="s">
        <v>74</v>
      </c>
      <c r="P519" t="s">
        <v>74</v>
      </c>
      <c r="Q519" t="s">
        <v>74</v>
      </c>
      <c r="R519" t="s">
        <v>74</v>
      </c>
      <c r="S519" t="s">
        <v>74</v>
      </c>
      <c r="T519" t="s">
        <v>10490</v>
      </c>
      <c r="U519" t="s">
        <v>10491</v>
      </c>
      <c r="V519" t="s">
        <v>10492</v>
      </c>
      <c r="W519" t="s">
        <v>10493</v>
      </c>
      <c r="X519" t="s">
        <v>10494</v>
      </c>
      <c r="Y519" t="s">
        <v>10495</v>
      </c>
      <c r="Z519" t="s">
        <v>10496</v>
      </c>
      <c r="AA519" t="s">
        <v>10497</v>
      </c>
      <c r="AB519" t="s">
        <v>74</v>
      </c>
      <c r="AC519" t="s">
        <v>10498</v>
      </c>
      <c r="AD519" t="s">
        <v>10499</v>
      </c>
      <c r="AE519" t="s">
        <v>10500</v>
      </c>
      <c r="AF519" t="s">
        <v>74</v>
      </c>
      <c r="AG519">
        <v>65</v>
      </c>
      <c r="AH519">
        <v>2</v>
      </c>
      <c r="AI519">
        <v>2</v>
      </c>
      <c r="AJ519">
        <v>1</v>
      </c>
      <c r="AK519">
        <v>25</v>
      </c>
      <c r="AL519" t="s">
        <v>2275</v>
      </c>
      <c r="AM519" t="s">
        <v>90</v>
      </c>
      <c r="AN519" t="s">
        <v>2276</v>
      </c>
      <c r="AO519" t="s">
        <v>5710</v>
      </c>
      <c r="AP519" t="s">
        <v>5711</v>
      </c>
      <c r="AQ519" t="s">
        <v>74</v>
      </c>
      <c r="AR519" t="s">
        <v>5712</v>
      </c>
      <c r="AS519" t="s">
        <v>5713</v>
      </c>
      <c r="AT519" t="s">
        <v>5386</v>
      </c>
      <c r="AU519">
        <v>2022</v>
      </c>
      <c r="AV519">
        <v>202</v>
      </c>
      <c r="AW519" t="s">
        <v>74</v>
      </c>
      <c r="AX519" t="s">
        <v>74</v>
      </c>
      <c r="AY519" t="s">
        <v>74</v>
      </c>
      <c r="AZ519" t="s">
        <v>74</v>
      </c>
      <c r="BA519" t="s">
        <v>74</v>
      </c>
      <c r="BB519" t="s">
        <v>74</v>
      </c>
      <c r="BC519" t="s">
        <v>74</v>
      </c>
      <c r="BD519">
        <v>105107</v>
      </c>
      <c r="BE519" t="s">
        <v>10501</v>
      </c>
      <c r="BF519" t="str">
        <f>HYPERLINK("http://dx.doi.org/10.1016/j.dsr2.2022.105107","http://dx.doi.org/10.1016/j.dsr2.2022.105107")</f>
        <v>http://dx.doi.org/10.1016/j.dsr2.2022.105107</v>
      </c>
      <c r="BG519" t="s">
        <v>74</v>
      </c>
      <c r="BH519" t="s">
        <v>7628</v>
      </c>
      <c r="BI519">
        <v>12</v>
      </c>
      <c r="BJ519" t="s">
        <v>674</v>
      </c>
      <c r="BK519" t="s">
        <v>100</v>
      </c>
      <c r="BL519" t="s">
        <v>674</v>
      </c>
      <c r="BM519" t="s">
        <v>10502</v>
      </c>
      <c r="BN519" t="s">
        <v>74</v>
      </c>
      <c r="BO519" t="s">
        <v>74</v>
      </c>
      <c r="BP519" t="s">
        <v>74</v>
      </c>
      <c r="BQ519" t="s">
        <v>74</v>
      </c>
      <c r="BR519" t="s">
        <v>103</v>
      </c>
      <c r="BS519" t="s">
        <v>10503</v>
      </c>
      <c r="BT519" t="str">
        <f>HYPERLINK("https%3A%2F%2Fwww.webofscience.com%2Fwos%2Fwoscc%2Ffull-record%2FWOS:000840796200003","View Full Record in Web of Science")</f>
        <v>View Full Record in Web of Science</v>
      </c>
    </row>
    <row r="520" spans="1:72" x14ac:dyDescent="0.15">
      <c r="A520" t="s">
        <v>72</v>
      </c>
      <c r="B520" t="s">
        <v>10504</v>
      </c>
      <c r="C520" t="s">
        <v>74</v>
      </c>
      <c r="D520" t="s">
        <v>74</v>
      </c>
      <c r="E520" t="s">
        <v>74</v>
      </c>
      <c r="F520" t="s">
        <v>10505</v>
      </c>
      <c r="G520" t="s">
        <v>74</v>
      </c>
      <c r="H520" t="s">
        <v>74</v>
      </c>
      <c r="I520" t="s">
        <v>10506</v>
      </c>
      <c r="J520" t="s">
        <v>5700</v>
      </c>
      <c r="K520" t="s">
        <v>74</v>
      </c>
      <c r="L520" t="s">
        <v>74</v>
      </c>
      <c r="M520" t="s">
        <v>78</v>
      </c>
      <c r="N520" t="s">
        <v>79</v>
      </c>
      <c r="O520" t="s">
        <v>74</v>
      </c>
      <c r="P520" t="s">
        <v>74</v>
      </c>
      <c r="Q520" t="s">
        <v>74</v>
      </c>
      <c r="R520" t="s">
        <v>74</v>
      </c>
      <c r="S520" t="s">
        <v>74</v>
      </c>
      <c r="T520" t="s">
        <v>10507</v>
      </c>
      <c r="U520" t="s">
        <v>10508</v>
      </c>
      <c r="V520" t="s">
        <v>10509</v>
      </c>
      <c r="W520" t="s">
        <v>10510</v>
      </c>
      <c r="X520" t="s">
        <v>10511</v>
      </c>
      <c r="Y520" t="s">
        <v>10512</v>
      </c>
      <c r="Z520" t="s">
        <v>10513</v>
      </c>
      <c r="AA520" t="s">
        <v>10514</v>
      </c>
      <c r="AB520" t="s">
        <v>10515</v>
      </c>
      <c r="AC520" t="s">
        <v>10516</v>
      </c>
      <c r="AD520" t="s">
        <v>10517</v>
      </c>
      <c r="AE520" t="s">
        <v>10518</v>
      </c>
      <c r="AF520" t="s">
        <v>74</v>
      </c>
      <c r="AG520">
        <v>56</v>
      </c>
      <c r="AH520">
        <v>0</v>
      </c>
      <c r="AI520">
        <v>3</v>
      </c>
      <c r="AJ520">
        <v>5</v>
      </c>
      <c r="AK520">
        <v>13</v>
      </c>
      <c r="AL520" t="s">
        <v>2275</v>
      </c>
      <c r="AM520" t="s">
        <v>90</v>
      </c>
      <c r="AN520" t="s">
        <v>2276</v>
      </c>
      <c r="AO520" t="s">
        <v>5710</v>
      </c>
      <c r="AP520" t="s">
        <v>5711</v>
      </c>
      <c r="AQ520" t="s">
        <v>74</v>
      </c>
      <c r="AR520" t="s">
        <v>5712</v>
      </c>
      <c r="AS520" t="s">
        <v>5713</v>
      </c>
      <c r="AT520" t="s">
        <v>5386</v>
      </c>
      <c r="AU520">
        <v>2022</v>
      </c>
      <c r="AV520">
        <v>202</v>
      </c>
      <c r="AW520" t="s">
        <v>74</v>
      </c>
      <c r="AX520" t="s">
        <v>74</v>
      </c>
      <c r="AY520" t="s">
        <v>74</v>
      </c>
      <c r="AZ520" t="s">
        <v>74</v>
      </c>
      <c r="BA520" t="s">
        <v>74</v>
      </c>
      <c r="BB520" t="s">
        <v>74</v>
      </c>
      <c r="BC520" t="s">
        <v>74</v>
      </c>
      <c r="BD520">
        <v>105140</v>
      </c>
      <c r="BE520" t="s">
        <v>10519</v>
      </c>
      <c r="BF520" t="str">
        <f>HYPERLINK("http://dx.doi.org/10.1016/j.dsr2.2022.105140","http://dx.doi.org/10.1016/j.dsr2.2022.105140")</f>
        <v>http://dx.doi.org/10.1016/j.dsr2.2022.105140</v>
      </c>
      <c r="BG520" t="s">
        <v>74</v>
      </c>
      <c r="BH520" t="s">
        <v>7628</v>
      </c>
      <c r="BI520">
        <v>11</v>
      </c>
      <c r="BJ520" t="s">
        <v>674</v>
      </c>
      <c r="BK520" t="s">
        <v>100</v>
      </c>
      <c r="BL520" t="s">
        <v>674</v>
      </c>
      <c r="BM520" t="s">
        <v>10502</v>
      </c>
      <c r="BN520" t="s">
        <v>74</v>
      </c>
      <c r="BO520" t="s">
        <v>74</v>
      </c>
      <c r="BP520" t="s">
        <v>74</v>
      </c>
      <c r="BQ520" t="s">
        <v>74</v>
      </c>
      <c r="BR520" t="s">
        <v>103</v>
      </c>
      <c r="BS520" t="s">
        <v>10520</v>
      </c>
      <c r="BT520" t="str">
        <f>HYPERLINK("https%3A%2F%2Fwww.webofscience.com%2Fwos%2Fwoscc%2Ffull-record%2FWOS:000840796200001","View Full Record in Web of Science")</f>
        <v>View Full Record in Web of Science</v>
      </c>
    </row>
    <row r="521" spans="1:72" x14ac:dyDescent="0.15">
      <c r="A521" t="s">
        <v>72</v>
      </c>
      <c r="B521" t="s">
        <v>10521</v>
      </c>
      <c r="C521" t="s">
        <v>74</v>
      </c>
      <c r="D521" t="s">
        <v>74</v>
      </c>
      <c r="E521" t="s">
        <v>74</v>
      </c>
      <c r="F521" t="s">
        <v>10522</v>
      </c>
      <c r="G521" t="s">
        <v>74</v>
      </c>
      <c r="H521" t="s">
        <v>74</v>
      </c>
      <c r="I521" t="s">
        <v>10523</v>
      </c>
      <c r="J521" t="s">
        <v>4697</v>
      </c>
      <c r="K521" t="s">
        <v>74</v>
      </c>
      <c r="L521" t="s">
        <v>74</v>
      </c>
      <c r="M521" t="s">
        <v>78</v>
      </c>
      <c r="N521" t="s">
        <v>79</v>
      </c>
      <c r="O521" t="s">
        <v>74</v>
      </c>
      <c r="P521" t="s">
        <v>74</v>
      </c>
      <c r="Q521" t="s">
        <v>74</v>
      </c>
      <c r="R521" t="s">
        <v>74</v>
      </c>
      <c r="S521" t="s">
        <v>74</v>
      </c>
      <c r="T521" t="s">
        <v>74</v>
      </c>
      <c r="U521" t="s">
        <v>10524</v>
      </c>
      <c r="V521" t="s">
        <v>10525</v>
      </c>
      <c r="W521" t="s">
        <v>10526</v>
      </c>
      <c r="X521" t="s">
        <v>10527</v>
      </c>
      <c r="Y521" t="s">
        <v>10528</v>
      </c>
      <c r="Z521" t="s">
        <v>10529</v>
      </c>
      <c r="AA521" t="s">
        <v>10530</v>
      </c>
      <c r="AB521" t="s">
        <v>10531</v>
      </c>
      <c r="AC521" t="s">
        <v>10532</v>
      </c>
      <c r="AD521" t="s">
        <v>10533</v>
      </c>
      <c r="AE521" t="s">
        <v>10534</v>
      </c>
      <c r="AF521" t="s">
        <v>74</v>
      </c>
      <c r="AG521">
        <v>72</v>
      </c>
      <c r="AH521">
        <v>4</v>
      </c>
      <c r="AI521">
        <v>4</v>
      </c>
      <c r="AJ521">
        <v>0</v>
      </c>
      <c r="AK521">
        <v>6</v>
      </c>
      <c r="AL521" t="s">
        <v>2773</v>
      </c>
      <c r="AM521" t="s">
        <v>2774</v>
      </c>
      <c r="AN521" t="s">
        <v>2775</v>
      </c>
      <c r="AO521" t="s">
        <v>74</v>
      </c>
      <c r="AP521" t="s">
        <v>4709</v>
      </c>
      <c r="AQ521" t="s">
        <v>74</v>
      </c>
      <c r="AR521" t="s">
        <v>4710</v>
      </c>
      <c r="AS521" t="s">
        <v>4711</v>
      </c>
      <c r="AT521" t="s">
        <v>10446</v>
      </c>
      <c r="AU521">
        <v>2022</v>
      </c>
      <c r="AV521">
        <v>3</v>
      </c>
      <c r="AW521">
        <v>1</v>
      </c>
      <c r="AX521" t="s">
        <v>74</v>
      </c>
      <c r="AY521" t="s">
        <v>74</v>
      </c>
      <c r="AZ521" t="s">
        <v>74</v>
      </c>
      <c r="BA521" t="s">
        <v>74</v>
      </c>
      <c r="BB521" t="s">
        <v>74</v>
      </c>
      <c r="BC521" t="s">
        <v>74</v>
      </c>
      <c r="BD521">
        <v>175</v>
      </c>
      <c r="BE521" t="s">
        <v>10535</v>
      </c>
      <c r="BF521" t="str">
        <f>HYPERLINK("http://dx.doi.org/10.1038/s43247-022-00502-w","http://dx.doi.org/10.1038/s43247-022-00502-w")</f>
        <v>http://dx.doi.org/10.1038/s43247-022-00502-w</v>
      </c>
      <c r="BG521" t="s">
        <v>74</v>
      </c>
      <c r="BH521" t="s">
        <v>74</v>
      </c>
      <c r="BI521">
        <v>11</v>
      </c>
      <c r="BJ521" t="s">
        <v>1010</v>
      </c>
      <c r="BK521" t="s">
        <v>100</v>
      </c>
      <c r="BL521" t="s">
        <v>1011</v>
      </c>
      <c r="BM521" t="s">
        <v>10536</v>
      </c>
      <c r="BN521" t="s">
        <v>74</v>
      </c>
      <c r="BO521" t="s">
        <v>266</v>
      </c>
      <c r="BP521" t="s">
        <v>74</v>
      </c>
      <c r="BQ521" t="s">
        <v>74</v>
      </c>
      <c r="BR521" t="s">
        <v>103</v>
      </c>
      <c r="BS521" t="s">
        <v>10537</v>
      </c>
      <c r="BT521" t="str">
        <f>HYPERLINK("https%3A%2F%2Fwww.webofscience.com%2Fwos%2Fwoscc%2Ffull-record%2FWOS:000836233600002","View Full Record in Web of Science")</f>
        <v>View Full Record in Web of Science</v>
      </c>
    </row>
    <row r="522" spans="1:72" x14ac:dyDescent="0.15">
      <c r="A522" t="s">
        <v>72</v>
      </c>
      <c r="B522" t="s">
        <v>10538</v>
      </c>
      <c r="C522" t="s">
        <v>74</v>
      </c>
      <c r="D522" t="s">
        <v>74</v>
      </c>
      <c r="E522" t="s">
        <v>74</v>
      </c>
      <c r="F522" t="s">
        <v>10539</v>
      </c>
      <c r="G522" t="s">
        <v>74</v>
      </c>
      <c r="H522" t="s">
        <v>74</v>
      </c>
      <c r="I522" t="s">
        <v>10540</v>
      </c>
      <c r="J522" t="s">
        <v>77</v>
      </c>
      <c r="K522" t="s">
        <v>74</v>
      </c>
      <c r="L522" t="s">
        <v>74</v>
      </c>
      <c r="M522" t="s">
        <v>78</v>
      </c>
      <c r="N522" t="s">
        <v>79</v>
      </c>
      <c r="O522" t="s">
        <v>74</v>
      </c>
      <c r="P522" t="s">
        <v>74</v>
      </c>
      <c r="Q522" t="s">
        <v>74</v>
      </c>
      <c r="R522" t="s">
        <v>74</v>
      </c>
      <c r="S522" t="s">
        <v>74</v>
      </c>
      <c r="T522" t="s">
        <v>10541</v>
      </c>
      <c r="U522" t="s">
        <v>10542</v>
      </c>
      <c r="V522" t="s">
        <v>10543</v>
      </c>
      <c r="W522" t="s">
        <v>10544</v>
      </c>
      <c r="X522" t="s">
        <v>10545</v>
      </c>
      <c r="Y522" t="s">
        <v>5590</v>
      </c>
      <c r="Z522" t="s">
        <v>5591</v>
      </c>
      <c r="AA522" t="s">
        <v>10546</v>
      </c>
      <c r="AB522" t="s">
        <v>74</v>
      </c>
      <c r="AC522" t="s">
        <v>74</v>
      </c>
      <c r="AD522" t="s">
        <v>74</v>
      </c>
      <c r="AE522" t="s">
        <v>74</v>
      </c>
      <c r="AF522" t="s">
        <v>74</v>
      </c>
      <c r="AG522">
        <v>52</v>
      </c>
      <c r="AH522">
        <v>0</v>
      </c>
      <c r="AI522">
        <v>0</v>
      </c>
      <c r="AJ522">
        <v>3</v>
      </c>
      <c r="AK522">
        <v>7</v>
      </c>
      <c r="AL522" t="s">
        <v>89</v>
      </c>
      <c r="AM522" t="s">
        <v>90</v>
      </c>
      <c r="AN522" t="s">
        <v>91</v>
      </c>
      <c r="AO522" t="s">
        <v>92</v>
      </c>
      <c r="AP522" t="s">
        <v>93</v>
      </c>
      <c r="AQ522" t="s">
        <v>74</v>
      </c>
      <c r="AR522" t="s">
        <v>94</v>
      </c>
      <c r="AS522" t="s">
        <v>95</v>
      </c>
      <c r="AT522" t="s">
        <v>2523</v>
      </c>
      <c r="AU522">
        <v>2022</v>
      </c>
      <c r="AV522">
        <v>79</v>
      </c>
      <c r="AW522">
        <v>7</v>
      </c>
      <c r="AX522" t="s">
        <v>74</v>
      </c>
      <c r="AY522" t="s">
        <v>74</v>
      </c>
      <c r="AZ522" t="s">
        <v>74</v>
      </c>
      <c r="BA522" t="s">
        <v>74</v>
      </c>
      <c r="BB522">
        <v>2084</v>
      </c>
      <c r="BC522">
        <v>2092</v>
      </c>
      <c r="BD522" t="s">
        <v>74</v>
      </c>
      <c r="BE522" t="s">
        <v>10547</v>
      </c>
      <c r="BF522" t="str">
        <f>HYPERLINK("http://dx.doi.org/10.1093/icesjms/fsac139","http://dx.doi.org/10.1093/icesjms/fsac139")</f>
        <v>http://dx.doi.org/10.1093/icesjms/fsac139</v>
      </c>
      <c r="BG522" t="s">
        <v>74</v>
      </c>
      <c r="BH522" t="s">
        <v>7628</v>
      </c>
      <c r="BI522">
        <v>9</v>
      </c>
      <c r="BJ522" t="s">
        <v>99</v>
      </c>
      <c r="BK522" t="s">
        <v>100</v>
      </c>
      <c r="BL522" t="s">
        <v>99</v>
      </c>
      <c r="BM522" t="s">
        <v>10548</v>
      </c>
      <c r="BN522" t="s">
        <v>74</v>
      </c>
      <c r="BO522" t="s">
        <v>74</v>
      </c>
      <c r="BP522" t="s">
        <v>74</v>
      </c>
      <c r="BQ522" t="s">
        <v>74</v>
      </c>
      <c r="BR522" t="s">
        <v>103</v>
      </c>
      <c r="BS522" t="s">
        <v>10549</v>
      </c>
      <c r="BT522" t="str">
        <f>HYPERLINK("https%3A%2F%2Fwww.webofscience.com%2Fwos%2Fwoscc%2Ffull-record%2FWOS:000836110100001","View Full Record in Web of Science")</f>
        <v>View Full Record in Web of Science</v>
      </c>
    </row>
    <row r="523" spans="1:72" x14ac:dyDescent="0.15">
      <c r="A523" t="s">
        <v>72</v>
      </c>
      <c r="B523" t="s">
        <v>10550</v>
      </c>
      <c r="C523" t="s">
        <v>74</v>
      </c>
      <c r="D523" t="s">
        <v>74</v>
      </c>
      <c r="E523" t="s">
        <v>74</v>
      </c>
      <c r="F523" t="s">
        <v>10551</v>
      </c>
      <c r="G523" t="s">
        <v>74</v>
      </c>
      <c r="H523" t="s">
        <v>74</v>
      </c>
      <c r="I523" t="s">
        <v>10552</v>
      </c>
      <c r="J523" t="s">
        <v>4279</v>
      </c>
      <c r="K523" t="s">
        <v>74</v>
      </c>
      <c r="L523" t="s">
        <v>74</v>
      </c>
      <c r="M523" t="s">
        <v>78</v>
      </c>
      <c r="N523" t="s">
        <v>1346</v>
      </c>
      <c r="O523" t="s">
        <v>74</v>
      </c>
      <c r="P523" t="s">
        <v>74</v>
      </c>
      <c r="Q523" t="s">
        <v>74</v>
      </c>
      <c r="R523" t="s">
        <v>74</v>
      </c>
      <c r="S523" t="s">
        <v>74</v>
      </c>
      <c r="T523" t="s">
        <v>74</v>
      </c>
      <c r="U523" t="s">
        <v>74</v>
      </c>
      <c r="V523" t="s">
        <v>10553</v>
      </c>
      <c r="W523" t="s">
        <v>10554</v>
      </c>
      <c r="X523" t="s">
        <v>10555</v>
      </c>
      <c r="Y523" t="s">
        <v>10556</v>
      </c>
      <c r="Z523" t="s">
        <v>10557</v>
      </c>
      <c r="AA523" t="s">
        <v>10558</v>
      </c>
      <c r="AB523" t="s">
        <v>10559</v>
      </c>
      <c r="AC523" t="s">
        <v>10560</v>
      </c>
      <c r="AD523" t="s">
        <v>6002</v>
      </c>
      <c r="AE523" t="s">
        <v>74</v>
      </c>
      <c r="AF523" t="s">
        <v>74</v>
      </c>
      <c r="AG523">
        <v>20</v>
      </c>
      <c r="AH523">
        <v>10</v>
      </c>
      <c r="AI523">
        <v>10</v>
      </c>
      <c r="AJ523">
        <v>1</v>
      </c>
      <c r="AK523">
        <v>10</v>
      </c>
      <c r="AL523" t="s">
        <v>149</v>
      </c>
      <c r="AM523" t="s">
        <v>150</v>
      </c>
      <c r="AN523" t="s">
        <v>151</v>
      </c>
      <c r="AO523" t="s">
        <v>4291</v>
      </c>
      <c r="AP523" t="s">
        <v>4292</v>
      </c>
      <c r="AQ523" t="s">
        <v>74</v>
      </c>
      <c r="AR523" t="s">
        <v>4293</v>
      </c>
      <c r="AS523" t="s">
        <v>4294</v>
      </c>
      <c r="AT523" t="s">
        <v>5386</v>
      </c>
      <c r="AU523">
        <v>2022</v>
      </c>
      <c r="AV523">
        <v>15</v>
      </c>
      <c r="AW523">
        <v>8</v>
      </c>
      <c r="AX523" t="s">
        <v>74</v>
      </c>
      <c r="AY523" t="s">
        <v>74</v>
      </c>
      <c r="AZ523" t="s">
        <v>74</v>
      </c>
      <c r="BA523" t="s">
        <v>74</v>
      </c>
      <c r="BB523">
        <v>598</v>
      </c>
      <c r="BC523">
        <v>600</v>
      </c>
      <c r="BD523" t="s">
        <v>10561</v>
      </c>
      <c r="BE523" t="s">
        <v>10562</v>
      </c>
      <c r="BF523" t="str">
        <f>HYPERLINK("http://dx.doi.org/10.1038/s41561-022-01001-5","http://dx.doi.org/10.1038/s41561-022-01001-5")</f>
        <v>http://dx.doi.org/10.1038/s41561-022-01001-5</v>
      </c>
      <c r="BG523" t="s">
        <v>74</v>
      </c>
      <c r="BH523" t="s">
        <v>7628</v>
      </c>
      <c r="BI523">
        <v>3</v>
      </c>
      <c r="BJ523" t="s">
        <v>129</v>
      </c>
      <c r="BK523" t="s">
        <v>100</v>
      </c>
      <c r="BL523" t="s">
        <v>130</v>
      </c>
      <c r="BM523" t="s">
        <v>10563</v>
      </c>
      <c r="BN523" t="s">
        <v>74</v>
      </c>
      <c r="BO523" t="s">
        <v>2260</v>
      </c>
      <c r="BP523" t="s">
        <v>74</v>
      </c>
      <c r="BQ523" t="s">
        <v>74</v>
      </c>
      <c r="BR523" t="s">
        <v>103</v>
      </c>
      <c r="BS523" t="s">
        <v>10564</v>
      </c>
      <c r="BT523" t="str">
        <f>HYPERLINK("https%3A%2F%2Fwww.webofscience.com%2Fwos%2Fwoscc%2Ffull-record%2FWOS:000836097300006","View Full Record in Web of Science")</f>
        <v>View Full Record in Web of Science</v>
      </c>
    </row>
    <row r="524" spans="1:72" x14ac:dyDescent="0.15">
      <c r="A524" t="s">
        <v>72</v>
      </c>
      <c r="B524" t="s">
        <v>10565</v>
      </c>
      <c r="C524" t="s">
        <v>74</v>
      </c>
      <c r="D524" t="s">
        <v>74</v>
      </c>
      <c r="E524" t="s">
        <v>74</v>
      </c>
      <c r="F524" t="s">
        <v>10566</v>
      </c>
      <c r="G524" t="s">
        <v>74</v>
      </c>
      <c r="H524" t="s">
        <v>74</v>
      </c>
      <c r="I524" t="s">
        <v>10567</v>
      </c>
      <c r="J524" t="s">
        <v>10568</v>
      </c>
      <c r="K524" t="s">
        <v>74</v>
      </c>
      <c r="L524" t="s">
        <v>74</v>
      </c>
      <c r="M524" t="s">
        <v>78</v>
      </c>
      <c r="N524" t="s">
        <v>2873</v>
      </c>
      <c r="O524" t="s">
        <v>74</v>
      </c>
      <c r="P524" t="s">
        <v>74</v>
      </c>
      <c r="Q524" t="s">
        <v>74</v>
      </c>
      <c r="R524" t="s">
        <v>74</v>
      </c>
      <c r="S524" t="s">
        <v>74</v>
      </c>
      <c r="T524" t="s">
        <v>74</v>
      </c>
      <c r="U524" t="s">
        <v>74</v>
      </c>
      <c r="V524" t="s">
        <v>74</v>
      </c>
      <c r="W524" t="s">
        <v>10569</v>
      </c>
      <c r="X524" t="s">
        <v>10570</v>
      </c>
      <c r="Y524" t="s">
        <v>10571</v>
      </c>
      <c r="Z524" t="s">
        <v>10572</v>
      </c>
      <c r="AA524" t="s">
        <v>74</v>
      </c>
      <c r="AB524" t="s">
        <v>74</v>
      </c>
      <c r="AC524" t="s">
        <v>74</v>
      </c>
      <c r="AD524" t="s">
        <v>74</v>
      </c>
      <c r="AE524" t="s">
        <v>74</v>
      </c>
      <c r="AF524" t="s">
        <v>74</v>
      </c>
      <c r="AG524">
        <v>1</v>
      </c>
      <c r="AH524">
        <v>0</v>
      </c>
      <c r="AI524">
        <v>0</v>
      </c>
      <c r="AJ524">
        <v>0</v>
      </c>
      <c r="AK524">
        <v>1</v>
      </c>
      <c r="AL524" t="s">
        <v>10573</v>
      </c>
      <c r="AM524" t="s">
        <v>2774</v>
      </c>
      <c r="AN524" t="s">
        <v>10574</v>
      </c>
      <c r="AO524" t="s">
        <v>10575</v>
      </c>
      <c r="AP524" t="s">
        <v>74</v>
      </c>
      <c r="AQ524" t="s">
        <v>74</v>
      </c>
      <c r="AR524" t="s">
        <v>10576</v>
      </c>
      <c r="AS524" t="s">
        <v>10577</v>
      </c>
      <c r="AT524" t="s">
        <v>10446</v>
      </c>
      <c r="AU524">
        <v>2022</v>
      </c>
      <c r="AV524">
        <v>10</v>
      </c>
      <c r="AW524">
        <v>1</v>
      </c>
      <c r="AX524" t="s">
        <v>74</v>
      </c>
      <c r="AY524" t="s">
        <v>74</v>
      </c>
      <c r="AZ524" t="s">
        <v>74</v>
      </c>
      <c r="BA524" t="s">
        <v>74</v>
      </c>
      <c r="BB524" t="s">
        <v>74</v>
      </c>
      <c r="BC524" t="s">
        <v>74</v>
      </c>
      <c r="BD524">
        <v>32</v>
      </c>
      <c r="BE524" t="s">
        <v>10578</v>
      </c>
      <c r="BF524" t="str">
        <f>HYPERLINK("http://dx.doi.org/10.1186/s40462-022-00330-9","http://dx.doi.org/10.1186/s40462-022-00330-9")</f>
        <v>http://dx.doi.org/10.1186/s40462-022-00330-9</v>
      </c>
      <c r="BG524" t="s">
        <v>74</v>
      </c>
      <c r="BH524" t="s">
        <v>74</v>
      </c>
      <c r="BI524">
        <v>3</v>
      </c>
      <c r="BJ524" t="s">
        <v>3900</v>
      </c>
      <c r="BK524" t="s">
        <v>100</v>
      </c>
      <c r="BL524" t="s">
        <v>2041</v>
      </c>
      <c r="BM524" t="s">
        <v>10579</v>
      </c>
      <c r="BN524">
        <v>35927721</v>
      </c>
      <c r="BO524" t="s">
        <v>159</v>
      </c>
      <c r="BP524" t="s">
        <v>74</v>
      </c>
      <c r="BQ524" t="s">
        <v>74</v>
      </c>
      <c r="BR524" t="s">
        <v>103</v>
      </c>
      <c r="BS524" t="s">
        <v>10580</v>
      </c>
      <c r="BT524" t="str">
        <f>HYPERLINK("https%3A%2F%2Fwww.webofscience.com%2Fwos%2Fwoscc%2Ffull-record%2FWOS:000836234700001","View Full Record in Web of Science")</f>
        <v>View Full Record in Web of Science</v>
      </c>
    </row>
    <row r="525" spans="1:72" x14ac:dyDescent="0.15">
      <c r="A525" t="s">
        <v>72</v>
      </c>
      <c r="B525" t="s">
        <v>10581</v>
      </c>
      <c r="C525" t="s">
        <v>74</v>
      </c>
      <c r="D525" t="s">
        <v>74</v>
      </c>
      <c r="E525" t="s">
        <v>74</v>
      </c>
      <c r="F525" t="s">
        <v>10582</v>
      </c>
      <c r="G525" t="s">
        <v>74</v>
      </c>
      <c r="H525" t="s">
        <v>74</v>
      </c>
      <c r="I525" t="s">
        <v>10583</v>
      </c>
      <c r="J525" t="s">
        <v>4735</v>
      </c>
      <c r="K525" t="s">
        <v>74</v>
      </c>
      <c r="L525" t="s">
        <v>74</v>
      </c>
      <c r="M525" t="s">
        <v>78</v>
      </c>
      <c r="N525" t="s">
        <v>79</v>
      </c>
      <c r="O525" t="s">
        <v>74</v>
      </c>
      <c r="P525" t="s">
        <v>74</v>
      </c>
      <c r="Q525" t="s">
        <v>74</v>
      </c>
      <c r="R525" t="s">
        <v>74</v>
      </c>
      <c r="S525" t="s">
        <v>74</v>
      </c>
      <c r="T525" t="s">
        <v>10584</v>
      </c>
      <c r="U525" t="s">
        <v>10585</v>
      </c>
      <c r="V525" t="s">
        <v>10586</v>
      </c>
      <c r="W525" t="s">
        <v>10587</v>
      </c>
      <c r="X525" t="s">
        <v>74</v>
      </c>
      <c r="Y525" t="s">
        <v>10588</v>
      </c>
      <c r="Z525" t="s">
        <v>10589</v>
      </c>
      <c r="AA525" t="s">
        <v>10590</v>
      </c>
      <c r="AB525" t="s">
        <v>10591</v>
      </c>
      <c r="AC525" t="s">
        <v>10592</v>
      </c>
      <c r="AD525" t="s">
        <v>10593</v>
      </c>
      <c r="AE525" t="s">
        <v>10594</v>
      </c>
      <c r="AF525" t="s">
        <v>74</v>
      </c>
      <c r="AG525">
        <v>51</v>
      </c>
      <c r="AH525">
        <v>4</v>
      </c>
      <c r="AI525">
        <v>4</v>
      </c>
      <c r="AJ525">
        <v>1</v>
      </c>
      <c r="AK525">
        <v>14</v>
      </c>
      <c r="AL525" t="s">
        <v>89</v>
      </c>
      <c r="AM525" t="s">
        <v>90</v>
      </c>
      <c r="AN525" t="s">
        <v>91</v>
      </c>
      <c r="AO525" t="s">
        <v>4746</v>
      </c>
      <c r="AP525" t="s">
        <v>4747</v>
      </c>
      <c r="AQ525" t="s">
        <v>74</v>
      </c>
      <c r="AR525" t="s">
        <v>4748</v>
      </c>
      <c r="AS525" t="s">
        <v>4749</v>
      </c>
      <c r="AT525" t="s">
        <v>10595</v>
      </c>
      <c r="AU525">
        <v>2022</v>
      </c>
      <c r="AV525">
        <v>231</v>
      </c>
      <c r="AW525">
        <v>2</v>
      </c>
      <c r="AX525" t="s">
        <v>74</v>
      </c>
      <c r="AY525" t="s">
        <v>74</v>
      </c>
      <c r="AZ525" t="s">
        <v>74</v>
      </c>
      <c r="BA525" t="s">
        <v>74</v>
      </c>
      <c r="BB525">
        <v>1404</v>
      </c>
      <c r="BC525">
        <v>1420</v>
      </c>
      <c r="BD525" t="s">
        <v>74</v>
      </c>
      <c r="BE525" t="s">
        <v>10596</v>
      </c>
      <c r="BF525" t="str">
        <f>HYPERLINK("http://dx.doi.org/10.1093/gji/ggac249","http://dx.doi.org/10.1093/gji/ggac249")</f>
        <v>http://dx.doi.org/10.1093/gji/ggac249</v>
      </c>
      <c r="BG525" t="s">
        <v>74</v>
      </c>
      <c r="BH525" t="s">
        <v>74</v>
      </c>
      <c r="BI525">
        <v>17</v>
      </c>
      <c r="BJ525" t="s">
        <v>1379</v>
      </c>
      <c r="BK525" t="s">
        <v>100</v>
      </c>
      <c r="BL525" t="s">
        <v>1379</v>
      </c>
      <c r="BM525" t="s">
        <v>10597</v>
      </c>
      <c r="BN525" t="s">
        <v>74</v>
      </c>
      <c r="BO525" t="s">
        <v>831</v>
      </c>
      <c r="BP525" t="s">
        <v>74</v>
      </c>
      <c r="BQ525" t="s">
        <v>74</v>
      </c>
      <c r="BR525" t="s">
        <v>103</v>
      </c>
      <c r="BS525" t="s">
        <v>10598</v>
      </c>
      <c r="BT525" t="str">
        <f>HYPERLINK("https%3A%2F%2Fwww.webofscience.com%2Fwos%2Fwoscc%2Ffull-record%2FWOS:000835882600002","View Full Record in Web of Science")</f>
        <v>View Full Record in Web of Science</v>
      </c>
    </row>
    <row r="526" spans="1:72" x14ac:dyDescent="0.15">
      <c r="A526" t="s">
        <v>72</v>
      </c>
      <c r="B526" t="s">
        <v>10599</v>
      </c>
      <c r="C526" t="s">
        <v>74</v>
      </c>
      <c r="D526" t="s">
        <v>74</v>
      </c>
      <c r="E526" t="s">
        <v>74</v>
      </c>
      <c r="F526" t="s">
        <v>10600</v>
      </c>
      <c r="G526" t="s">
        <v>74</v>
      </c>
      <c r="H526" t="s">
        <v>74</v>
      </c>
      <c r="I526" t="s">
        <v>10601</v>
      </c>
      <c r="J526" t="s">
        <v>811</v>
      </c>
      <c r="K526" t="s">
        <v>74</v>
      </c>
      <c r="L526" t="s">
        <v>74</v>
      </c>
      <c r="M526" t="s">
        <v>78</v>
      </c>
      <c r="N526" t="s">
        <v>79</v>
      </c>
      <c r="O526" t="s">
        <v>74</v>
      </c>
      <c r="P526" t="s">
        <v>74</v>
      </c>
      <c r="Q526" t="s">
        <v>74</v>
      </c>
      <c r="R526" t="s">
        <v>74</v>
      </c>
      <c r="S526" t="s">
        <v>74</v>
      </c>
      <c r="T526" t="s">
        <v>10602</v>
      </c>
      <c r="U526" t="s">
        <v>10603</v>
      </c>
      <c r="V526" t="s">
        <v>10604</v>
      </c>
      <c r="W526" t="s">
        <v>10605</v>
      </c>
      <c r="X526" t="s">
        <v>10606</v>
      </c>
      <c r="Y526" t="s">
        <v>10607</v>
      </c>
      <c r="Z526" t="s">
        <v>5972</v>
      </c>
      <c r="AA526" t="s">
        <v>74</v>
      </c>
      <c r="AB526" t="s">
        <v>10608</v>
      </c>
      <c r="AC526" t="s">
        <v>10609</v>
      </c>
      <c r="AD526" t="s">
        <v>5976</v>
      </c>
      <c r="AE526" t="s">
        <v>10610</v>
      </c>
      <c r="AF526" t="s">
        <v>74</v>
      </c>
      <c r="AG526">
        <v>23</v>
      </c>
      <c r="AH526">
        <v>1</v>
      </c>
      <c r="AI526">
        <v>1</v>
      </c>
      <c r="AJ526">
        <v>1</v>
      </c>
      <c r="AK526">
        <v>3</v>
      </c>
      <c r="AL526" t="s">
        <v>345</v>
      </c>
      <c r="AM526" t="s">
        <v>450</v>
      </c>
      <c r="AN526" t="s">
        <v>821</v>
      </c>
      <c r="AO526" t="s">
        <v>822</v>
      </c>
      <c r="AP526" t="s">
        <v>823</v>
      </c>
      <c r="AQ526" t="s">
        <v>74</v>
      </c>
      <c r="AR526" t="s">
        <v>824</v>
      </c>
      <c r="AS526" t="s">
        <v>825</v>
      </c>
      <c r="AT526" t="s">
        <v>428</v>
      </c>
      <c r="AU526">
        <v>2022</v>
      </c>
      <c r="AV526">
        <v>34</v>
      </c>
      <c r="AW526">
        <v>5</v>
      </c>
      <c r="AX526" t="s">
        <v>74</v>
      </c>
      <c r="AY526" t="s">
        <v>74</v>
      </c>
      <c r="AZ526" t="s">
        <v>74</v>
      </c>
      <c r="BA526" t="s">
        <v>74</v>
      </c>
      <c r="BB526">
        <v>365</v>
      </c>
      <c r="BC526">
        <v>373</v>
      </c>
      <c r="BD526" t="s">
        <v>10611</v>
      </c>
      <c r="BE526" t="s">
        <v>10612</v>
      </c>
      <c r="BF526" t="str">
        <f>HYPERLINK("http://dx.doi.org/10.1017/S0954102022000293","http://dx.doi.org/10.1017/S0954102022000293")</f>
        <v>http://dx.doi.org/10.1017/S0954102022000293</v>
      </c>
      <c r="BG526" t="s">
        <v>74</v>
      </c>
      <c r="BH526" t="s">
        <v>7628</v>
      </c>
      <c r="BI526">
        <v>9</v>
      </c>
      <c r="BJ526" t="s">
        <v>828</v>
      </c>
      <c r="BK526" t="s">
        <v>100</v>
      </c>
      <c r="BL526" t="s">
        <v>829</v>
      </c>
      <c r="BM526" t="s">
        <v>830</v>
      </c>
      <c r="BN526" t="s">
        <v>74</v>
      </c>
      <c r="BO526" t="s">
        <v>831</v>
      </c>
      <c r="BP526" t="s">
        <v>74</v>
      </c>
      <c r="BQ526" t="s">
        <v>74</v>
      </c>
      <c r="BR526" t="s">
        <v>103</v>
      </c>
      <c r="BS526" t="s">
        <v>10613</v>
      </c>
      <c r="BT526" t="str">
        <f>HYPERLINK("https%3A%2F%2Fwww.webofscience.com%2Fwos%2Fwoscc%2Ffull-record%2FWOS:000835997000001","View Full Record in Web of Science")</f>
        <v>View Full Record in Web of Science</v>
      </c>
    </row>
    <row r="527" spans="1:72" x14ac:dyDescent="0.15">
      <c r="A527" t="s">
        <v>72</v>
      </c>
      <c r="B527" t="s">
        <v>10614</v>
      </c>
      <c r="C527" t="s">
        <v>74</v>
      </c>
      <c r="D527" t="s">
        <v>74</v>
      </c>
      <c r="E527" t="s">
        <v>74</v>
      </c>
      <c r="F527" t="s">
        <v>10615</v>
      </c>
      <c r="G527" t="s">
        <v>74</v>
      </c>
      <c r="H527" t="s">
        <v>74</v>
      </c>
      <c r="I527" t="s">
        <v>10616</v>
      </c>
      <c r="J527" t="s">
        <v>10617</v>
      </c>
      <c r="K527" t="s">
        <v>74</v>
      </c>
      <c r="L527" t="s">
        <v>74</v>
      </c>
      <c r="M527" t="s">
        <v>78</v>
      </c>
      <c r="N527" t="s">
        <v>79</v>
      </c>
      <c r="O527" t="s">
        <v>74</v>
      </c>
      <c r="P527" t="s">
        <v>74</v>
      </c>
      <c r="Q527" t="s">
        <v>74</v>
      </c>
      <c r="R527" t="s">
        <v>74</v>
      </c>
      <c r="S527" t="s">
        <v>74</v>
      </c>
      <c r="T527" t="s">
        <v>10618</v>
      </c>
      <c r="U527" t="s">
        <v>10619</v>
      </c>
      <c r="V527" t="s">
        <v>10620</v>
      </c>
      <c r="W527" t="s">
        <v>10621</v>
      </c>
      <c r="X527" t="s">
        <v>10622</v>
      </c>
      <c r="Y527" t="s">
        <v>10623</v>
      </c>
      <c r="Z527" t="s">
        <v>10624</v>
      </c>
      <c r="AA527" t="s">
        <v>10625</v>
      </c>
      <c r="AB527" t="s">
        <v>10626</v>
      </c>
      <c r="AC527" t="s">
        <v>10627</v>
      </c>
      <c r="AD527" t="s">
        <v>10628</v>
      </c>
      <c r="AE527" t="s">
        <v>10629</v>
      </c>
      <c r="AF527" t="s">
        <v>74</v>
      </c>
      <c r="AG527">
        <v>65</v>
      </c>
      <c r="AH527">
        <v>2</v>
      </c>
      <c r="AI527">
        <v>2</v>
      </c>
      <c r="AJ527">
        <v>1</v>
      </c>
      <c r="AK527">
        <v>1</v>
      </c>
      <c r="AL527" t="s">
        <v>231</v>
      </c>
      <c r="AM527" t="s">
        <v>232</v>
      </c>
      <c r="AN527" t="s">
        <v>233</v>
      </c>
      <c r="AO527" t="s">
        <v>10630</v>
      </c>
      <c r="AP527" t="s">
        <v>10631</v>
      </c>
      <c r="AQ527" t="s">
        <v>74</v>
      </c>
      <c r="AR527" t="s">
        <v>10632</v>
      </c>
      <c r="AS527" t="s">
        <v>10633</v>
      </c>
      <c r="AT527" t="s">
        <v>3663</v>
      </c>
      <c r="AU527">
        <v>2023</v>
      </c>
      <c r="AV527">
        <v>38</v>
      </c>
      <c r="AW527">
        <v>2</v>
      </c>
      <c r="AX527" t="s">
        <v>74</v>
      </c>
      <c r="AY527" t="s">
        <v>74</v>
      </c>
      <c r="AZ527" t="s">
        <v>74</v>
      </c>
      <c r="BA527" t="s">
        <v>74</v>
      </c>
      <c r="BB527">
        <v>160</v>
      </c>
      <c r="BC527">
        <v>173</v>
      </c>
      <c r="BD527" t="s">
        <v>74</v>
      </c>
      <c r="BE527" t="s">
        <v>10634</v>
      </c>
      <c r="BF527" t="str">
        <f>HYPERLINK("http://dx.doi.org/10.1002/jqs.3463","http://dx.doi.org/10.1002/jqs.3463")</f>
        <v>http://dx.doi.org/10.1002/jqs.3463</v>
      </c>
      <c r="BG527" t="s">
        <v>74</v>
      </c>
      <c r="BH527" t="s">
        <v>7628</v>
      </c>
      <c r="BI527">
        <v>14</v>
      </c>
      <c r="BJ527" t="s">
        <v>354</v>
      </c>
      <c r="BK527" t="s">
        <v>100</v>
      </c>
      <c r="BL527" t="s">
        <v>241</v>
      </c>
      <c r="BM527" t="s">
        <v>10635</v>
      </c>
      <c r="BN527" t="s">
        <v>74</v>
      </c>
      <c r="BO527" t="s">
        <v>2512</v>
      </c>
      <c r="BP527" t="s">
        <v>74</v>
      </c>
      <c r="BQ527" t="s">
        <v>74</v>
      </c>
      <c r="BR527" t="s">
        <v>103</v>
      </c>
      <c r="BS527" t="s">
        <v>10636</v>
      </c>
      <c r="BT527" t="str">
        <f>HYPERLINK("https%3A%2F%2Fwww.webofscience.com%2Fwos%2Fwoscc%2Ffull-record%2FWOS:000835822700001","View Full Record in Web of Science")</f>
        <v>View Full Record in Web of Science</v>
      </c>
    </row>
    <row r="528" spans="1:72" x14ac:dyDescent="0.15">
      <c r="A528" t="s">
        <v>72</v>
      </c>
      <c r="B528" t="s">
        <v>10637</v>
      </c>
      <c r="C528" t="s">
        <v>74</v>
      </c>
      <c r="D528" t="s">
        <v>74</v>
      </c>
      <c r="E528" t="s">
        <v>74</v>
      </c>
      <c r="F528" t="s">
        <v>10638</v>
      </c>
      <c r="G528" t="s">
        <v>74</v>
      </c>
      <c r="H528" t="s">
        <v>74</v>
      </c>
      <c r="I528" t="s">
        <v>10639</v>
      </c>
      <c r="J528" t="s">
        <v>811</v>
      </c>
      <c r="K528" t="s">
        <v>74</v>
      </c>
      <c r="L528" t="s">
        <v>74</v>
      </c>
      <c r="M528" t="s">
        <v>78</v>
      </c>
      <c r="N528" t="s">
        <v>79</v>
      </c>
      <c r="O528" t="s">
        <v>74</v>
      </c>
      <c r="P528" t="s">
        <v>74</v>
      </c>
      <c r="Q528" t="s">
        <v>74</v>
      </c>
      <c r="R528" t="s">
        <v>74</v>
      </c>
      <c r="S528" t="s">
        <v>74</v>
      </c>
      <c r="T528" t="s">
        <v>10640</v>
      </c>
      <c r="U528" t="s">
        <v>10641</v>
      </c>
      <c r="V528" t="s">
        <v>10642</v>
      </c>
      <c r="W528" t="s">
        <v>10643</v>
      </c>
      <c r="X528" t="s">
        <v>10644</v>
      </c>
      <c r="Y528" t="s">
        <v>10645</v>
      </c>
      <c r="Z528" t="s">
        <v>10646</v>
      </c>
      <c r="AA528" t="s">
        <v>10647</v>
      </c>
      <c r="AB528" t="s">
        <v>10648</v>
      </c>
      <c r="AC528" t="s">
        <v>10649</v>
      </c>
      <c r="AD528" t="s">
        <v>10650</v>
      </c>
      <c r="AE528" t="s">
        <v>10651</v>
      </c>
      <c r="AF528" t="s">
        <v>74</v>
      </c>
      <c r="AG528">
        <v>30</v>
      </c>
      <c r="AH528">
        <v>1</v>
      </c>
      <c r="AI528">
        <v>1</v>
      </c>
      <c r="AJ528">
        <v>0</v>
      </c>
      <c r="AK528">
        <v>1</v>
      </c>
      <c r="AL528" t="s">
        <v>345</v>
      </c>
      <c r="AM528" t="s">
        <v>450</v>
      </c>
      <c r="AN528" t="s">
        <v>821</v>
      </c>
      <c r="AO528" t="s">
        <v>822</v>
      </c>
      <c r="AP528" t="s">
        <v>823</v>
      </c>
      <c r="AQ528" t="s">
        <v>74</v>
      </c>
      <c r="AR528" t="s">
        <v>824</v>
      </c>
      <c r="AS528" t="s">
        <v>825</v>
      </c>
      <c r="AT528" t="s">
        <v>428</v>
      </c>
      <c r="AU528">
        <v>2022</v>
      </c>
      <c r="AV528">
        <v>34</v>
      </c>
      <c r="AW528">
        <v>5</v>
      </c>
      <c r="AX528" t="s">
        <v>74</v>
      </c>
      <c r="AY528" t="s">
        <v>74</v>
      </c>
      <c r="AZ528" t="s">
        <v>74</v>
      </c>
      <c r="BA528" t="s">
        <v>74</v>
      </c>
      <c r="BB528">
        <v>361</v>
      </c>
      <c r="BC528">
        <v>364</v>
      </c>
      <c r="BD528" t="s">
        <v>10652</v>
      </c>
      <c r="BE528" t="s">
        <v>10653</v>
      </c>
      <c r="BF528" t="str">
        <f>HYPERLINK("http://dx.doi.org/10.1017/S0954102022000281","http://dx.doi.org/10.1017/S0954102022000281")</f>
        <v>http://dx.doi.org/10.1017/S0954102022000281</v>
      </c>
      <c r="BG528" t="s">
        <v>74</v>
      </c>
      <c r="BH528" t="s">
        <v>7628</v>
      </c>
      <c r="BI528">
        <v>4</v>
      </c>
      <c r="BJ528" t="s">
        <v>828</v>
      </c>
      <c r="BK528" t="s">
        <v>100</v>
      </c>
      <c r="BL528" t="s">
        <v>829</v>
      </c>
      <c r="BM528" t="s">
        <v>830</v>
      </c>
      <c r="BN528" t="s">
        <v>74</v>
      </c>
      <c r="BO528" t="s">
        <v>74</v>
      </c>
      <c r="BP528" t="s">
        <v>74</v>
      </c>
      <c r="BQ528" t="s">
        <v>74</v>
      </c>
      <c r="BR528" t="s">
        <v>103</v>
      </c>
      <c r="BS528" t="s">
        <v>10654</v>
      </c>
      <c r="BT528" t="str">
        <f>HYPERLINK("https%3A%2F%2Fwww.webofscience.com%2Fwos%2Fwoscc%2Ffull-record%2FWOS:000836018400001","View Full Record in Web of Science")</f>
        <v>View Full Record in Web of Science</v>
      </c>
    </row>
    <row r="529" spans="1:72" x14ac:dyDescent="0.15">
      <c r="A529" t="s">
        <v>72</v>
      </c>
      <c r="B529" t="s">
        <v>10655</v>
      </c>
      <c r="C529" t="s">
        <v>74</v>
      </c>
      <c r="D529" t="s">
        <v>74</v>
      </c>
      <c r="E529" t="s">
        <v>74</v>
      </c>
      <c r="F529" t="s">
        <v>10656</v>
      </c>
      <c r="G529" t="s">
        <v>74</v>
      </c>
      <c r="H529" t="s">
        <v>74</v>
      </c>
      <c r="I529" t="s">
        <v>10657</v>
      </c>
      <c r="J529" t="s">
        <v>4327</v>
      </c>
      <c r="K529" t="s">
        <v>74</v>
      </c>
      <c r="L529" t="s">
        <v>74</v>
      </c>
      <c r="M529" t="s">
        <v>78</v>
      </c>
      <c r="N529" t="s">
        <v>79</v>
      </c>
      <c r="O529" t="s">
        <v>74</v>
      </c>
      <c r="P529" t="s">
        <v>74</v>
      </c>
      <c r="Q529" t="s">
        <v>74</v>
      </c>
      <c r="R529" t="s">
        <v>74</v>
      </c>
      <c r="S529" t="s">
        <v>74</v>
      </c>
      <c r="T529" t="s">
        <v>10658</v>
      </c>
      <c r="U529" t="s">
        <v>10659</v>
      </c>
      <c r="V529" t="s">
        <v>10660</v>
      </c>
      <c r="W529" t="s">
        <v>10661</v>
      </c>
      <c r="X529" t="s">
        <v>10662</v>
      </c>
      <c r="Y529" t="s">
        <v>10663</v>
      </c>
      <c r="Z529" t="s">
        <v>10664</v>
      </c>
      <c r="AA529" t="s">
        <v>10665</v>
      </c>
      <c r="AB529" t="s">
        <v>10666</v>
      </c>
      <c r="AC529" t="s">
        <v>10667</v>
      </c>
      <c r="AD529" t="s">
        <v>10668</v>
      </c>
      <c r="AE529" t="s">
        <v>10669</v>
      </c>
      <c r="AF529" t="s">
        <v>74</v>
      </c>
      <c r="AG529">
        <v>42</v>
      </c>
      <c r="AH529">
        <v>4</v>
      </c>
      <c r="AI529">
        <v>4</v>
      </c>
      <c r="AJ529">
        <v>0</v>
      </c>
      <c r="AK529">
        <v>5</v>
      </c>
      <c r="AL529" t="s">
        <v>178</v>
      </c>
      <c r="AM529" t="s">
        <v>450</v>
      </c>
      <c r="AN529" t="s">
        <v>668</v>
      </c>
      <c r="AO529" t="s">
        <v>4340</v>
      </c>
      <c r="AP529" t="s">
        <v>4341</v>
      </c>
      <c r="AQ529" t="s">
        <v>74</v>
      </c>
      <c r="AR529" t="s">
        <v>4342</v>
      </c>
      <c r="AS529" t="s">
        <v>4343</v>
      </c>
      <c r="AT529" t="s">
        <v>5386</v>
      </c>
      <c r="AU529">
        <v>2022</v>
      </c>
      <c r="AV529">
        <v>45</v>
      </c>
      <c r="AW529">
        <v>8</v>
      </c>
      <c r="AX529" t="s">
        <v>74</v>
      </c>
      <c r="AY529" t="s">
        <v>74</v>
      </c>
      <c r="AZ529" t="s">
        <v>74</v>
      </c>
      <c r="BA529" t="s">
        <v>74</v>
      </c>
      <c r="BB529">
        <v>1459</v>
      </c>
      <c r="BC529">
        <v>1463</v>
      </c>
      <c r="BD529" t="s">
        <v>74</v>
      </c>
      <c r="BE529" t="s">
        <v>10670</v>
      </c>
      <c r="BF529" t="str">
        <f>HYPERLINK("http://dx.doi.org/10.1007/s00300-022-03071-y","http://dx.doi.org/10.1007/s00300-022-03071-y")</f>
        <v>http://dx.doi.org/10.1007/s00300-022-03071-y</v>
      </c>
      <c r="BG529" t="s">
        <v>74</v>
      </c>
      <c r="BH529" t="s">
        <v>7628</v>
      </c>
      <c r="BI529">
        <v>5</v>
      </c>
      <c r="BJ529" t="s">
        <v>1169</v>
      </c>
      <c r="BK529" t="s">
        <v>100</v>
      </c>
      <c r="BL529" t="s">
        <v>1170</v>
      </c>
      <c r="BM529" t="s">
        <v>7747</v>
      </c>
      <c r="BN529" t="s">
        <v>74</v>
      </c>
      <c r="BO529" t="s">
        <v>3952</v>
      </c>
      <c r="BP529" t="s">
        <v>74</v>
      </c>
      <c r="BQ529" t="s">
        <v>74</v>
      </c>
      <c r="BR529" t="s">
        <v>103</v>
      </c>
      <c r="BS529" t="s">
        <v>10671</v>
      </c>
      <c r="BT529" t="str">
        <f>HYPERLINK("https%3A%2F%2Fwww.webofscience.com%2Fwos%2Fwoscc%2Ffull-record%2FWOS:000835608200001","View Full Record in Web of Science")</f>
        <v>View Full Record in Web of Science</v>
      </c>
    </row>
    <row r="530" spans="1:72" x14ac:dyDescent="0.15">
      <c r="A530" t="s">
        <v>72</v>
      </c>
      <c r="B530" t="s">
        <v>10672</v>
      </c>
      <c r="C530" t="s">
        <v>74</v>
      </c>
      <c r="D530" t="s">
        <v>74</v>
      </c>
      <c r="E530" t="s">
        <v>74</v>
      </c>
      <c r="F530" t="s">
        <v>10673</v>
      </c>
      <c r="G530" t="s">
        <v>74</v>
      </c>
      <c r="H530" t="s">
        <v>74</v>
      </c>
      <c r="I530" t="s">
        <v>10674</v>
      </c>
      <c r="J530" t="s">
        <v>8967</v>
      </c>
      <c r="K530" t="s">
        <v>74</v>
      </c>
      <c r="L530" t="s">
        <v>74</v>
      </c>
      <c r="M530" t="s">
        <v>78</v>
      </c>
      <c r="N530" t="s">
        <v>79</v>
      </c>
      <c r="O530" t="s">
        <v>74</v>
      </c>
      <c r="P530" t="s">
        <v>74</v>
      </c>
      <c r="Q530" t="s">
        <v>74</v>
      </c>
      <c r="R530" t="s">
        <v>74</v>
      </c>
      <c r="S530" t="s">
        <v>74</v>
      </c>
      <c r="T530" t="s">
        <v>10675</v>
      </c>
      <c r="U530" t="s">
        <v>10676</v>
      </c>
      <c r="V530" t="s">
        <v>10677</v>
      </c>
      <c r="W530" t="s">
        <v>10678</v>
      </c>
      <c r="X530" t="s">
        <v>10679</v>
      </c>
      <c r="Y530" t="s">
        <v>10680</v>
      </c>
      <c r="Z530" t="s">
        <v>10681</v>
      </c>
      <c r="AA530" t="s">
        <v>10682</v>
      </c>
      <c r="AB530" t="s">
        <v>10683</v>
      </c>
      <c r="AC530" t="s">
        <v>10684</v>
      </c>
      <c r="AD530" t="s">
        <v>10685</v>
      </c>
      <c r="AE530" t="s">
        <v>10686</v>
      </c>
      <c r="AF530" t="s">
        <v>74</v>
      </c>
      <c r="AG530">
        <v>92</v>
      </c>
      <c r="AH530">
        <v>5</v>
      </c>
      <c r="AI530">
        <v>5</v>
      </c>
      <c r="AJ530">
        <v>7</v>
      </c>
      <c r="AK530">
        <v>35</v>
      </c>
      <c r="AL530" t="s">
        <v>8978</v>
      </c>
      <c r="AM530" t="s">
        <v>207</v>
      </c>
      <c r="AN530" t="s">
        <v>8979</v>
      </c>
      <c r="AO530" t="s">
        <v>8980</v>
      </c>
      <c r="AP530" t="s">
        <v>8981</v>
      </c>
      <c r="AQ530" t="s">
        <v>74</v>
      </c>
      <c r="AR530" t="s">
        <v>8982</v>
      </c>
      <c r="AS530" t="s">
        <v>8983</v>
      </c>
      <c r="AT530" t="s">
        <v>10687</v>
      </c>
      <c r="AU530">
        <v>2022</v>
      </c>
      <c r="AV530">
        <v>119</v>
      </c>
      <c r="AW530">
        <v>31</v>
      </c>
      <c r="AX530" t="s">
        <v>74</v>
      </c>
      <c r="AY530" t="s">
        <v>74</v>
      </c>
      <c r="AZ530" t="s">
        <v>74</v>
      </c>
      <c r="BA530" t="s">
        <v>74</v>
      </c>
      <c r="BB530" t="s">
        <v>74</v>
      </c>
      <c r="BC530" t="s">
        <v>74</v>
      </c>
      <c r="BD530" t="s">
        <v>10688</v>
      </c>
      <c r="BE530" t="s">
        <v>10689</v>
      </c>
      <c r="BF530" t="str">
        <f>HYPERLINK("http://dx.doi.org/10.1073/pnas.2202039119","http://dx.doi.org/10.1073/pnas.2202039119")</f>
        <v>http://dx.doi.org/10.1073/pnas.2202039119</v>
      </c>
      <c r="BG530" t="s">
        <v>74</v>
      </c>
      <c r="BH530" t="s">
        <v>74</v>
      </c>
      <c r="BI530">
        <v>10</v>
      </c>
      <c r="BJ530" t="s">
        <v>156</v>
      </c>
      <c r="BK530" t="s">
        <v>100</v>
      </c>
      <c r="BL530" t="s">
        <v>157</v>
      </c>
      <c r="BM530" t="s">
        <v>10690</v>
      </c>
      <c r="BN530">
        <v>35878029</v>
      </c>
      <c r="BO530" t="s">
        <v>1341</v>
      </c>
      <c r="BP530" t="s">
        <v>74</v>
      </c>
      <c r="BQ530" t="s">
        <v>74</v>
      </c>
      <c r="BR530" t="s">
        <v>103</v>
      </c>
      <c r="BS530" t="s">
        <v>10691</v>
      </c>
      <c r="BT530" t="str">
        <f>HYPERLINK("https%3A%2F%2Fwww.webofscience.com%2Fwos%2Fwoscc%2Ffull-record%2FWOS:000892124300010","View Full Record in Web of Science")</f>
        <v>View Full Record in Web of Science</v>
      </c>
    </row>
    <row r="531" spans="1:72" x14ac:dyDescent="0.15">
      <c r="A531" t="s">
        <v>72</v>
      </c>
      <c r="B531" t="s">
        <v>10692</v>
      </c>
      <c r="C531" t="s">
        <v>74</v>
      </c>
      <c r="D531" t="s">
        <v>74</v>
      </c>
      <c r="E531" t="s">
        <v>74</v>
      </c>
      <c r="F531" t="s">
        <v>10693</v>
      </c>
      <c r="G531" t="s">
        <v>74</v>
      </c>
      <c r="H531" t="s">
        <v>74</v>
      </c>
      <c r="I531" t="s">
        <v>10694</v>
      </c>
      <c r="J531" t="s">
        <v>8967</v>
      </c>
      <c r="K531" t="s">
        <v>74</v>
      </c>
      <c r="L531" t="s">
        <v>74</v>
      </c>
      <c r="M531" t="s">
        <v>78</v>
      </c>
      <c r="N531" t="s">
        <v>79</v>
      </c>
      <c r="O531" t="s">
        <v>74</v>
      </c>
      <c r="P531" t="s">
        <v>74</v>
      </c>
      <c r="Q531" t="s">
        <v>74</v>
      </c>
      <c r="R531" t="s">
        <v>74</v>
      </c>
      <c r="S531" t="s">
        <v>74</v>
      </c>
      <c r="T531" t="s">
        <v>10695</v>
      </c>
      <c r="U531" t="s">
        <v>10696</v>
      </c>
      <c r="V531" t="s">
        <v>10697</v>
      </c>
      <c r="W531" t="s">
        <v>10698</v>
      </c>
      <c r="X531" t="s">
        <v>10699</v>
      </c>
      <c r="Y531" t="s">
        <v>10700</v>
      </c>
      <c r="Z531" t="s">
        <v>10701</v>
      </c>
      <c r="AA531" t="s">
        <v>10702</v>
      </c>
      <c r="AB531" t="s">
        <v>10703</v>
      </c>
      <c r="AC531" t="s">
        <v>10704</v>
      </c>
      <c r="AD531" t="s">
        <v>10705</v>
      </c>
      <c r="AE531" t="s">
        <v>10706</v>
      </c>
      <c r="AF531" t="s">
        <v>74</v>
      </c>
      <c r="AG531">
        <v>153</v>
      </c>
      <c r="AH531">
        <v>18</v>
      </c>
      <c r="AI531">
        <v>20</v>
      </c>
      <c r="AJ531">
        <v>19</v>
      </c>
      <c r="AK531">
        <v>75</v>
      </c>
      <c r="AL531" t="s">
        <v>8978</v>
      </c>
      <c r="AM531" t="s">
        <v>207</v>
      </c>
      <c r="AN531" t="s">
        <v>8979</v>
      </c>
      <c r="AO531" t="s">
        <v>8980</v>
      </c>
      <c r="AP531" t="s">
        <v>8981</v>
      </c>
      <c r="AQ531" t="s">
        <v>74</v>
      </c>
      <c r="AR531" t="s">
        <v>8982</v>
      </c>
      <c r="AS531" t="s">
        <v>8983</v>
      </c>
      <c r="AT531" t="s">
        <v>10687</v>
      </c>
      <c r="AU531">
        <v>2022</v>
      </c>
      <c r="AV531">
        <v>119</v>
      </c>
      <c r="AW531">
        <v>31</v>
      </c>
      <c r="AX531" t="s">
        <v>74</v>
      </c>
      <c r="AY531" t="s">
        <v>74</v>
      </c>
      <c r="AZ531" t="s">
        <v>74</v>
      </c>
      <c r="BA531" t="s">
        <v>74</v>
      </c>
      <c r="BB531" t="s">
        <v>74</v>
      </c>
      <c r="BC531" t="s">
        <v>74</v>
      </c>
      <c r="BD531" t="s">
        <v>10707</v>
      </c>
      <c r="BE531" t="s">
        <v>10708</v>
      </c>
      <c r="BF531" t="str">
        <f>HYPERLINK("http://dx.doi.org/10.1073/pnas.2123193119","http://dx.doi.org/10.1073/pnas.2123193119")</f>
        <v>http://dx.doi.org/10.1073/pnas.2123193119</v>
      </c>
      <c r="BG531" t="s">
        <v>74</v>
      </c>
      <c r="BH531" t="s">
        <v>74</v>
      </c>
      <c r="BI531">
        <v>10</v>
      </c>
      <c r="BJ531" t="s">
        <v>156</v>
      </c>
      <c r="BK531" t="s">
        <v>100</v>
      </c>
      <c r="BL531" t="s">
        <v>157</v>
      </c>
      <c r="BM531" t="s">
        <v>10709</v>
      </c>
      <c r="BN531">
        <v>35905325</v>
      </c>
      <c r="BO531" t="s">
        <v>1221</v>
      </c>
      <c r="BP531" t="s">
        <v>74</v>
      </c>
      <c r="BQ531" t="s">
        <v>74</v>
      </c>
      <c r="BR531" t="s">
        <v>103</v>
      </c>
      <c r="BS531" t="s">
        <v>10710</v>
      </c>
      <c r="BT531" t="str">
        <f>HYPERLINK("https%3A%2F%2Fwww.webofscience.com%2Fwos%2Fwoscc%2Ffull-record%2FWOS:000881496900010","View Full Record in Web of Science")</f>
        <v>View Full Record in Web of Science</v>
      </c>
    </row>
    <row r="532" spans="1:72" x14ac:dyDescent="0.15">
      <c r="A532" t="s">
        <v>72</v>
      </c>
      <c r="B532" t="s">
        <v>10711</v>
      </c>
      <c r="C532" t="s">
        <v>74</v>
      </c>
      <c r="D532" t="s">
        <v>74</v>
      </c>
      <c r="E532" t="s">
        <v>74</v>
      </c>
      <c r="F532" t="s">
        <v>10712</v>
      </c>
      <c r="G532" t="s">
        <v>74</v>
      </c>
      <c r="H532" t="s">
        <v>74</v>
      </c>
      <c r="I532" t="s">
        <v>10713</v>
      </c>
      <c r="J532" t="s">
        <v>5452</v>
      </c>
      <c r="K532" t="s">
        <v>74</v>
      </c>
      <c r="L532" t="s">
        <v>74</v>
      </c>
      <c r="M532" t="s">
        <v>78</v>
      </c>
      <c r="N532" t="s">
        <v>79</v>
      </c>
      <c r="O532" t="s">
        <v>74</v>
      </c>
      <c r="P532" t="s">
        <v>74</v>
      </c>
      <c r="Q532" t="s">
        <v>74</v>
      </c>
      <c r="R532" t="s">
        <v>74</v>
      </c>
      <c r="S532" t="s">
        <v>74</v>
      </c>
      <c r="T532" t="s">
        <v>10714</v>
      </c>
      <c r="U532" t="s">
        <v>10715</v>
      </c>
      <c r="V532" t="s">
        <v>10716</v>
      </c>
      <c r="W532" t="s">
        <v>10717</v>
      </c>
      <c r="X532" t="s">
        <v>10718</v>
      </c>
      <c r="Y532" t="s">
        <v>10719</v>
      </c>
      <c r="Z532" t="s">
        <v>10720</v>
      </c>
      <c r="AA532" t="s">
        <v>74</v>
      </c>
      <c r="AB532" t="s">
        <v>10721</v>
      </c>
      <c r="AC532" t="s">
        <v>10722</v>
      </c>
      <c r="AD532" t="s">
        <v>10723</v>
      </c>
      <c r="AE532" t="s">
        <v>10724</v>
      </c>
      <c r="AF532" t="s">
        <v>74</v>
      </c>
      <c r="AG532">
        <v>46</v>
      </c>
      <c r="AH532">
        <v>2</v>
      </c>
      <c r="AI532">
        <v>2</v>
      </c>
      <c r="AJ532">
        <v>2</v>
      </c>
      <c r="AK532">
        <v>7</v>
      </c>
      <c r="AL532" t="s">
        <v>501</v>
      </c>
      <c r="AM532" t="s">
        <v>502</v>
      </c>
      <c r="AN532" t="s">
        <v>503</v>
      </c>
      <c r="AO532" t="s">
        <v>5464</v>
      </c>
      <c r="AP532" t="s">
        <v>5465</v>
      </c>
      <c r="AQ532" t="s">
        <v>74</v>
      </c>
      <c r="AR532" t="s">
        <v>5466</v>
      </c>
      <c r="AS532" t="s">
        <v>5467</v>
      </c>
      <c r="AT532" t="s">
        <v>4180</v>
      </c>
      <c r="AU532">
        <v>2022</v>
      </c>
      <c r="AV532">
        <v>602</v>
      </c>
      <c r="AW532" t="s">
        <v>74</v>
      </c>
      <c r="AX532" t="s">
        <v>74</v>
      </c>
      <c r="AY532" t="s">
        <v>74</v>
      </c>
      <c r="AZ532" t="s">
        <v>74</v>
      </c>
      <c r="BA532" t="s">
        <v>74</v>
      </c>
      <c r="BB532" t="s">
        <v>74</v>
      </c>
      <c r="BC532" t="s">
        <v>74</v>
      </c>
      <c r="BD532">
        <v>111161</v>
      </c>
      <c r="BE532" t="s">
        <v>10725</v>
      </c>
      <c r="BF532" t="str">
        <f>HYPERLINK("http://dx.doi.org/10.1016/j.palaeo.2022.111161","http://dx.doi.org/10.1016/j.palaeo.2022.111161")</f>
        <v>http://dx.doi.org/10.1016/j.palaeo.2022.111161</v>
      </c>
      <c r="BG532" t="s">
        <v>74</v>
      </c>
      <c r="BH532" t="s">
        <v>7628</v>
      </c>
      <c r="BI532">
        <v>10</v>
      </c>
      <c r="BJ532" t="s">
        <v>5469</v>
      </c>
      <c r="BK532" t="s">
        <v>100</v>
      </c>
      <c r="BL532" t="s">
        <v>5470</v>
      </c>
      <c r="BM532" t="s">
        <v>10726</v>
      </c>
      <c r="BN532" t="s">
        <v>74</v>
      </c>
      <c r="BO532" t="s">
        <v>74</v>
      </c>
      <c r="BP532" t="s">
        <v>74</v>
      </c>
      <c r="BQ532" t="s">
        <v>74</v>
      </c>
      <c r="BR532" t="s">
        <v>103</v>
      </c>
      <c r="BS532" t="s">
        <v>10727</v>
      </c>
      <c r="BT532" t="str">
        <f>HYPERLINK("https%3A%2F%2Fwww.webofscience.com%2Fwos%2Fwoscc%2Ffull-record%2FWOS:000842979300002","View Full Record in Web of Science")</f>
        <v>View Full Record in Web of Science</v>
      </c>
    </row>
    <row r="533" spans="1:72" x14ac:dyDescent="0.15">
      <c r="A533" t="s">
        <v>72</v>
      </c>
      <c r="B533" t="s">
        <v>10728</v>
      </c>
      <c r="C533" t="s">
        <v>74</v>
      </c>
      <c r="D533" t="s">
        <v>74</v>
      </c>
      <c r="E533" t="s">
        <v>74</v>
      </c>
      <c r="F533" t="s">
        <v>10729</v>
      </c>
      <c r="G533" t="s">
        <v>74</v>
      </c>
      <c r="H533" t="s">
        <v>74</v>
      </c>
      <c r="I533" t="s">
        <v>10730</v>
      </c>
      <c r="J533" t="s">
        <v>8472</v>
      </c>
      <c r="K533" t="s">
        <v>74</v>
      </c>
      <c r="L533" t="s">
        <v>74</v>
      </c>
      <c r="M533" t="s">
        <v>78</v>
      </c>
      <c r="N533" t="s">
        <v>79</v>
      </c>
      <c r="O533" t="s">
        <v>74</v>
      </c>
      <c r="P533" t="s">
        <v>74</v>
      </c>
      <c r="Q533" t="s">
        <v>74</v>
      </c>
      <c r="R533" t="s">
        <v>74</v>
      </c>
      <c r="S533" t="s">
        <v>74</v>
      </c>
      <c r="T533" t="s">
        <v>10731</v>
      </c>
      <c r="U533" t="s">
        <v>10732</v>
      </c>
      <c r="V533" t="s">
        <v>10733</v>
      </c>
      <c r="W533" t="s">
        <v>10734</v>
      </c>
      <c r="X533" t="s">
        <v>10735</v>
      </c>
      <c r="Y533" t="s">
        <v>10736</v>
      </c>
      <c r="Z533" t="s">
        <v>10737</v>
      </c>
      <c r="AA533" t="s">
        <v>10738</v>
      </c>
      <c r="AB533" t="s">
        <v>10739</v>
      </c>
      <c r="AC533" t="s">
        <v>10740</v>
      </c>
      <c r="AD533" t="s">
        <v>10741</v>
      </c>
      <c r="AE533" t="s">
        <v>10742</v>
      </c>
      <c r="AF533" t="s">
        <v>74</v>
      </c>
      <c r="AG533">
        <v>84</v>
      </c>
      <c r="AH533">
        <v>7</v>
      </c>
      <c r="AI533">
        <v>7</v>
      </c>
      <c r="AJ533">
        <v>4</v>
      </c>
      <c r="AK533">
        <v>23</v>
      </c>
      <c r="AL533" t="s">
        <v>178</v>
      </c>
      <c r="AM533" t="s">
        <v>450</v>
      </c>
      <c r="AN533" t="s">
        <v>668</v>
      </c>
      <c r="AO533" t="s">
        <v>8484</v>
      </c>
      <c r="AP533" t="s">
        <v>8485</v>
      </c>
      <c r="AQ533" t="s">
        <v>74</v>
      </c>
      <c r="AR533" t="s">
        <v>8486</v>
      </c>
      <c r="AS533" t="s">
        <v>8487</v>
      </c>
      <c r="AT533" t="s">
        <v>2418</v>
      </c>
      <c r="AU533">
        <v>2023</v>
      </c>
      <c r="AV533">
        <v>60</v>
      </c>
      <c r="AW533" t="s">
        <v>10743</v>
      </c>
      <c r="AX533" t="s">
        <v>74</v>
      </c>
      <c r="AY533" t="s">
        <v>74</v>
      </c>
      <c r="AZ533" t="s">
        <v>74</v>
      </c>
      <c r="BA533" t="s">
        <v>74</v>
      </c>
      <c r="BB533">
        <v>2003</v>
      </c>
      <c r="BC533">
        <v>2039</v>
      </c>
      <c r="BD533" t="s">
        <v>74</v>
      </c>
      <c r="BE533" t="s">
        <v>10744</v>
      </c>
      <c r="BF533" t="str">
        <f>HYPERLINK("http://dx.doi.org/10.1007/s00382-022-06386-y","http://dx.doi.org/10.1007/s00382-022-06386-y")</f>
        <v>http://dx.doi.org/10.1007/s00382-022-06386-y</v>
      </c>
      <c r="BG533" t="s">
        <v>74</v>
      </c>
      <c r="BH533" t="s">
        <v>7628</v>
      </c>
      <c r="BI533">
        <v>37</v>
      </c>
      <c r="BJ533" t="s">
        <v>457</v>
      </c>
      <c r="BK533" t="s">
        <v>100</v>
      </c>
      <c r="BL533" t="s">
        <v>457</v>
      </c>
      <c r="BM533" t="s">
        <v>10745</v>
      </c>
      <c r="BN533" t="s">
        <v>74</v>
      </c>
      <c r="BO533" t="s">
        <v>4217</v>
      </c>
      <c r="BP533" t="s">
        <v>74</v>
      </c>
      <c r="BQ533" t="s">
        <v>74</v>
      </c>
      <c r="BR533" t="s">
        <v>103</v>
      </c>
      <c r="BS533" t="s">
        <v>10746</v>
      </c>
      <c r="BT533" t="str">
        <f>HYPERLINK("https%3A%2F%2Fwww.webofscience.com%2Fwos%2Fwoscc%2Ffull-record%2FWOS:000836361100002","View Full Record in Web of Science")</f>
        <v>View Full Record in Web of Science</v>
      </c>
    </row>
    <row r="534" spans="1:72" x14ac:dyDescent="0.15">
      <c r="A534" t="s">
        <v>72</v>
      </c>
      <c r="B534" t="s">
        <v>10747</v>
      </c>
      <c r="C534" t="s">
        <v>74</v>
      </c>
      <c r="D534" t="s">
        <v>74</v>
      </c>
      <c r="E534" t="s">
        <v>74</v>
      </c>
      <c r="F534" t="s">
        <v>10748</v>
      </c>
      <c r="G534" t="s">
        <v>74</v>
      </c>
      <c r="H534" t="s">
        <v>74</v>
      </c>
      <c r="I534" t="s">
        <v>10749</v>
      </c>
      <c r="J534" t="s">
        <v>5919</v>
      </c>
      <c r="K534" t="s">
        <v>74</v>
      </c>
      <c r="L534" t="s">
        <v>74</v>
      </c>
      <c r="M534" t="s">
        <v>78</v>
      </c>
      <c r="N534" t="s">
        <v>79</v>
      </c>
      <c r="O534" t="s">
        <v>74</v>
      </c>
      <c r="P534" t="s">
        <v>74</v>
      </c>
      <c r="Q534" t="s">
        <v>74</v>
      </c>
      <c r="R534" t="s">
        <v>74</v>
      </c>
      <c r="S534" t="s">
        <v>74</v>
      </c>
      <c r="T534" t="s">
        <v>10750</v>
      </c>
      <c r="U534" t="s">
        <v>10751</v>
      </c>
      <c r="V534" t="s">
        <v>10752</v>
      </c>
      <c r="W534" t="s">
        <v>10753</v>
      </c>
      <c r="X534" t="s">
        <v>10754</v>
      </c>
      <c r="Y534" t="s">
        <v>10755</v>
      </c>
      <c r="Z534" t="s">
        <v>10756</v>
      </c>
      <c r="AA534" t="s">
        <v>10757</v>
      </c>
      <c r="AB534" t="s">
        <v>74</v>
      </c>
      <c r="AC534" t="s">
        <v>10758</v>
      </c>
      <c r="AD534" t="s">
        <v>10759</v>
      </c>
      <c r="AE534" t="s">
        <v>10760</v>
      </c>
      <c r="AF534" t="s">
        <v>74</v>
      </c>
      <c r="AG534">
        <v>148</v>
      </c>
      <c r="AH534">
        <v>1</v>
      </c>
      <c r="AI534">
        <v>1</v>
      </c>
      <c r="AJ534">
        <v>1</v>
      </c>
      <c r="AK534">
        <v>9</v>
      </c>
      <c r="AL534" t="s">
        <v>501</v>
      </c>
      <c r="AM534" t="s">
        <v>502</v>
      </c>
      <c r="AN534" t="s">
        <v>503</v>
      </c>
      <c r="AO534" t="s">
        <v>5930</v>
      </c>
      <c r="AP534" t="s">
        <v>5931</v>
      </c>
      <c r="AQ534" t="s">
        <v>74</v>
      </c>
      <c r="AR534" t="s">
        <v>5919</v>
      </c>
      <c r="AS534" t="s">
        <v>5932</v>
      </c>
      <c r="AT534" t="s">
        <v>1633</v>
      </c>
      <c r="AU534">
        <v>2022</v>
      </c>
      <c r="AV534">
        <v>414</v>
      </c>
      <c r="AW534" t="s">
        <v>74</v>
      </c>
      <c r="AX534" t="s">
        <v>74</v>
      </c>
      <c r="AY534" t="s">
        <v>74</v>
      </c>
      <c r="AZ534" t="s">
        <v>74</v>
      </c>
      <c r="BA534" t="s">
        <v>74</v>
      </c>
      <c r="BB534" t="s">
        <v>74</v>
      </c>
      <c r="BC534" t="s">
        <v>74</v>
      </c>
      <c r="BD534">
        <v>108381</v>
      </c>
      <c r="BE534" t="s">
        <v>10761</v>
      </c>
      <c r="BF534" t="str">
        <f>HYPERLINK("http://dx.doi.org/10.1016/j.geomorph.2022.108381","http://dx.doi.org/10.1016/j.geomorph.2022.108381")</f>
        <v>http://dx.doi.org/10.1016/j.geomorph.2022.108381</v>
      </c>
      <c r="BG534" t="s">
        <v>74</v>
      </c>
      <c r="BH534" t="s">
        <v>7628</v>
      </c>
      <c r="BI534">
        <v>15</v>
      </c>
      <c r="BJ534" t="s">
        <v>354</v>
      </c>
      <c r="BK534" t="s">
        <v>100</v>
      </c>
      <c r="BL534" t="s">
        <v>241</v>
      </c>
      <c r="BM534" t="s">
        <v>10762</v>
      </c>
      <c r="BN534" t="s">
        <v>74</v>
      </c>
      <c r="BO534" t="s">
        <v>2260</v>
      </c>
      <c r="BP534" t="s">
        <v>74</v>
      </c>
      <c r="BQ534" t="s">
        <v>74</v>
      </c>
      <c r="BR534" t="s">
        <v>103</v>
      </c>
      <c r="BS534" t="s">
        <v>10763</v>
      </c>
      <c r="BT534" t="str">
        <f>HYPERLINK("https%3A%2F%2Fwww.webofscience.com%2Fwos%2Fwoscc%2Ffull-record%2FWOS:000837417300002","View Full Record in Web of Science")</f>
        <v>View Full Record in Web of Science</v>
      </c>
    </row>
    <row r="535" spans="1:72" x14ac:dyDescent="0.15">
      <c r="A535" t="s">
        <v>72</v>
      </c>
      <c r="B535" t="s">
        <v>10764</v>
      </c>
      <c r="C535" t="s">
        <v>74</v>
      </c>
      <c r="D535" t="s">
        <v>74</v>
      </c>
      <c r="E535" t="s">
        <v>74</v>
      </c>
      <c r="F535" t="s">
        <v>10765</v>
      </c>
      <c r="G535" t="s">
        <v>74</v>
      </c>
      <c r="H535" t="s">
        <v>74</v>
      </c>
      <c r="I535" t="s">
        <v>10766</v>
      </c>
      <c r="J535" t="s">
        <v>10767</v>
      </c>
      <c r="K535" t="s">
        <v>74</v>
      </c>
      <c r="L535" t="s">
        <v>74</v>
      </c>
      <c r="M535" t="s">
        <v>78</v>
      </c>
      <c r="N535" t="s">
        <v>165</v>
      </c>
      <c r="O535" t="s">
        <v>74</v>
      </c>
      <c r="P535" t="s">
        <v>74</v>
      </c>
      <c r="Q535" t="s">
        <v>74</v>
      </c>
      <c r="R535" t="s">
        <v>74</v>
      </c>
      <c r="S535" t="s">
        <v>74</v>
      </c>
      <c r="T535" t="s">
        <v>10768</v>
      </c>
      <c r="U535" t="s">
        <v>10769</v>
      </c>
      <c r="V535" t="s">
        <v>10770</v>
      </c>
      <c r="W535" t="s">
        <v>10771</v>
      </c>
      <c r="X535" t="s">
        <v>10772</v>
      </c>
      <c r="Y535" t="s">
        <v>10773</v>
      </c>
      <c r="Z535" t="s">
        <v>10774</v>
      </c>
      <c r="AA535" t="s">
        <v>10775</v>
      </c>
      <c r="AB535" t="s">
        <v>10776</v>
      </c>
      <c r="AC535" t="s">
        <v>10777</v>
      </c>
      <c r="AD535" t="s">
        <v>10778</v>
      </c>
      <c r="AE535" t="s">
        <v>10779</v>
      </c>
      <c r="AF535" t="s">
        <v>74</v>
      </c>
      <c r="AG535">
        <v>181</v>
      </c>
      <c r="AH535">
        <v>0</v>
      </c>
      <c r="AI535">
        <v>0</v>
      </c>
      <c r="AJ535">
        <v>1</v>
      </c>
      <c r="AK535">
        <v>13</v>
      </c>
      <c r="AL535" t="s">
        <v>641</v>
      </c>
      <c r="AM535" t="s">
        <v>642</v>
      </c>
      <c r="AN535" t="s">
        <v>643</v>
      </c>
      <c r="AO535" t="s">
        <v>10780</v>
      </c>
      <c r="AP535" t="s">
        <v>10781</v>
      </c>
      <c r="AQ535" t="s">
        <v>74</v>
      </c>
      <c r="AR535" t="s">
        <v>10782</v>
      </c>
      <c r="AS535" t="s">
        <v>10783</v>
      </c>
      <c r="AT535" t="s">
        <v>10784</v>
      </c>
      <c r="AU535">
        <v>2022</v>
      </c>
      <c r="AV535">
        <v>45</v>
      </c>
      <c r="AW535">
        <v>3</v>
      </c>
      <c r="AX535" t="s">
        <v>74</v>
      </c>
      <c r="AY535" t="s">
        <v>74</v>
      </c>
      <c r="AZ535" t="s">
        <v>74</v>
      </c>
      <c r="BA535" t="s">
        <v>74</v>
      </c>
      <c r="BB535">
        <v>197</v>
      </c>
      <c r="BC535">
        <v>225</v>
      </c>
      <c r="BD535" t="s">
        <v>74</v>
      </c>
      <c r="BE535" t="s">
        <v>10785</v>
      </c>
      <c r="BF535" t="str">
        <f>HYPERLINK("http://dx.doi.org/10.1080/1088937X.2022.2105969","http://dx.doi.org/10.1080/1088937X.2022.2105969")</f>
        <v>http://dx.doi.org/10.1080/1088937X.2022.2105969</v>
      </c>
      <c r="BG535" t="s">
        <v>74</v>
      </c>
      <c r="BH535" t="s">
        <v>7628</v>
      </c>
      <c r="BI535">
        <v>29</v>
      </c>
      <c r="BJ535" t="s">
        <v>10786</v>
      </c>
      <c r="BK535" t="s">
        <v>215</v>
      </c>
      <c r="BL535" t="s">
        <v>10787</v>
      </c>
      <c r="BM535" t="s">
        <v>10788</v>
      </c>
      <c r="BN535" t="s">
        <v>74</v>
      </c>
      <c r="BO535" t="s">
        <v>74</v>
      </c>
      <c r="BP535" t="s">
        <v>74</v>
      </c>
      <c r="BQ535" t="s">
        <v>74</v>
      </c>
      <c r="BR535" t="s">
        <v>103</v>
      </c>
      <c r="BS535" t="s">
        <v>10789</v>
      </c>
      <c r="BT535" t="str">
        <f>HYPERLINK("https%3A%2F%2Fwww.webofscience.com%2Fwos%2Fwoscc%2Ffull-record%2FWOS:000836719300001","View Full Record in Web of Science")</f>
        <v>View Full Record in Web of Science</v>
      </c>
    </row>
    <row r="536" spans="1:72" x14ac:dyDescent="0.15">
      <c r="A536" t="s">
        <v>72</v>
      </c>
      <c r="B536" t="s">
        <v>10790</v>
      </c>
      <c r="C536" t="s">
        <v>74</v>
      </c>
      <c r="D536" t="s">
        <v>74</v>
      </c>
      <c r="E536" t="s">
        <v>74</v>
      </c>
      <c r="F536" t="s">
        <v>10791</v>
      </c>
      <c r="G536" t="s">
        <v>74</v>
      </c>
      <c r="H536" t="s">
        <v>74</v>
      </c>
      <c r="I536" t="s">
        <v>10792</v>
      </c>
      <c r="J536" t="s">
        <v>137</v>
      </c>
      <c r="K536" t="s">
        <v>74</v>
      </c>
      <c r="L536" t="s">
        <v>74</v>
      </c>
      <c r="M536" t="s">
        <v>78</v>
      </c>
      <c r="N536" t="s">
        <v>79</v>
      </c>
      <c r="O536" t="s">
        <v>74</v>
      </c>
      <c r="P536" t="s">
        <v>74</v>
      </c>
      <c r="Q536" t="s">
        <v>74</v>
      </c>
      <c r="R536" t="s">
        <v>74</v>
      </c>
      <c r="S536" t="s">
        <v>74</v>
      </c>
      <c r="T536" t="s">
        <v>74</v>
      </c>
      <c r="U536" t="s">
        <v>10793</v>
      </c>
      <c r="V536" t="s">
        <v>10794</v>
      </c>
      <c r="W536" t="s">
        <v>10795</v>
      </c>
      <c r="X536" t="s">
        <v>10796</v>
      </c>
      <c r="Y536" t="s">
        <v>10797</v>
      </c>
      <c r="Z536" t="s">
        <v>10798</v>
      </c>
      <c r="AA536" t="s">
        <v>10799</v>
      </c>
      <c r="AB536" t="s">
        <v>10800</v>
      </c>
      <c r="AC536" t="s">
        <v>10801</v>
      </c>
      <c r="AD536" t="s">
        <v>10802</v>
      </c>
      <c r="AE536" t="s">
        <v>10803</v>
      </c>
      <c r="AF536" t="s">
        <v>74</v>
      </c>
      <c r="AG536">
        <v>113</v>
      </c>
      <c r="AH536">
        <v>1</v>
      </c>
      <c r="AI536">
        <v>1</v>
      </c>
      <c r="AJ536">
        <v>5</v>
      </c>
      <c r="AK536">
        <v>17</v>
      </c>
      <c r="AL536" t="s">
        <v>149</v>
      </c>
      <c r="AM536" t="s">
        <v>150</v>
      </c>
      <c r="AN536" t="s">
        <v>151</v>
      </c>
      <c r="AO536" t="s">
        <v>74</v>
      </c>
      <c r="AP536" t="s">
        <v>152</v>
      </c>
      <c r="AQ536" t="s">
        <v>74</v>
      </c>
      <c r="AR536" t="s">
        <v>153</v>
      </c>
      <c r="AS536" t="s">
        <v>154</v>
      </c>
      <c r="AT536" t="s">
        <v>10687</v>
      </c>
      <c r="AU536">
        <v>2022</v>
      </c>
      <c r="AV536">
        <v>13</v>
      </c>
      <c r="AW536">
        <v>1</v>
      </c>
      <c r="AX536" t="s">
        <v>74</v>
      </c>
      <c r="AY536" t="s">
        <v>74</v>
      </c>
      <c r="AZ536" t="s">
        <v>74</v>
      </c>
      <c r="BA536" t="s">
        <v>74</v>
      </c>
      <c r="BB536" t="s">
        <v>74</v>
      </c>
      <c r="BC536" t="s">
        <v>74</v>
      </c>
      <c r="BD536">
        <v>4322</v>
      </c>
      <c r="BE536" t="s">
        <v>10804</v>
      </c>
      <c r="BF536" t="str">
        <f>HYPERLINK("http://dx.doi.org/10.1038/s41467-022-31863-7","http://dx.doi.org/10.1038/s41467-022-31863-7")</f>
        <v>http://dx.doi.org/10.1038/s41467-022-31863-7</v>
      </c>
      <c r="BG536" t="s">
        <v>74</v>
      </c>
      <c r="BH536" t="s">
        <v>74</v>
      </c>
      <c r="BI536">
        <v>15</v>
      </c>
      <c r="BJ536" t="s">
        <v>156</v>
      </c>
      <c r="BK536" t="s">
        <v>100</v>
      </c>
      <c r="BL536" t="s">
        <v>157</v>
      </c>
      <c r="BM536" t="s">
        <v>10805</v>
      </c>
      <c r="BN536">
        <v>35918323</v>
      </c>
      <c r="BO536" t="s">
        <v>132</v>
      </c>
      <c r="BP536" t="s">
        <v>74</v>
      </c>
      <c r="BQ536" t="s">
        <v>74</v>
      </c>
      <c r="BR536" t="s">
        <v>103</v>
      </c>
      <c r="BS536" t="s">
        <v>10806</v>
      </c>
      <c r="BT536" t="str">
        <f>HYPERLINK("https%3A%2F%2Fwww.webofscience.com%2Fwos%2Fwoscc%2Ffull-record%2FWOS:000836703600018","View Full Record in Web of Science")</f>
        <v>View Full Record in Web of Science</v>
      </c>
    </row>
    <row r="537" spans="1:72" x14ac:dyDescent="0.15">
      <c r="A537" t="s">
        <v>72</v>
      </c>
      <c r="B537" t="s">
        <v>10807</v>
      </c>
      <c r="C537" t="s">
        <v>74</v>
      </c>
      <c r="D537" t="s">
        <v>74</v>
      </c>
      <c r="E537" t="s">
        <v>74</v>
      </c>
      <c r="F537" t="s">
        <v>10808</v>
      </c>
      <c r="G537" t="s">
        <v>74</v>
      </c>
      <c r="H537" t="s">
        <v>74</v>
      </c>
      <c r="I537" t="s">
        <v>10809</v>
      </c>
      <c r="J537" t="s">
        <v>2314</v>
      </c>
      <c r="K537" t="s">
        <v>74</v>
      </c>
      <c r="L537" t="s">
        <v>74</v>
      </c>
      <c r="M537" t="s">
        <v>78</v>
      </c>
      <c r="N537" t="s">
        <v>79</v>
      </c>
      <c r="O537" t="s">
        <v>74</v>
      </c>
      <c r="P537" t="s">
        <v>74</v>
      </c>
      <c r="Q537" t="s">
        <v>74</v>
      </c>
      <c r="R537" t="s">
        <v>74</v>
      </c>
      <c r="S537" t="s">
        <v>74</v>
      </c>
      <c r="T537" t="s">
        <v>74</v>
      </c>
      <c r="U537" t="s">
        <v>10810</v>
      </c>
      <c r="V537" t="s">
        <v>10811</v>
      </c>
      <c r="W537" t="s">
        <v>10812</v>
      </c>
      <c r="X537" t="s">
        <v>10813</v>
      </c>
      <c r="Y537" t="s">
        <v>10814</v>
      </c>
      <c r="Z537" t="s">
        <v>10815</v>
      </c>
      <c r="AA537" t="s">
        <v>10816</v>
      </c>
      <c r="AB537" t="s">
        <v>10817</v>
      </c>
      <c r="AC537" t="s">
        <v>10818</v>
      </c>
      <c r="AD537" t="s">
        <v>10819</v>
      </c>
      <c r="AE537" t="s">
        <v>10820</v>
      </c>
      <c r="AF537" t="s">
        <v>74</v>
      </c>
      <c r="AG537">
        <v>41</v>
      </c>
      <c r="AH537">
        <v>18</v>
      </c>
      <c r="AI537">
        <v>20</v>
      </c>
      <c r="AJ537">
        <v>5</v>
      </c>
      <c r="AK537">
        <v>32</v>
      </c>
      <c r="AL537" t="s">
        <v>149</v>
      </c>
      <c r="AM537" t="s">
        <v>150</v>
      </c>
      <c r="AN537" t="s">
        <v>151</v>
      </c>
      <c r="AO537" t="s">
        <v>2326</v>
      </c>
      <c r="AP537" t="s">
        <v>2327</v>
      </c>
      <c r="AQ537" t="s">
        <v>74</v>
      </c>
      <c r="AR537" t="s">
        <v>2328</v>
      </c>
      <c r="AS537" t="s">
        <v>2329</v>
      </c>
      <c r="AT537" t="s">
        <v>5386</v>
      </c>
      <c r="AU537">
        <v>2022</v>
      </c>
      <c r="AV537">
        <v>12</v>
      </c>
      <c r="AW537">
        <v>8</v>
      </c>
      <c r="AX537" t="s">
        <v>74</v>
      </c>
      <c r="AY537" t="s">
        <v>74</v>
      </c>
      <c r="AZ537" t="s">
        <v>74</v>
      </c>
      <c r="BA537" t="s">
        <v>74</v>
      </c>
      <c r="BB537">
        <v>728</v>
      </c>
      <c r="BC537" t="s">
        <v>2114</v>
      </c>
      <c r="BD537" t="s">
        <v>74</v>
      </c>
      <c r="BE537" t="s">
        <v>10821</v>
      </c>
      <c r="BF537" t="str">
        <f>HYPERLINK("http://dx.doi.org/10.1038/s41558-022-01424-3","http://dx.doi.org/10.1038/s41558-022-01424-3")</f>
        <v>http://dx.doi.org/10.1038/s41558-022-01424-3</v>
      </c>
      <c r="BG537" t="s">
        <v>74</v>
      </c>
      <c r="BH537" t="s">
        <v>7628</v>
      </c>
      <c r="BI537">
        <v>8</v>
      </c>
      <c r="BJ537" t="s">
        <v>2331</v>
      </c>
      <c r="BK537" t="s">
        <v>2332</v>
      </c>
      <c r="BL537" t="s">
        <v>1130</v>
      </c>
      <c r="BM537" t="s">
        <v>10822</v>
      </c>
      <c r="BN537" t="s">
        <v>74</v>
      </c>
      <c r="BO537" t="s">
        <v>2260</v>
      </c>
      <c r="BP537" t="s">
        <v>74</v>
      </c>
      <c r="BQ537" t="s">
        <v>74</v>
      </c>
      <c r="BR537" t="s">
        <v>103</v>
      </c>
      <c r="BS537" t="s">
        <v>10823</v>
      </c>
      <c r="BT537" t="str">
        <f>HYPERLINK("https%3A%2F%2Fwww.webofscience.com%2Fwos%2Fwoscc%2Ffull-record%2FWOS:000836399300005","View Full Record in Web of Science")</f>
        <v>View Full Record in Web of Science</v>
      </c>
    </row>
    <row r="538" spans="1:72" x14ac:dyDescent="0.15">
      <c r="A538" t="s">
        <v>72</v>
      </c>
      <c r="B538" t="s">
        <v>10824</v>
      </c>
      <c r="C538" t="s">
        <v>74</v>
      </c>
      <c r="D538" t="s">
        <v>74</v>
      </c>
      <c r="E538" t="s">
        <v>74</v>
      </c>
      <c r="F538" t="s">
        <v>10825</v>
      </c>
      <c r="G538" t="s">
        <v>74</v>
      </c>
      <c r="H538" t="s">
        <v>74</v>
      </c>
      <c r="I538" t="s">
        <v>10826</v>
      </c>
      <c r="J538" t="s">
        <v>4627</v>
      </c>
      <c r="K538" t="s">
        <v>74</v>
      </c>
      <c r="L538" t="s">
        <v>74</v>
      </c>
      <c r="M538" t="s">
        <v>78</v>
      </c>
      <c r="N538" t="s">
        <v>165</v>
      </c>
      <c r="O538" t="s">
        <v>74</v>
      </c>
      <c r="P538" t="s">
        <v>74</v>
      </c>
      <c r="Q538" t="s">
        <v>74</v>
      </c>
      <c r="R538" t="s">
        <v>74</v>
      </c>
      <c r="S538" t="s">
        <v>74</v>
      </c>
      <c r="T538" t="s">
        <v>74</v>
      </c>
      <c r="U538" t="s">
        <v>10827</v>
      </c>
      <c r="V538" t="s">
        <v>10828</v>
      </c>
      <c r="W538" t="s">
        <v>10829</v>
      </c>
      <c r="X538" t="s">
        <v>10830</v>
      </c>
      <c r="Y538" t="s">
        <v>10831</v>
      </c>
      <c r="Z538" t="s">
        <v>10832</v>
      </c>
      <c r="AA538" t="s">
        <v>10833</v>
      </c>
      <c r="AB538" t="s">
        <v>10834</v>
      </c>
      <c r="AC538" t="s">
        <v>10835</v>
      </c>
      <c r="AD538" t="s">
        <v>10836</v>
      </c>
      <c r="AE538" t="s">
        <v>10837</v>
      </c>
      <c r="AF538" t="s">
        <v>74</v>
      </c>
      <c r="AG538">
        <v>318</v>
      </c>
      <c r="AH538">
        <v>11</v>
      </c>
      <c r="AI538">
        <v>12</v>
      </c>
      <c r="AJ538">
        <v>8</v>
      </c>
      <c r="AK538">
        <v>31</v>
      </c>
      <c r="AL538" t="s">
        <v>2460</v>
      </c>
      <c r="AM538" t="s">
        <v>2461</v>
      </c>
      <c r="AN538" t="s">
        <v>2462</v>
      </c>
      <c r="AO538" t="s">
        <v>4638</v>
      </c>
      <c r="AP538" t="s">
        <v>4639</v>
      </c>
      <c r="AQ538" t="s">
        <v>74</v>
      </c>
      <c r="AR538" t="s">
        <v>4640</v>
      </c>
      <c r="AS538" t="s">
        <v>4641</v>
      </c>
      <c r="AT538" t="s">
        <v>10687</v>
      </c>
      <c r="AU538">
        <v>2022</v>
      </c>
      <c r="AV538">
        <v>18</v>
      </c>
      <c r="AW538">
        <v>8</v>
      </c>
      <c r="AX538" t="s">
        <v>74</v>
      </c>
      <c r="AY538" t="s">
        <v>74</v>
      </c>
      <c r="AZ538" t="s">
        <v>74</v>
      </c>
      <c r="BA538" t="s">
        <v>74</v>
      </c>
      <c r="BB538">
        <v>1729</v>
      </c>
      <c r="BC538">
        <v>1756</v>
      </c>
      <c r="BD538" t="s">
        <v>74</v>
      </c>
      <c r="BE538" t="s">
        <v>10838</v>
      </c>
      <c r="BF538" t="str">
        <f>HYPERLINK("http://dx.doi.org/10.5194/cp-18-1729-2022","http://dx.doi.org/10.5194/cp-18-1729-2022")</f>
        <v>http://dx.doi.org/10.5194/cp-18-1729-2022</v>
      </c>
      <c r="BG538" t="s">
        <v>74</v>
      </c>
      <c r="BH538" t="s">
        <v>74</v>
      </c>
      <c r="BI538">
        <v>28</v>
      </c>
      <c r="BJ538" t="s">
        <v>3373</v>
      </c>
      <c r="BK538" t="s">
        <v>100</v>
      </c>
      <c r="BL538" t="s">
        <v>3374</v>
      </c>
      <c r="BM538" t="s">
        <v>10839</v>
      </c>
      <c r="BN538" t="s">
        <v>74</v>
      </c>
      <c r="BO538" t="s">
        <v>4126</v>
      </c>
      <c r="BP538" t="s">
        <v>74</v>
      </c>
      <c r="BQ538" t="s">
        <v>74</v>
      </c>
      <c r="BR538" t="s">
        <v>103</v>
      </c>
      <c r="BS538" t="s">
        <v>10840</v>
      </c>
      <c r="BT538" t="str">
        <f>HYPERLINK("https%3A%2F%2Fwww.webofscience.com%2Fwos%2Fwoscc%2Ffull-record%2FWOS:000834838800001","View Full Record in Web of Science")</f>
        <v>View Full Record in Web of Science</v>
      </c>
    </row>
    <row r="539" spans="1:72" x14ac:dyDescent="0.15">
      <c r="A539" t="s">
        <v>72</v>
      </c>
      <c r="B539" t="s">
        <v>10841</v>
      </c>
      <c r="C539" t="s">
        <v>74</v>
      </c>
      <c r="D539" t="s">
        <v>74</v>
      </c>
      <c r="E539" t="s">
        <v>74</v>
      </c>
      <c r="F539" t="s">
        <v>10842</v>
      </c>
      <c r="G539" t="s">
        <v>74</v>
      </c>
      <c r="H539" t="s">
        <v>74</v>
      </c>
      <c r="I539" t="s">
        <v>10843</v>
      </c>
      <c r="J539" t="s">
        <v>10844</v>
      </c>
      <c r="K539" t="s">
        <v>74</v>
      </c>
      <c r="L539" t="s">
        <v>74</v>
      </c>
      <c r="M539" t="s">
        <v>78</v>
      </c>
      <c r="N539" t="s">
        <v>79</v>
      </c>
      <c r="O539" t="s">
        <v>74</v>
      </c>
      <c r="P539" t="s">
        <v>74</v>
      </c>
      <c r="Q539" t="s">
        <v>74</v>
      </c>
      <c r="R539" t="s">
        <v>74</v>
      </c>
      <c r="S539" t="s">
        <v>74</v>
      </c>
      <c r="T539" t="s">
        <v>10845</v>
      </c>
      <c r="U539" t="s">
        <v>10846</v>
      </c>
      <c r="V539" t="s">
        <v>10847</v>
      </c>
      <c r="W539" t="s">
        <v>10848</v>
      </c>
      <c r="X539" t="s">
        <v>4473</v>
      </c>
      <c r="Y539" t="s">
        <v>10849</v>
      </c>
      <c r="Z539" t="s">
        <v>10850</v>
      </c>
      <c r="AA539" t="s">
        <v>10851</v>
      </c>
      <c r="AB539" t="s">
        <v>10852</v>
      </c>
      <c r="AC539" t="s">
        <v>10853</v>
      </c>
      <c r="AD539" t="s">
        <v>10854</v>
      </c>
      <c r="AE539" t="s">
        <v>10855</v>
      </c>
      <c r="AF539" t="s">
        <v>74</v>
      </c>
      <c r="AG539">
        <v>59</v>
      </c>
      <c r="AH539">
        <v>9</v>
      </c>
      <c r="AI539">
        <v>9</v>
      </c>
      <c r="AJ539">
        <v>18</v>
      </c>
      <c r="AK539">
        <v>76</v>
      </c>
      <c r="AL539" t="s">
        <v>178</v>
      </c>
      <c r="AM539" t="s">
        <v>450</v>
      </c>
      <c r="AN539" t="s">
        <v>668</v>
      </c>
      <c r="AO539" t="s">
        <v>10856</v>
      </c>
      <c r="AP539" t="s">
        <v>10857</v>
      </c>
      <c r="AQ539" t="s">
        <v>74</v>
      </c>
      <c r="AR539" t="s">
        <v>10858</v>
      </c>
      <c r="AS539" t="s">
        <v>10859</v>
      </c>
      <c r="AT539" t="s">
        <v>428</v>
      </c>
      <c r="AU539">
        <v>2022</v>
      </c>
      <c r="AV539">
        <v>15</v>
      </c>
      <c r="AW539">
        <v>10</v>
      </c>
      <c r="AX539" t="s">
        <v>74</v>
      </c>
      <c r="AY539" t="s">
        <v>74</v>
      </c>
      <c r="AZ539" t="s">
        <v>74</v>
      </c>
      <c r="BA539" t="s">
        <v>74</v>
      </c>
      <c r="BB539">
        <v>2313</v>
      </c>
      <c r="BC539">
        <v>2326</v>
      </c>
      <c r="BD539" t="s">
        <v>74</v>
      </c>
      <c r="BE539" t="s">
        <v>10860</v>
      </c>
      <c r="BF539" t="str">
        <f>HYPERLINK("http://dx.doi.org/10.1007/s11947-022-02881-6","http://dx.doi.org/10.1007/s11947-022-02881-6")</f>
        <v>http://dx.doi.org/10.1007/s11947-022-02881-6</v>
      </c>
      <c r="BG539" t="s">
        <v>74</v>
      </c>
      <c r="BH539" t="s">
        <v>7628</v>
      </c>
      <c r="BI539">
        <v>14</v>
      </c>
      <c r="BJ539" t="s">
        <v>4486</v>
      </c>
      <c r="BK539" t="s">
        <v>100</v>
      </c>
      <c r="BL539" t="s">
        <v>4486</v>
      </c>
      <c r="BM539" t="s">
        <v>10861</v>
      </c>
      <c r="BN539" t="s">
        <v>74</v>
      </c>
      <c r="BO539" t="s">
        <v>3327</v>
      </c>
      <c r="BP539" t="s">
        <v>74</v>
      </c>
      <c r="BQ539" t="s">
        <v>74</v>
      </c>
      <c r="BR539" t="s">
        <v>103</v>
      </c>
      <c r="BS539" t="s">
        <v>10862</v>
      </c>
      <c r="BT539" t="str">
        <f>HYPERLINK("https%3A%2F%2Fwww.webofscience.com%2Fwos%2Fwoscc%2Ffull-record%2FWOS:000834707200001","View Full Record in Web of Science")</f>
        <v>View Full Record in Web of Science</v>
      </c>
    </row>
    <row r="540" spans="1:72" x14ac:dyDescent="0.15">
      <c r="A540" t="s">
        <v>72</v>
      </c>
      <c r="B540" t="s">
        <v>10863</v>
      </c>
      <c r="C540" t="s">
        <v>74</v>
      </c>
      <c r="D540" t="s">
        <v>74</v>
      </c>
      <c r="E540" t="s">
        <v>74</v>
      </c>
      <c r="F540" t="s">
        <v>10864</v>
      </c>
      <c r="G540" t="s">
        <v>74</v>
      </c>
      <c r="H540" t="s">
        <v>74</v>
      </c>
      <c r="I540" t="s">
        <v>10865</v>
      </c>
      <c r="J540" t="s">
        <v>9746</v>
      </c>
      <c r="K540" t="s">
        <v>74</v>
      </c>
      <c r="L540" t="s">
        <v>74</v>
      </c>
      <c r="M540" t="s">
        <v>78</v>
      </c>
      <c r="N540" t="s">
        <v>79</v>
      </c>
      <c r="O540" t="s">
        <v>74</v>
      </c>
      <c r="P540" t="s">
        <v>74</v>
      </c>
      <c r="Q540" t="s">
        <v>74</v>
      </c>
      <c r="R540" t="s">
        <v>74</v>
      </c>
      <c r="S540" t="s">
        <v>74</v>
      </c>
      <c r="T540" t="s">
        <v>10866</v>
      </c>
      <c r="U540" t="s">
        <v>10867</v>
      </c>
      <c r="V540" t="s">
        <v>10868</v>
      </c>
      <c r="W540" t="s">
        <v>10869</v>
      </c>
      <c r="X540" t="s">
        <v>10870</v>
      </c>
      <c r="Y540" t="s">
        <v>10871</v>
      </c>
      <c r="Z540" t="s">
        <v>10872</v>
      </c>
      <c r="AA540" t="s">
        <v>10873</v>
      </c>
      <c r="AB540" t="s">
        <v>10874</v>
      </c>
      <c r="AC540" t="s">
        <v>10875</v>
      </c>
      <c r="AD540" t="s">
        <v>10876</v>
      </c>
      <c r="AE540" t="s">
        <v>10877</v>
      </c>
      <c r="AF540" t="s">
        <v>74</v>
      </c>
      <c r="AG540">
        <v>547</v>
      </c>
      <c r="AH540">
        <v>7</v>
      </c>
      <c r="AI540">
        <v>8</v>
      </c>
      <c r="AJ540">
        <v>12</v>
      </c>
      <c r="AK540">
        <v>19</v>
      </c>
      <c r="AL540" t="s">
        <v>501</v>
      </c>
      <c r="AM540" t="s">
        <v>502</v>
      </c>
      <c r="AN540" t="s">
        <v>503</v>
      </c>
      <c r="AO540" t="s">
        <v>9758</v>
      </c>
      <c r="AP540" t="s">
        <v>9759</v>
      </c>
      <c r="AQ540" t="s">
        <v>74</v>
      </c>
      <c r="AR540" t="s">
        <v>9760</v>
      </c>
      <c r="AS540" t="s">
        <v>9761</v>
      </c>
      <c r="AT540" t="s">
        <v>5386</v>
      </c>
      <c r="AU540">
        <v>2022</v>
      </c>
      <c r="AV540">
        <v>231</v>
      </c>
      <c r="AW540" t="s">
        <v>74</v>
      </c>
      <c r="AX540" t="s">
        <v>74</v>
      </c>
      <c r="AY540" t="s">
        <v>74</v>
      </c>
      <c r="AZ540" t="s">
        <v>74</v>
      </c>
      <c r="BA540" t="s">
        <v>74</v>
      </c>
      <c r="BB540" t="s">
        <v>74</v>
      </c>
      <c r="BC540" t="s">
        <v>74</v>
      </c>
      <c r="BD540">
        <v>104090</v>
      </c>
      <c r="BE540" t="s">
        <v>10878</v>
      </c>
      <c r="BF540" t="str">
        <f>HYPERLINK("http://dx.doi.org/10.1016/j.earscirev.2022.104090","http://dx.doi.org/10.1016/j.earscirev.2022.104090")</f>
        <v>http://dx.doi.org/10.1016/j.earscirev.2022.104090</v>
      </c>
      <c r="BG540" t="s">
        <v>74</v>
      </c>
      <c r="BH540" t="s">
        <v>74</v>
      </c>
      <c r="BI540">
        <v>31</v>
      </c>
      <c r="BJ540" t="s">
        <v>129</v>
      </c>
      <c r="BK540" t="s">
        <v>100</v>
      </c>
      <c r="BL540" t="s">
        <v>130</v>
      </c>
      <c r="BM540" t="s">
        <v>10879</v>
      </c>
      <c r="BN540" t="s">
        <v>74</v>
      </c>
      <c r="BO540" t="s">
        <v>74</v>
      </c>
      <c r="BP540" t="s">
        <v>74</v>
      </c>
      <c r="BQ540" t="s">
        <v>74</v>
      </c>
      <c r="BR540" t="s">
        <v>103</v>
      </c>
      <c r="BS540" t="s">
        <v>10880</v>
      </c>
      <c r="BT540" t="str">
        <f>HYPERLINK("https%3A%2F%2Fwww.webofscience.com%2Fwos%2Fwoscc%2Ffull-record%2FWOS:000818735700004","View Full Record in Web of Science")</f>
        <v>View Full Record in Web of Science</v>
      </c>
    </row>
    <row r="541" spans="1:72" x14ac:dyDescent="0.15">
      <c r="A541" t="s">
        <v>72</v>
      </c>
      <c r="B541" t="s">
        <v>10881</v>
      </c>
      <c r="C541" t="s">
        <v>74</v>
      </c>
      <c r="D541" t="s">
        <v>74</v>
      </c>
      <c r="E541" t="s">
        <v>74</v>
      </c>
      <c r="F541" t="s">
        <v>10882</v>
      </c>
      <c r="G541" t="s">
        <v>74</v>
      </c>
      <c r="H541" t="s">
        <v>74</v>
      </c>
      <c r="I541" t="s">
        <v>10883</v>
      </c>
      <c r="J541" t="s">
        <v>10884</v>
      </c>
      <c r="K541" t="s">
        <v>74</v>
      </c>
      <c r="L541" t="s">
        <v>74</v>
      </c>
      <c r="M541" t="s">
        <v>78</v>
      </c>
      <c r="N541" t="s">
        <v>79</v>
      </c>
      <c r="O541" t="s">
        <v>74</v>
      </c>
      <c r="P541" t="s">
        <v>74</v>
      </c>
      <c r="Q541" t="s">
        <v>74</v>
      </c>
      <c r="R541" t="s">
        <v>74</v>
      </c>
      <c r="S541" t="s">
        <v>74</v>
      </c>
      <c r="T541" t="s">
        <v>10885</v>
      </c>
      <c r="U541" t="s">
        <v>10886</v>
      </c>
      <c r="V541" t="s">
        <v>10887</v>
      </c>
      <c r="W541" t="s">
        <v>10888</v>
      </c>
      <c r="X541" t="s">
        <v>10889</v>
      </c>
      <c r="Y541" t="s">
        <v>10890</v>
      </c>
      <c r="Z541" t="s">
        <v>10891</v>
      </c>
      <c r="AA541" t="s">
        <v>10892</v>
      </c>
      <c r="AB541" t="s">
        <v>10893</v>
      </c>
      <c r="AC541" t="s">
        <v>10894</v>
      </c>
      <c r="AD541" t="s">
        <v>10895</v>
      </c>
      <c r="AE541" t="s">
        <v>10896</v>
      </c>
      <c r="AF541" t="s">
        <v>74</v>
      </c>
      <c r="AG541">
        <v>34</v>
      </c>
      <c r="AH541">
        <v>4</v>
      </c>
      <c r="AI541">
        <v>4</v>
      </c>
      <c r="AJ541">
        <v>1</v>
      </c>
      <c r="AK541">
        <v>5</v>
      </c>
      <c r="AL541" t="s">
        <v>2275</v>
      </c>
      <c r="AM541" t="s">
        <v>90</v>
      </c>
      <c r="AN541" t="s">
        <v>2276</v>
      </c>
      <c r="AO541" t="s">
        <v>10897</v>
      </c>
      <c r="AP541" t="s">
        <v>10898</v>
      </c>
      <c r="AQ541" t="s">
        <v>74</v>
      </c>
      <c r="AR541" t="s">
        <v>10884</v>
      </c>
      <c r="AS541" t="s">
        <v>10899</v>
      </c>
      <c r="AT541" t="s">
        <v>5386</v>
      </c>
      <c r="AU541">
        <v>2022</v>
      </c>
      <c r="AV541">
        <v>300</v>
      </c>
      <c r="AW541" t="s">
        <v>74</v>
      </c>
      <c r="AX541" t="s">
        <v>74</v>
      </c>
      <c r="AY541" t="s">
        <v>74</v>
      </c>
      <c r="AZ541" t="s">
        <v>74</v>
      </c>
      <c r="BA541" t="s">
        <v>74</v>
      </c>
      <c r="BB541" t="s">
        <v>74</v>
      </c>
      <c r="BC541" t="s">
        <v>74</v>
      </c>
      <c r="BD541">
        <v>134413</v>
      </c>
      <c r="BE541" t="s">
        <v>10900</v>
      </c>
      <c r="BF541" t="str">
        <f>HYPERLINK("http://dx.doi.org/10.1016/j.chemosphere.2022.134413","http://dx.doi.org/10.1016/j.chemosphere.2022.134413")</f>
        <v>http://dx.doi.org/10.1016/j.chemosphere.2022.134413</v>
      </c>
      <c r="BG541" t="s">
        <v>74</v>
      </c>
      <c r="BH541" t="s">
        <v>74</v>
      </c>
      <c r="BI541">
        <v>6</v>
      </c>
      <c r="BJ541" t="s">
        <v>2040</v>
      </c>
      <c r="BK541" t="s">
        <v>100</v>
      </c>
      <c r="BL541" t="s">
        <v>2041</v>
      </c>
      <c r="BM541" t="s">
        <v>10901</v>
      </c>
      <c r="BN541">
        <v>35385763</v>
      </c>
      <c r="BO541" t="s">
        <v>74</v>
      </c>
      <c r="BP541" t="s">
        <v>74</v>
      </c>
      <c r="BQ541" t="s">
        <v>74</v>
      </c>
      <c r="BR541" t="s">
        <v>103</v>
      </c>
      <c r="BS541" t="s">
        <v>10902</v>
      </c>
      <c r="BT541" t="str">
        <f>HYPERLINK("https%3A%2F%2Fwww.webofscience.com%2Fwos%2Fwoscc%2Ffull-record%2FWOS:000912850900002","View Full Record in Web of Science")</f>
        <v>View Full Record in Web of Science</v>
      </c>
    </row>
    <row r="542" spans="1:72" x14ac:dyDescent="0.15">
      <c r="A542" t="s">
        <v>72</v>
      </c>
      <c r="B542" t="s">
        <v>10903</v>
      </c>
      <c r="C542" t="s">
        <v>74</v>
      </c>
      <c r="D542" t="s">
        <v>74</v>
      </c>
      <c r="E542" t="s">
        <v>74</v>
      </c>
      <c r="F542" t="s">
        <v>10904</v>
      </c>
      <c r="G542" t="s">
        <v>74</v>
      </c>
      <c r="H542" t="s">
        <v>74</v>
      </c>
      <c r="I542" t="s">
        <v>10905</v>
      </c>
      <c r="J542" t="s">
        <v>3770</v>
      </c>
      <c r="K542" t="s">
        <v>74</v>
      </c>
      <c r="L542" t="s">
        <v>74</v>
      </c>
      <c r="M542" t="s">
        <v>78</v>
      </c>
      <c r="N542" t="s">
        <v>79</v>
      </c>
      <c r="O542" t="s">
        <v>74</v>
      </c>
      <c r="P542" t="s">
        <v>74</v>
      </c>
      <c r="Q542" t="s">
        <v>74</v>
      </c>
      <c r="R542" t="s">
        <v>74</v>
      </c>
      <c r="S542" t="s">
        <v>74</v>
      </c>
      <c r="T542" t="s">
        <v>10906</v>
      </c>
      <c r="U542" t="s">
        <v>10907</v>
      </c>
      <c r="V542" t="s">
        <v>10908</v>
      </c>
      <c r="W542" t="s">
        <v>10909</v>
      </c>
      <c r="X542" t="s">
        <v>10910</v>
      </c>
      <c r="Y542" t="s">
        <v>10911</v>
      </c>
      <c r="Z542" t="s">
        <v>10912</v>
      </c>
      <c r="AA542" t="s">
        <v>10913</v>
      </c>
      <c r="AB542" t="s">
        <v>10914</v>
      </c>
      <c r="AC542" t="s">
        <v>10915</v>
      </c>
      <c r="AD542" t="s">
        <v>10916</v>
      </c>
      <c r="AE542" t="s">
        <v>10917</v>
      </c>
      <c r="AF542" t="s">
        <v>74</v>
      </c>
      <c r="AG542">
        <v>77</v>
      </c>
      <c r="AH542">
        <v>7</v>
      </c>
      <c r="AI542">
        <v>7</v>
      </c>
      <c r="AJ542">
        <v>3</v>
      </c>
      <c r="AK542">
        <v>12</v>
      </c>
      <c r="AL542" t="s">
        <v>2249</v>
      </c>
      <c r="AM542" t="s">
        <v>90</v>
      </c>
      <c r="AN542" t="s">
        <v>2250</v>
      </c>
      <c r="AO542" t="s">
        <v>3780</v>
      </c>
      <c r="AP542" t="s">
        <v>3781</v>
      </c>
      <c r="AQ542" t="s">
        <v>74</v>
      </c>
      <c r="AR542" t="s">
        <v>3782</v>
      </c>
      <c r="AS542" t="s">
        <v>3783</v>
      </c>
      <c r="AT542" t="s">
        <v>5386</v>
      </c>
      <c r="AU542">
        <v>2022</v>
      </c>
      <c r="AV542">
        <v>272</v>
      </c>
      <c r="AW542" t="s">
        <v>74</v>
      </c>
      <c r="AX542" t="s">
        <v>74</v>
      </c>
      <c r="AY542" t="s">
        <v>74</v>
      </c>
      <c r="AZ542" t="s">
        <v>74</v>
      </c>
      <c r="BA542" t="s">
        <v>74</v>
      </c>
      <c r="BB542" t="s">
        <v>74</v>
      </c>
      <c r="BC542" t="s">
        <v>74</v>
      </c>
      <c r="BD542">
        <v>109594</v>
      </c>
      <c r="BE542" t="s">
        <v>10918</v>
      </c>
      <c r="BF542" t="str">
        <f>HYPERLINK("http://dx.doi.org/10.1016/j.biocon.2022.109594","http://dx.doi.org/10.1016/j.biocon.2022.109594")</f>
        <v>http://dx.doi.org/10.1016/j.biocon.2022.109594</v>
      </c>
      <c r="BG542" t="s">
        <v>74</v>
      </c>
      <c r="BH542" t="s">
        <v>74</v>
      </c>
      <c r="BI542">
        <v>14</v>
      </c>
      <c r="BJ542" t="s">
        <v>3785</v>
      </c>
      <c r="BK542" t="s">
        <v>100</v>
      </c>
      <c r="BL542" t="s">
        <v>1170</v>
      </c>
      <c r="BM542" t="s">
        <v>10919</v>
      </c>
      <c r="BN542" t="s">
        <v>74</v>
      </c>
      <c r="BO542" t="s">
        <v>831</v>
      </c>
      <c r="BP542" t="s">
        <v>74</v>
      </c>
      <c r="BQ542" t="s">
        <v>74</v>
      </c>
      <c r="BR542" t="s">
        <v>103</v>
      </c>
      <c r="BS542" t="s">
        <v>10920</v>
      </c>
      <c r="BT542" t="str">
        <f>HYPERLINK("https%3A%2F%2Fwww.webofscience.com%2Fwos%2Fwoscc%2Ffull-record%2FWOS:000911188400002","View Full Record in Web of Science")</f>
        <v>View Full Record in Web of Science</v>
      </c>
    </row>
    <row r="543" spans="1:72" x14ac:dyDescent="0.15">
      <c r="A543" t="s">
        <v>72</v>
      </c>
      <c r="B543" t="s">
        <v>10921</v>
      </c>
      <c r="C543" t="s">
        <v>74</v>
      </c>
      <c r="D543" t="s">
        <v>74</v>
      </c>
      <c r="E543" t="s">
        <v>74</v>
      </c>
      <c r="F543" t="s">
        <v>10922</v>
      </c>
      <c r="G543" t="s">
        <v>74</v>
      </c>
      <c r="H543" t="s">
        <v>74</v>
      </c>
      <c r="I543" t="s">
        <v>10923</v>
      </c>
      <c r="J543" t="s">
        <v>10924</v>
      </c>
      <c r="K543" t="s">
        <v>74</v>
      </c>
      <c r="L543" t="s">
        <v>74</v>
      </c>
      <c r="M543" t="s">
        <v>78</v>
      </c>
      <c r="N543" t="s">
        <v>79</v>
      </c>
      <c r="O543" t="s">
        <v>74</v>
      </c>
      <c r="P543" t="s">
        <v>74</v>
      </c>
      <c r="Q543" t="s">
        <v>74</v>
      </c>
      <c r="R543" t="s">
        <v>74</v>
      </c>
      <c r="S543" t="s">
        <v>74</v>
      </c>
      <c r="T543" t="s">
        <v>10925</v>
      </c>
      <c r="U543" t="s">
        <v>10926</v>
      </c>
      <c r="V543" t="s">
        <v>10927</v>
      </c>
      <c r="W543" t="s">
        <v>10928</v>
      </c>
      <c r="X543" t="s">
        <v>10929</v>
      </c>
      <c r="Y543" t="s">
        <v>10930</v>
      </c>
      <c r="Z543" t="s">
        <v>10931</v>
      </c>
      <c r="AA543" t="s">
        <v>74</v>
      </c>
      <c r="AB543" t="s">
        <v>74</v>
      </c>
      <c r="AC543" t="s">
        <v>10932</v>
      </c>
      <c r="AD543" t="s">
        <v>10933</v>
      </c>
      <c r="AE543" t="s">
        <v>10934</v>
      </c>
      <c r="AF543" t="s">
        <v>74</v>
      </c>
      <c r="AG543">
        <v>20</v>
      </c>
      <c r="AH543">
        <v>0</v>
      </c>
      <c r="AI543">
        <v>0</v>
      </c>
      <c r="AJ543">
        <v>4</v>
      </c>
      <c r="AK543">
        <v>8</v>
      </c>
      <c r="AL543" t="s">
        <v>10935</v>
      </c>
      <c r="AM543" t="s">
        <v>476</v>
      </c>
      <c r="AN543" t="s">
        <v>10936</v>
      </c>
      <c r="AO543" t="s">
        <v>10937</v>
      </c>
      <c r="AP543" t="s">
        <v>10938</v>
      </c>
      <c r="AQ543" t="s">
        <v>74</v>
      </c>
      <c r="AR543" t="s">
        <v>10939</v>
      </c>
      <c r="AS543" t="s">
        <v>10940</v>
      </c>
      <c r="AT543" t="s">
        <v>5386</v>
      </c>
      <c r="AU543">
        <v>2022</v>
      </c>
      <c r="AV543">
        <v>29</v>
      </c>
      <c r="AW543">
        <v>4</v>
      </c>
      <c r="AX543" t="s">
        <v>74</v>
      </c>
      <c r="AY543" t="s">
        <v>74</v>
      </c>
      <c r="AZ543" t="s">
        <v>74</v>
      </c>
      <c r="BA543" t="s">
        <v>74</v>
      </c>
      <c r="BB543">
        <v>776</v>
      </c>
      <c r="BC543">
        <v>785</v>
      </c>
      <c r="BD543" t="s">
        <v>74</v>
      </c>
      <c r="BE543" t="s">
        <v>10941</v>
      </c>
      <c r="BF543" t="str">
        <f>HYPERLINK("http://dx.doi.org/10.47836/ifrj.29.4.05","http://dx.doi.org/10.47836/ifrj.29.4.05")</f>
        <v>http://dx.doi.org/10.47836/ifrj.29.4.05</v>
      </c>
      <c r="BG543" t="s">
        <v>74</v>
      </c>
      <c r="BH543" t="s">
        <v>74</v>
      </c>
      <c r="BI543">
        <v>10</v>
      </c>
      <c r="BJ543" t="s">
        <v>4486</v>
      </c>
      <c r="BK543" t="s">
        <v>100</v>
      </c>
      <c r="BL543" t="s">
        <v>4486</v>
      </c>
      <c r="BM543" t="s">
        <v>10942</v>
      </c>
      <c r="BN543" t="s">
        <v>74</v>
      </c>
      <c r="BO543" t="s">
        <v>404</v>
      </c>
      <c r="BP543" t="s">
        <v>74</v>
      </c>
      <c r="BQ543" t="s">
        <v>74</v>
      </c>
      <c r="BR543" t="s">
        <v>103</v>
      </c>
      <c r="BS543" t="s">
        <v>10943</v>
      </c>
      <c r="BT543" t="str">
        <f>HYPERLINK("https%3A%2F%2Fwww.webofscience.com%2Fwos%2Fwoscc%2Ffull-record%2FWOS:000889012000005","View Full Record in Web of Science")</f>
        <v>View Full Record in Web of Science</v>
      </c>
    </row>
    <row r="544" spans="1:72" x14ac:dyDescent="0.15">
      <c r="A544" t="s">
        <v>72</v>
      </c>
      <c r="B544" t="s">
        <v>10944</v>
      </c>
      <c r="C544" t="s">
        <v>74</v>
      </c>
      <c r="D544" t="s">
        <v>74</v>
      </c>
      <c r="E544" t="s">
        <v>74</v>
      </c>
      <c r="F544" t="s">
        <v>10945</v>
      </c>
      <c r="G544" t="s">
        <v>74</v>
      </c>
      <c r="H544" t="s">
        <v>74</v>
      </c>
      <c r="I544" t="s">
        <v>10946</v>
      </c>
      <c r="J544" t="s">
        <v>5991</v>
      </c>
      <c r="K544" t="s">
        <v>74</v>
      </c>
      <c r="L544" t="s">
        <v>74</v>
      </c>
      <c r="M544" t="s">
        <v>78</v>
      </c>
      <c r="N544" t="s">
        <v>1346</v>
      </c>
      <c r="O544" t="s">
        <v>74</v>
      </c>
      <c r="P544" t="s">
        <v>74</v>
      </c>
      <c r="Q544" t="s">
        <v>74</v>
      </c>
      <c r="R544" t="s">
        <v>74</v>
      </c>
      <c r="S544" t="s">
        <v>74</v>
      </c>
      <c r="T544" t="s">
        <v>10947</v>
      </c>
      <c r="U544" t="s">
        <v>74</v>
      </c>
      <c r="V544" t="s">
        <v>74</v>
      </c>
      <c r="W544" t="s">
        <v>10948</v>
      </c>
      <c r="X544" t="s">
        <v>10949</v>
      </c>
      <c r="Y544" t="s">
        <v>10950</v>
      </c>
      <c r="Z544" t="s">
        <v>10951</v>
      </c>
      <c r="AA544" t="s">
        <v>10952</v>
      </c>
      <c r="AB544" t="s">
        <v>10953</v>
      </c>
      <c r="AC544" t="s">
        <v>10954</v>
      </c>
      <c r="AD544" t="s">
        <v>10955</v>
      </c>
      <c r="AE544" t="s">
        <v>10956</v>
      </c>
      <c r="AF544" t="s">
        <v>74</v>
      </c>
      <c r="AG544">
        <v>4</v>
      </c>
      <c r="AH544">
        <v>1</v>
      </c>
      <c r="AI544">
        <v>1</v>
      </c>
      <c r="AJ544">
        <v>0</v>
      </c>
      <c r="AK544">
        <v>1</v>
      </c>
      <c r="AL544" t="s">
        <v>1065</v>
      </c>
      <c r="AM544" t="s">
        <v>1066</v>
      </c>
      <c r="AN544" t="s">
        <v>1067</v>
      </c>
      <c r="AO544" t="s">
        <v>6003</v>
      </c>
      <c r="AP544" t="s">
        <v>6004</v>
      </c>
      <c r="AQ544" t="s">
        <v>74</v>
      </c>
      <c r="AR544" t="s">
        <v>6005</v>
      </c>
      <c r="AS544" t="s">
        <v>6006</v>
      </c>
      <c r="AT544" t="s">
        <v>5386</v>
      </c>
      <c r="AU544">
        <v>2022</v>
      </c>
      <c r="AV544">
        <v>103</v>
      </c>
      <c r="AW544">
        <v>8</v>
      </c>
      <c r="AX544" t="s">
        <v>74</v>
      </c>
      <c r="AY544" t="s">
        <v>74</v>
      </c>
      <c r="AZ544" t="s">
        <v>74</v>
      </c>
      <c r="BA544" t="s">
        <v>74</v>
      </c>
      <c r="BB544" t="s">
        <v>10957</v>
      </c>
      <c r="BC544" t="s">
        <v>10958</v>
      </c>
      <c r="BD544" t="s">
        <v>74</v>
      </c>
      <c r="BE544" t="s">
        <v>10959</v>
      </c>
      <c r="BF544" t="str">
        <f>HYPERLINK("http://dx.doi.org/10.1175/BAMS-D-22-0102.1","http://dx.doi.org/10.1175/BAMS-D-22-0102.1")</f>
        <v>http://dx.doi.org/10.1175/BAMS-D-22-0102.1</v>
      </c>
      <c r="BG544" t="s">
        <v>74</v>
      </c>
      <c r="BH544" t="s">
        <v>74</v>
      </c>
      <c r="BI544">
        <v>9</v>
      </c>
      <c r="BJ544" t="s">
        <v>457</v>
      </c>
      <c r="BK544" t="s">
        <v>100</v>
      </c>
      <c r="BL544" t="s">
        <v>457</v>
      </c>
      <c r="BM544" t="s">
        <v>10960</v>
      </c>
      <c r="BN544" t="s">
        <v>74</v>
      </c>
      <c r="BO544" t="s">
        <v>5370</v>
      </c>
      <c r="BP544" t="s">
        <v>74</v>
      </c>
      <c r="BQ544" t="s">
        <v>74</v>
      </c>
      <c r="BR544" t="s">
        <v>103</v>
      </c>
      <c r="BS544" t="s">
        <v>10961</v>
      </c>
      <c r="BT544" t="str">
        <f>HYPERLINK("https%3A%2F%2Fwww.webofscience.com%2Fwos%2Fwoscc%2Ffull-record%2FWOS:000886646700009","View Full Record in Web of Science")</f>
        <v>View Full Record in Web of Science</v>
      </c>
    </row>
    <row r="545" spans="1:72" x14ac:dyDescent="0.15">
      <c r="A545" t="s">
        <v>72</v>
      </c>
      <c r="B545" t="s">
        <v>10962</v>
      </c>
      <c r="C545" t="s">
        <v>74</v>
      </c>
      <c r="D545" t="s">
        <v>74</v>
      </c>
      <c r="E545" t="s">
        <v>74</v>
      </c>
      <c r="F545" t="s">
        <v>10963</v>
      </c>
      <c r="G545" t="s">
        <v>74</v>
      </c>
      <c r="H545" t="s">
        <v>74</v>
      </c>
      <c r="I545" t="s">
        <v>10964</v>
      </c>
      <c r="J545" t="s">
        <v>5106</v>
      </c>
      <c r="K545" t="s">
        <v>74</v>
      </c>
      <c r="L545" t="s">
        <v>74</v>
      </c>
      <c r="M545" t="s">
        <v>78</v>
      </c>
      <c r="N545" t="s">
        <v>79</v>
      </c>
      <c r="O545" t="s">
        <v>74</v>
      </c>
      <c r="P545" t="s">
        <v>74</v>
      </c>
      <c r="Q545" t="s">
        <v>74</v>
      </c>
      <c r="R545" t="s">
        <v>74</v>
      </c>
      <c r="S545" t="s">
        <v>74</v>
      </c>
      <c r="T545" t="s">
        <v>10965</v>
      </c>
      <c r="U545" t="s">
        <v>10966</v>
      </c>
      <c r="V545" t="s">
        <v>10967</v>
      </c>
      <c r="W545" t="s">
        <v>10968</v>
      </c>
      <c r="X545" t="s">
        <v>10969</v>
      </c>
      <c r="Y545" t="s">
        <v>10970</v>
      </c>
      <c r="Z545" t="s">
        <v>10971</v>
      </c>
      <c r="AA545" t="s">
        <v>74</v>
      </c>
      <c r="AB545" t="s">
        <v>10972</v>
      </c>
      <c r="AC545" t="s">
        <v>10973</v>
      </c>
      <c r="AD545" t="s">
        <v>10974</v>
      </c>
      <c r="AE545" t="s">
        <v>10975</v>
      </c>
      <c r="AF545" t="s">
        <v>74</v>
      </c>
      <c r="AG545">
        <v>116</v>
      </c>
      <c r="AH545">
        <v>5</v>
      </c>
      <c r="AI545">
        <v>5</v>
      </c>
      <c r="AJ545">
        <v>3</v>
      </c>
      <c r="AK545">
        <v>5</v>
      </c>
      <c r="AL545" t="s">
        <v>2275</v>
      </c>
      <c r="AM545" t="s">
        <v>90</v>
      </c>
      <c r="AN545" t="s">
        <v>2276</v>
      </c>
      <c r="AO545" t="s">
        <v>5119</v>
      </c>
      <c r="AP545" t="s">
        <v>5120</v>
      </c>
      <c r="AQ545" t="s">
        <v>74</v>
      </c>
      <c r="AR545" t="s">
        <v>5121</v>
      </c>
      <c r="AS545" t="s">
        <v>5122</v>
      </c>
      <c r="AT545" t="s">
        <v>3605</v>
      </c>
      <c r="AU545">
        <v>2022</v>
      </c>
      <c r="AV545">
        <v>187</v>
      </c>
      <c r="AW545" t="s">
        <v>74</v>
      </c>
      <c r="AX545" t="s">
        <v>74</v>
      </c>
      <c r="AY545" t="s">
        <v>74</v>
      </c>
      <c r="AZ545" t="s">
        <v>74</v>
      </c>
      <c r="BA545" t="s">
        <v>74</v>
      </c>
      <c r="BB545" t="s">
        <v>74</v>
      </c>
      <c r="BC545" t="s">
        <v>74</v>
      </c>
      <c r="BD545">
        <v>103836</v>
      </c>
      <c r="BE545" t="s">
        <v>10976</v>
      </c>
      <c r="BF545" t="str">
        <f>HYPERLINK("http://dx.doi.org/10.1016/j.dsr.2022.103836","http://dx.doi.org/10.1016/j.dsr.2022.103836")</f>
        <v>http://dx.doi.org/10.1016/j.dsr.2022.103836</v>
      </c>
      <c r="BG545" t="s">
        <v>74</v>
      </c>
      <c r="BH545" t="s">
        <v>7628</v>
      </c>
      <c r="BI545">
        <v>14</v>
      </c>
      <c r="BJ545" t="s">
        <v>674</v>
      </c>
      <c r="BK545" t="s">
        <v>100</v>
      </c>
      <c r="BL545" t="s">
        <v>674</v>
      </c>
      <c r="BM545" t="s">
        <v>10977</v>
      </c>
      <c r="BN545" t="s">
        <v>74</v>
      </c>
      <c r="BO545" t="s">
        <v>5536</v>
      </c>
      <c r="BP545" t="s">
        <v>74</v>
      </c>
      <c r="BQ545" t="s">
        <v>74</v>
      </c>
      <c r="BR545" t="s">
        <v>103</v>
      </c>
      <c r="BS545" t="s">
        <v>10978</v>
      </c>
      <c r="BT545" t="str">
        <f>HYPERLINK("https%3A%2F%2Fwww.webofscience.com%2Fwos%2Fwoscc%2Ffull-record%2FWOS:000879158600002","View Full Record in Web of Science")</f>
        <v>View Full Record in Web of Science</v>
      </c>
    </row>
    <row r="546" spans="1:72" x14ac:dyDescent="0.15">
      <c r="A546" t="s">
        <v>72</v>
      </c>
      <c r="B546" t="s">
        <v>10979</v>
      </c>
      <c r="C546" t="s">
        <v>74</v>
      </c>
      <c r="D546" t="s">
        <v>74</v>
      </c>
      <c r="E546" t="s">
        <v>74</v>
      </c>
      <c r="F546" t="s">
        <v>10980</v>
      </c>
      <c r="G546" t="s">
        <v>74</v>
      </c>
      <c r="H546" t="s">
        <v>74</v>
      </c>
      <c r="I546" t="s">
        <v>10981</v>
      </c>
      <c r="J546" t="s">
        <v>3791</v>
      </c>
      <c r="K546" t="s">
        <v>74</v>
      </c>
      <c r="L546" t="s">
        <v>74</v>
      </c>
      <c r="M546" t="s">
        <v>78</v>
      </c>
      <c r="N546" t="s">
        <v>79</v>
      </c>
      <c r="O546" t="s">
        <v>74</v>
      </c>
      <c r="P546" t="s">
        <v>74</v>
      </c>
      <c r="Q546" t="s">
        <v>74</v>
      </c>
      <c r="R546" t="s">
        <v>74</v>
      </c>
      <c r="S546" t="s">
        <v>74</v>
      </c>
      <c r="T546" t="s">
        <v>10982</v>
      </c>
      <c r="U546" t="s">
        <v>10983</v>
      </c>
      <c r="V546" t="s">
        <v>10984</v>
      </c>
      <c r="W546" t="s">
        <v>10985</v>
      </c>
      <c r="X546" t="s">
        <v>10986</v>
      </c>
      <c r="Y546" t="s">
        <v>10987</v>
      </c>
      <c r="Z546" t="s">
        <v>10988</v>
      </c>
      <c r="AA546" t="s">
        <v>10989</v>
      </c>
      <c r="AB546" t="s">
        <v>10990</v>
      </c>
      <c r="AC546" t="s">
        <v>10991</v>
      </c>
      <c r="AD546" t="s">
        <v>10992</v>
      </c>
      <c r="AE546" t="s">
        <v>10993</v>
      </c>
      <c r="AF546" t="s">
        <v>74</v>
      </c>
      <c r="AG546">
        <v>54</v>
      </c>
      <c r="AH546">
        <v>9</v>
      </c>
      <c r="AI546">
        <v>9</v>
      </c>
      <c r="AJ546">
        <v>0</v>
      </c>
      <c r="AK546">
        <v>16</v>
      </c>
      <c r="AL546" t="s">
        <v>2249</v>
      </c>
      <c r="AM546" t="s">
        <v>90</v>
      </c>
      <c r="AN546" t="s">
        <v>2250</v>
      </c>
      <c r="AO546" t="s">
        <v>3804</v>
      </c>
      <c r="AP546" t="s">
        <v>3805</v>
      </c>
      <c r="AQ546" t="s">
        <v>74</v>
      </c>
      <c r="AR546" t="s">
        <v>3806</v>
      </c>
      <c r="AS546" t="s">
        <v>3807</v>
      </c>
      <c r="AT546" t="s">
        <v>4180</v>
      </c>
      <c r="AU546">
        <v>2022</v>
      </c>
      <c r="AV546">
        <v>309</v>
      </c>
      <c r="AW546" t="s">
        <v>74</v>
      </c>
      <c r="AX546" t="s">
        <v>74</v>
      </c>
      <c r="AY546" t="s">
        <v>74</v>
      </c>
      <c r="AZ546" t="s">
        <v>74</v>
      </c>
      <c r="BA546" t="s">
        <v>74</v>
      </c>
      <c r="BB546" t="s">
        <v>74</v>
      </c>
      <c r="BC546" t="s">
        <v>74</v>
      </c>
      <c r="BD546">
        <v>119816</v>
      </c>
      <c r="BE546" t="s">
        <v>10994</v>
      </c>
      <c r="BF546" t="str">
        <f>HYPERLINK("http://dx.doi.org/10.1016/j.envpol.2022.119816","http://dx.doi.org/10.1016/j.envpol.2022.119816")</f>
        <v>http://dx.doi.org/10.1016/j.envpol.2022.119816</v>
      </c>
      <c r="BG546" t="s">
        <v>74</v>
      </c>
      <c r="BH546" t="s">
        <v>7628</v>
      </c>
      <c r="BI546">
        <v>9</v>
      </c>
      <c r="BJ546" t="s">
        <v>2040</v>
      </c>
      <c r="BK546" t="s">
        <v>100</v>
      </c>
      <c r="BL546" t="s">
        <v>2041</v>
      </c>
      <c r="BM546" t="s">
        <v>10995</v>
      </c>
      <c r="BN546">
        <v>35872285</v>
      </c>
      <c r="BO546" t="s">
        <v>1221</v>
      </c>
      <c r="BP546" t="s">
        <v>74</v>
      </c>
      <c r="BQ546" t="s">
        <v>74</v>
      </c>
      <c r="BR546" t="s">
        <v>103</v>
      </c>
      <c r="BS546" t="s">
        <v>10996</v>
      </c>
      <c r="BT546" t="str">
        <f>HYPERLINK("https%3A%2F%2Fwww.webofscience.com%2Fwos%2Fwoscc%2Ffull-record%2FWOS:000862766000001","View Full Record in Web of Science")</f>
        <v>View Full Record in Web of Science</v>
      </c>
    </row>
    <row r="547" spans="1:72" x14ac:dyDescent="0.15">
      <c r="A547" t="s">
        <v>72</v>
      </c>
      <c r="B547" t="s">
        <v>10997</v>
      </c>
      <c r="C547" t="s">
        <v>74</v>
      </c>
      <c r="D547" t="s">
        <v>74</v>
      </c>
      <c r="E547" t="s">
        <v>74</v>
      </c>
      <c r="F547" t="s">
        <v>10998</v>
      </c>
      <c r="G547" t="s">
        <v>74</v>
      </c>
      <c r="H547" t="s">
        <v>74</v>
      </c>
      <c r="I547" t="s">
        <v>10999</v>
      </c>
      <c r="J547" t="s">
        <v>2653</v>
      </c>
      <c r="K547" t="s">
        <v>74</v>
      </c>
      <c r="L547" t="s">
        <v>74</v>
      </c>
      <c r="M547" t="s">
        <v>78</v>
      </c>
      <c r="N547" t="s">
        <v>79</v>
      </c>
      <c r="O547" t="s">
        <v>74</v>
      </c>
      <c r="P547" t="s">
        <v>74</v>
      </c>
      <c r="Q547" t="s">
        <v>74</v>
      </c>
      <c r="R547" t="s">
        <v>74</v>
      </c>
      <c r="S547" t="s">
        <v>74</v>
      </c>
      <c r="T547" t="s">
        <v>11000</v>
      </c>
      <c r="U547" t="s">
        <v>11001</v>
      </c>
      <c r="V547" t="s">
        <v>11002</v>
      </c>
      <c r="W547" t="s">
        <v>11003</v>
      </c>
      <c r="X547" t="s">
        <v>11004</v>
      </c>
      <c r="Y547" t="s">
        <v>11005</v>
      </c>
      <c r="Z547" t="s">
        <v>2660</v>
      </c>
      <c r="AA547" t="s">
        <v>2661</v>
      </c>
      <c r="AB547" t="s">
        <v>11006</v>
      </c>
      <c r="AC547" t="s">
        <v>11007</v>
      </c>
      <c r="AD547" t="s">
        <v>11008</v>
      </c>
      <c r="AE547" t="s">
        <v>11009</v>
      </c>
      <c r="AF547" t="s">
        <v>74</v>
      </c>
      <c r="AG547">
        <v>143</v>
      </c>
      <c r="AH547">
        <v>2</v>
      </c>
      <c r="AI547">
        <v>2</v>
      </c>
      <c r="AJ547">
        <v>1</v>
      </c>
      <c r="AK547">
        <v>2</v>
      </c>
      <c r="AL547" t="s">
        <v>2275</v>
      </c>
      <c r="AM547" t="s">
        <v>90</v>
      </c>
      <c r="AN547" t="s">
        <v>2276</v>
      </c>
      <c r="AO547" t="s">
        <v>2666</v>
      </c>
      <c r="AP547" t="s">
        <v>2667</v>
      </c>
      <c r="AQ547" t="s">
        <v>74</v>
      </c>
      <c r="AR547" t="s">
        <v>2668</v>
      </c>
      <c r="AS547" t="s">
        <v>2669</v>
      </c>
      <c r="AT547" t="s">
        <v>5933</v>
      </c>
      <c r="AU547">
        <v>2022</v>
      </c>
      <c r="AV547">
        <v>291</v>
      </c>
      <c r="AW547" t="s">
        <v>74</v>
      </c>
      <c r="AX547" t="s">
        <v>74</v>
      </c>
      <c r="AY547" t="s">
        <v>74</v>
      </c>
      <c r="AZ547" t="s">
        <v>74</v>
      </c>
      <c r="BA547" t="s">
        <v>74</v>
      </c>
      <c r="BB547" t="s">
        <v>74</v>
      </c>
      <c r="BC547" t="s">
        <v>74</v>
      </c>
      <c r="BD547">
        <v>107590</v>
      </c>
      <c r="BE547" t="s">
        <v>11010</v>
      </c>
      <c r="BF547" t="str">
        <f>HYPERLINK("http://dx.doi.org/10.1016/j.quascirev.2022.107590","http://dx.doi.org/10.1016/j.quascirev.2022.107590")</f>
        <v>http://dx.doi.org/10.1016/j.quascirev.2022.107590</v>
      </c>
      <c r="BG547" t="s">
        <v>74</v>
      </c>
      <c r="BH547" t="s">
        <v>7628</v>
      </c>
      <c r="BI547">
        <v>22</v>
      </c>
      <c r="BJ547" t="s">
        <v>354</v>
      </c>
      <c r="BK547" t="s">
        <v>100</v>
      </c>
      <c r="BL547" t="s">
        <v>241</v>
      </c>
      <c r="BM547" t="s">
        <v>10235</v>
      </c>
      <c r="BN547" t="s">
        <v>74</v>
      </c>
      <c r="BO547" t="s">
        <v>2260</v>
      </c>
      <c r="BP547" t="s">
        <v>74</v>
      </c>
      <c r="BQ547" t="s">
        <v>74</v>
      </c>
      <c r="BR547" t="s">
        <v>103</v>
      </c>
      <c r="BS547" t="s">
        <v>11011</v>
      </c>
      <c r="BT547" t="str">
        <f>HYPERLINK("https%3A%2F%2Fwww.webofscience.com%2Fwos%2Fwoscc%2Ffull-record%2FWOS:000861231300002","View Full Record in Web of Science")</f>
        <v>View Full Record in Web of Science</v>
      </c>
    </row>
    <row r="548" spans="1:72" x14ac:dyDescent="0.15">
      <c r="A548" t="s">
        <v>72</v>
      </c>
      <c r="B548" t="s">
        <v>11012</v>
      </c>
      <c r="C548" t="s">
        <v>74</v>
      </c>
      <c r="D548" t="s">
        <v>74</v>
      </c>
      <c r="E548" t="s">
        <v>74</v>
      </c>
      <c r="F548" t="s">
        <v>11013</v>
      </c>
      <c r="G548" t="s">
        <v>74</v>
      </c>
      <c r="H548" t="s">
        <v>74</v>
      </c>
      <c r="I548" t="s">
        <v>11014</v>
      </c>
      <c r="J548" t="s">
        <v>1053</v>
      </c>
      <c r="K548" t="s">
        <v>74</v>
      </c>
      <c r="L548" t="s">
        <v>74</v>
      </c>
      <c r="M548" t="s">
        <v>78</v>
      </c>
      <c r="N548" t="s">
        <v>79</v>
      </c>
      <c r="O548" t="s">
        <v>74</v>
      </c>
      <c r="P548" t="s">
        <v>74</v>
      </c>
      <c r="Q548" t="s">
        <v>74</v>
      </c>
      <c r="R548" t="s">
        <v>74</v>
      </c>
      <c r="S548" t="s">
        <v>74</v>
      </c>
      <c r="T548" t="s">
        <v>11015</v>
      </c>
      <c r="U548" t="s">
        <v>11016</v>
      </c>
      <c r="V548" t="s">
        <v>11017</v>
      </c>
      <c r="W548" t="s">
        <v>11018</v>
      </c>
      <c r="X548" t="s">
        <v>11019</v>
      </c>
      <c r="Y548" t="s">
        <v>11020</v>
      </c>
      <c r="Z548" t="s">
        <v>11021</v>
      </c>
      <c r="AA548" t="s">
        <v>10461</v>
      </c>
      <c r="AB548" t="s">
        <v>11022</v>
      </c>
      <c r="AC548" t="s">
        <v>11023</v>
      </c>
      <c r="AD548" t="s">
        <v>11024</v>
      </c>
      <c r="AE548" t="s">
        <v>11025</v>
      </c>
      <c r="AF548" t="s">
        <v>74</v>
      </c>
      <c r="AG548">
        <v>78</v>
      </c>
      <c r="AH548">
        <v>0</v>
      </c>
      <c r="AI548">
        <v>0</v>
      </c>
      <c r="AJ548">
        <v>1</v>
      </c>
      <c r="AK548">
        <v>4</v>
      </c>
      <c r="AL548" t="s">
        <v>1065</v>
      </c>
      <c r="AM548" t="s">
        <v>1066</v>
      </c>
      <c r="AN548" t="s">
        <v>1067</v>
      </c>
      <c r="AO548" t="s">
        <v>1068</v>
      </c>
      <c r="AP548" t="s">
        <v>1069</v>
      </c>
      <c r="AQ548" t="s">
        <v>74</v>
      </c>
      <c r="AR548" t="s">
        <v>1070</v>
      </c>
      <c r="AS548" t="s">
        <v>1071</v>
      </c>
      <c r="AT548" t="s">
        <v>5386</v>
      </c>
      <c r="AU548">
        <v>2022</v>
      </c>
      <c r="AV548">
        <v>52</v>
      </c>
      <c r="AW548">
        <v>8</v>
      </c>
      <c r="AX548" t="s">
        <v>74</v>
      </c>
      <c r="AY548" t="s">
        <v>74</v>
      </c>
      <c r="AZ548" t="s">
        <v>74</v>
      </c>
      <c r="BA548" t="s">
        <v>74</v>
      </c>
      <c r="BB548">
        <v>1593</v>
      </c>
      <c r="BC548">
        <v>1611</v>
      </c>
      <c r="BD548" t="s">
        <v>74</v>
      </c>
      <c r="BE548" t="s">
        <v>11026</v>
      </c>
      <c r="BF548" t="str">
        <f>HYPERLINK("http://dx.doi.org/10.1175/JPO-D-21-0180.1","http://dx.doi.org/10.1175/JPO-D-21-0180.1")</f>
        <v>http://dx.doi.org/10.1175/JPO-D-21-0180.1</v>
      </c>
      <c r="BG548" t="s">
        <v>74</v>
      </c>
      <c r="BH548" t="s">
        <v>74</v>
      </c>
      <c r="BI548">
        <v>19</v>
      </c>
      <c r="BJ548" t="s">
        <v>674</v>
      </c>
      <c r="BK548" t="s">
        <v>100</v>
      </c>
      <c r="BL548" t="s">
        <v>674</v>
      </c>
      <c r="BM548" t="s">
        <v>11027</v>
      </c>
      <c r="BN548" t="s">
        <v>74</v>
      </c>
      <c r="BO548" t="s">
        <v>11028</v>
      </c>
      <c r="BP548" t="s">
        <v>74</v>
      </c>
      <c r="BQ548" t="s">
        <v>74</v>
      </c>
      <c r="BR548" t="s">
        <v>103</v>
      </c>
      <c r="BS548" t="s">
        <v>11029</v>
      </c>
      <c r="BT548" t="str">
        <f>HYPERLINK("https%3A%2F%2Fwww.webofscience.com%2Fwos%2Fwoscc%2Ffull-record%2FWOS:000848440200001","View Full Record in Web of Science")</f>
        <v>View Full Record in Web of Science</v>
      </c>
    </row>
    <row r="549" spans="1:72" x14ac:dyDescent="0.15">
      <c r="A549" t="s">
        <v>72</v>
      </c>
      <c r="B549" t="s">
        <v>11030</v>
      </c>
      <c r="C549" t="s">
        <v>74</v>
      </c>
      <c r="D549" t="s">
        <v>74</v>
      </c>
      <c r="E549" t="s">
        <v>74</v>
      </c>
      <c r="F549" t="s">
        <v>11031</v>
      </c>
      <c r="G549" t="s">
        <v>74</v>
      </c>
      <c r="H549" t="s">
        <v>74</v>
      </c>
      <c r="I549" t="s">
        <v>11032</v>
      </c>
      <c r="J549" t="s">
        <v>1053</v>
      </c>
      <c r="K549" t="s">
        <v>74</v>
      </c>
      <c r="L549" t="s">
        <v>74</v>
      </c>
      <c r="M549" t="s">
        <v>78</v>
      </c>
      <c r="N549" t="s">
        <v>79</v>
      </c>
      <c r="O549" t="s">
        <v>74</v>
      </c>
      <c r="P549" t="s">
        <v>74</v>
      </c>
      <c r="Q549" t="s">
        <v>74</v>
      </c>
      <c r="R549" t="s">
        <v>74</v>
      </c>
      <c r="S549" t="s">
        <v>74</v>
      </c>
      <c r="T549" t="s">
        <v>11033</v>
      </c>
      <c r="U549" t="s">
        <v>11034</v>
      </c>
      <c r="V549" t="s">
        <v>11035</v>
      </c>
      <c r="W549" t="s">
        <v>11036</v>
      </c>
      <c r="X549" t="s">
        <v>11037</v>
      </c>
      <c r="Y549" t="s">
        <v>11038</v>
      </c>
      <c r="Z549" t="s">
        <v>11039</v>
      </c>
      <c r="AA549" t="s">
        <v>11040</v>
      </c>
      <c r="AB549" t="s">
        <v>11041</v>
      </c>
      <c r="AC549" t="s">
        <v>11042</v>
      </c>
      <c r="AD549" t="s">
        <v>11043</v>
      </c>
      <c r="AE549" t="s">
        <v>11044</v>
      </c>
      <c r="AF549" t="s">
        <v>74</v>
      </c>
      <c r="AG549">
        <v>57</v>
      </c>
      <c r="AH549">
        <v>2</v>
      </c>
      <c r="AI549">
        <v>2</v>
      </c>
      <c r="AJ549">
        <v>0</v>
      </c>
      <c r="AK549">
        <v>3</v>
      </c>
      <c r="AL549" t="s">
        <v>1065</v>
      </c>
      <c r="AM549" t="s">
        <v>1066</v>
      </c>
      <c r="AN549" t="s">
        <v>1067</v>
      </c>
      <c r="AO549" t="s">
        <v>1068</v>
      </c>
      <c r="AP549" t="s">
        <v>1069</v>
      </c>
      <c r="AQ549" t="s">
        <v>74</v>
      </c>
      <c r="AR549" t="s">
        <v>1070</v>
      </c>
      <c r="AS549" t="s">
        <v>1071</v>
      </c>
      <c r="AT549" t="s">
        <v>5386</v>
      </c>
      <c r="AU549">
        <v>2022</v>
      </c>
      <c r="AV549">
        <v>52</v>
      </c>
      <c r="AW549">
        <v>8</v>
      </c>
      <c r="AX549" t="s">
        <v>74</v>
      </c>
      <c r="AY549" t="s">
        <v>74</v>
      </c>
      <c r="AZ549" t="s">
        <v>74</v>
      </c>
      <c r="BA549" t="s">
        <v>74</v>
      </c>
      <c r="BB549">
        <v>1629</v>
      </c>
      <c r="BC549">
        <v>1654</v>
      </c>
      <c r="BD549" t="s">
        <v>74</v>
      </c>
      <c r="BE549" t="s">
        <v>11045</v>
      </c>
      <c r="BF549" t="str">
        <f>HYPERLINK("http://dx.doi.org/10.1175/JPO-D-21-0195.1","http://dx.doi.org/10.1175/JPO-D-21-0195.1")</f>
        <v>http://dx.doi.org/10.1175/JPO-D-21-0195.1</v>
      </c>
      <c r="BG549" t="s">
        <v>74</v>
      </c>
      <c r="BH549" t="s">
        <v>74</v>
      </c>
      <c r="BI549">
        <v>26</v>
      </c>
      <c r="BJ549" t="s">
        <v>674</v>
      </c>
      <c r="BK549" t="s">
        <v>100</v>
      </c>
      <c r="BL549" t="s">
        <v>674</v>
      </c>
      <c r="BM549" t="s">
        <v>11027</v>
      </c>
      <c r="BN549" t="s">
        <v>74</v>
      </c>
      <c r="BO549" t="s">
        <v>1221</v>
      </c>
      <c r="BP549" t="s">
        <v>74</v>
      </c>
      <c r="BQ549" t="s">
        <v>74</v>
      </c>
      <c r="BR549" t="s">
        <v>103</v>
      </c>
      <c r="BS549" t="s">
        <v>11046</v>
      </c>
      <c r="BT549" t="str">
        <f>HYPERLINK("https%3A%2F%2Fwww.webofscience.com%2Fwos%2Fwoscc%2Ffull-record%2FWOS:000848440200003","View Full Record in Web of Science")</f>
        <v>View Full Record in Web of Science</v>
      </c>
    </row>
    <row r="550" spans="1:72" x14ac:dyDescent="0.15">
      <c r="A550" t="s">
        <v>72</v>
      </c>
      <c r="B550" t="s">
        <v>11047</v>
      </c>
      <c r="C550" t="s">
        <v>74</v>
      </c>
      <c r="D550" t="s">
        <v>74</v>
      </c>
      <c r="E550" t="s">
        <v>74</v>
      </c>
      <c r="F550" t="s">
        <v>11048</v>
      </c>
      <c r="G550" t="s">
        <v>74</v>
      </c>
      <c r="H550" t="s">
        <v>74</v>
      </c>
      <c r="I550" t="s">
        <v>11049</v>
      </c>
      <c r="J550" t="s">
        <v>11050</v>
      </c>
      <c r="K550" t="s">
        <v>74</v>
      </c>
      <c r="L550" t="s">
        <v>74</v>
      </c>
      <c r="M550" t="s">
        <v>78</v>
      </c>
      <c r="N550" t="s">
        <v>79</v>
      </c>
      <c r="O550" t="s">
        <v>74</v>
      </c>
      <c r="P550" t="s">
        <v>74</v>
      </c>
      <c r="Q550" t="s">
        <v>74</v>
      </c>
      <c r="R550" t="s">
        <v>74</v>
      </c>
      <c r="S550" t="s">
        <v>74</v>
      </c>
      <c r="T550" t="s">
        <v>74</v>
      </c>
      <c r="U550" t="s">
        <v>11051</v>
      </c>
      <c r="V550" t="s">
        <v>11052</v>
      </c>
      <c r="W550" t="s">
        <v>11053</v>
      </c>
      <c r="X550" t="s">
        <v>11054</v>
      </c>
      <c r="Y550" t="s">
        <v>11055</v>
      </c>
      <c r="Z550" t="s">
        <v>11056</v>
      </c>
      <c r="AA550" t="s">
        <v>74</v>
      </c>
      <c r="AB550" t="s">
        <v>11057</v>
      </c>
      <c r="AC550" t="s">
        <v>74</v>
      </c>
      <c r="AD550" t="s">
        <v>74</v>
      </c>
      <c r="AE550" t="s">
        <v>74</v>
      </c>
      <c r="AF550" t="s">
        <v>74</v>
      </c>
      <c r="AG550">
        <v>74</v>
      </c>
      <c r="AH550">
        <v>0</v>
      </c>
      <c r="AI550">
        <v>0</v>
      </c>
      <c r="AJ550">
        <v>7</v>
      </c>
      <c r="AK550">
        <v>26</v>
      </c>
      <c r="AL550" t="s">
        <v>11058</v>
      </c>
      <c r="AM550" t="s">
        <v>11059</v>
      </c>
      <c r="AN550" t="s">
        <v>11060</v>
      </c>
      <c r="AO550" t="s">
        <v>11061</v>
      </c>
      <c r="AP550" t="s">
        <v>11062</v>
      </c>
      <c r="AQ550" t="s">
        <v>74</v>
      </c>
      <c r="AR550" t="s">
        <v>11063</v>
      </c>
      <c r="AS550" t="s">
        <v>11064</v>
      </c>
      <c r="AT550" t="s">
        <v>5386</v>
      </c>
      <c r="AU550">
        <v>2022</v>
      </c>
      <c r="AV550">
        <v>92</v>
      </c>
      <c r="AW550">
        <v>8</v>
      </c>
      <c r="AX550" t="s">
        <v>74</v>
      </c>
      <c r="AY550" t="s">
        <v>74</v>
      </c>
      <c r="AZ550" t="s">
        <v>74</v>
      </c>
      <c r="BA550" t="s">
        <v>74</v>
      </c>
      <c r="BB550">
        <v>704</v>
      </c>
      <c r="BC550">
        <v>720</v>
      </c>
      <c r="BD550" t="s">
        <v>74</v>
      </c>
      <c r="BE550" t="s">
        <v>11065</v>
      </c>
      <c r="BF550" t="str">
        <f>HYPERLINK("http://dx.doi.org/10.2110/jsr.2021.097","http://dx.doi.org/10.2110/jsr.2021.097")</f>
        <v>http://dx.doi.org/10.2110/jsr.2021.097</v>
      </c>
      <c r="BG550" t="s">
        <v>74</v>
      </c>
      <c r="BH550" t="s">
        <v>74</v>
      </c>
      <c r="BI550">
        <v>17</v>
      </c>
      <c r="BJ550" t="s">
        <v>130</v>
      </c>
      <c r="BK550" t="s">
        <v>100</v>
      </c>
      <c r="BL550" t="s">
        <v>130</v>
      </c>
      <c r="BM550" t="s">
        <v>11066</v>
      </c>
      <c r="BN550" t="s">
        <v>74</v>
      </c>
      <c r="BO550" t="s">
        <v>74</v>
      </c>
      <c r="BP550" t="s">
        <v>74</v>
      </c>
      <c r="BQ550" t="s">
        <v>74</v>
      </c>
      <c r="BR550" t="s">
        <v>103</v>
      </c>
      <c r="BS550" t="s">
        <v>11067</v>
      </c>
      <c r="BT550" t="str">
        <f>HYPERLINK("https%3A%2F%2Fwww.webofscience.com%2Fwos%2Fwoscc%2Ffull-record%2FWOS:000858875300003","View Full Record in Web of Science")</f>
        <v>View Full Record in Web of Science</v>
      </c>
    </row>
    <row r="551" spans="1:72" x14ac:dyDescent="0.15">
      <c r="A551" t="s">
        <v>72</v>
      </c>
      <c r="B551" t="s">
        <v>11068</v>
      </c>
      <c r="C551" t="s">
        <v>74</v>
      </c>
      <c r="D551" t="s">
        <v>74</v>
      </c>
      <c r="E551" t="s">
        <v>74</v>
      </c>
      <c r="F551" t="s">
        <v>11069</v>
      </c>
      <c r="G551" t="s">
        <v>74</v>
      </c>
      <c r="H551" t="s">
        <v>74</v>
      </c>
      <c r="I551" t="s">
        <v>11070</v>
      </c>
      <c r="J551" t="s">
        <v>703</v>
      </c>
      <c r="K551" t="s">
        <v>74</v>
      </c>
      <c r="L551" t="s">
        <v>74</v>
      </c>
      <c r="M551" t="s">
        <v>78</v>
      </c>
      <c r="N551" t="s">
        <v>79</v>
      </c>
      <c r="O551" t="s">
        <v>74</v>
      </c>
      <c r="P551" t="s">
        <v>74</v>
      </c>
      <c r="Q551" t="s">
        <v>74</v>
      </c>
      <c r="R551" t="s">
        <v>74</v>
      </c>
      <c r="S551" t="s">
        <v>74</v>
      </c>
      <c r="T551" t="s">
        <v>11071</v>
      </c>
      <c r="U551" t="s">
        <v>11072</v>
      </c>
      <c r="V551" t="s">
        <v>11073</v>
      </c>
      <c r="W551" t="s">
        <v>11074</v>
      </c>
      <c r="X551" t="s">
        <v>11075</v>
      </c>
      <c r="Y551" t="s">
        <v>11076</v>
      </c>
      <c r="Z551" t="s">
        <v>11077</v>
      </c>
      <c r="AA551" t="s">
        <v>11078</v>
      </c>
      <c r="AB551" t="s">
        <v>11079</v>
      </c>
      <c r="AC551" t="s">
        <v>11080</v>
      </c>
      <c r="AD551" t="s">
        <v>11081</v>
      </c>
      <c r="AE551" t="s">
        <v>11082</v>
      </c>
      <c r="AF551" t="s">
        <v>74</v>
      </c>
      <c r="AG551">
        <v>19</v>
      </c>
      <c r="AH551">
        <v>4</v>
      </c>
      <c r="AI551">
        <v>4</v>
      </c>
      <c r="AJ551">
        <v>0</v>
      </c>
      <c r="AK551">
        <v>2</v>
      </c>
      <c r="AL551" t="s">
        <v>449</v>
      </c>
      <c r="AM551" t="s">
        <v>450</v>
      </c>
      <c r="AN551" t="s">
        <v>451</v>
      </c>
      <c r="AO551" t="s">
        <v>716</v>
      </c>
      <c r="AP551" t="s">
        <v>717</v>
      </c>
      <c r="AQ551" t="s">
        <v>74</v>
      </c>
      <c r="AR551" t="s">
        <v>718</v>
      </c>
      <c r="AS551" t="s">
        <v>719</v>
      </c>
      <c r="AT551" t="s">
        <v>5386</v>
      </c>
      <c r="AU551">
        <v>2022</v>
      </c>
      <c r="AV551">
        <v>62</v>
      </c>
      <c r="AW551">
        <v>4</v>
      </c>
      <c r="AX551" t="s">
        <v>74</v>
      </c>
      <c r="AY551" t="s">
        <v>74</v>
      </c>
      <c r="AZ551" t="s">
        <v>74</v>
      </c>
      <c r="BA551" t="s">
        <v>74</v>
      </c>
      <c r="BB551">
        <v>439</v>
      </c>
      <c r="BC551">
        <v>446</v>
      </c>
      <c r="BD551" t="s">
        <v>74</v>
      </c>
      <c r="BE551" t="s">
        <v>11083</v>
      </c>
      <c r="BF551" t="str">
        <f>HYPERLINK("http://dx.doi.org/10.1134/S0001437022040154","http://dx.doi.org/10.1134/S0001437022040154")</f>
        <v>http://dx.doi.org/10.1134/S0001437022040154</v>
      </c>
      <c r="BG551" t="s">
        <v>74</v>
      </c>
      <c r="BH551" t="s">
        <v>74</v>
      </c>
      <c r="BI551">
        <v>8</v>
      </c>
      <c r="BJ551" t="s">
        <v>674</v>
      </c>
      <c r="BK551" t="s">
        <v>100</v>
      </c>
      <c r="BL551" t="s">
        <v>674</v>
      </c>
      <c r="BM551" t="s">
        <v>11084</v>
      </c>
      <c r="BN551" t="s">
        <v>74</v>
      </c>
      <c r="BO551" t="s">
        <v>74</v>
      </c>
      <c r="BP551" t="s">
        <v>74</v>
      </c>
      <c r="BQ551" t="s">
        <v>74</v>
      </c>
      <c r="BR551" t="s">
        <v>103</v>
      </c>
      <c r="BS551" t="s">
        <v>11085</v>
      </c>
      <c r="BT551" t="str">
        <f>HYPERLINK("https%3A%2F%2Fwww.webofscience.com%2Fwos%2Fwoscc%2Ffull-record%2FWOS:000854865300001","View Full Record in Web of Science")</f>
        <v>View Full Record in Web of Science</v>
      </c>
    </row>
    <row r="552" spans="1:72" x14ac:dyDescent="0.15">
      <c r="A552" t="s">
        <v>72</v>
      </c>
      <c r="B552" t="s">
        <v>11086</v>
      </c>
      <c r="C552" t="s">
        <v>74</v>
      </c>
      <c r="D552" t="s">
        <v>74</v>
      </c>
      <c r="E552" t="s">
        <v>74</v>
      </c>
      <c r="F552" t="s">
        <v>11087</v>
      </c>
      <c r="G552" t="s">
        <v>74</v>
      </c>
      <c r="H552" t="s">
        <v>74</v>
      </c>
      <c r="I552" t="s">
        <v>11088</v>
      </c>
      <c r="J552" t="s">
        <v>703</v>
      </c>
      <c r="K552" t="s">
        <v>74</v>
      </c>
      <c r="L552" t="s">
        <v>74</v>
      </c>
      <c r="M552" t="s">
        <v>78</v>
      </c>
      <c r="N552" t="s">
        <v>79</v>
      </c>
      <c r="O552" t="s">
        <v>74</v>
      </c>
      <c r="P552" t="s">
        <v>74</v>
      </c>
      <c r="Q552" t="s">
        <v>74</v>
      </c>
      <c r="R552" t="s">
        <v>74</v>
      </c>
      <c r="S552" t="s">
        <v>74</v>
      </c>
      <c r="T552" t="s">
        <v>11089</v>
      </c>
      <c r="U552" t="s">
        <v>74</v>
      </c>
      <c r="V552" t="s">
        <v>11090</v>
      </c>
      <c r="W552" t="s">
        <v>11091</v>
      </c>
      <c r="X552" t="s">
        <v>11092</v>
      </c>
      <c r="Y552" t="s">
        <v>11093</v>
      </c>
      <c r="Z552" t="s">
        <v>11094</v>
      </c>
      <c r="AA552" t="s">
        <v>11095</v>
      </c>
      <c r="AB552" t="s">
        <v>11096</v>
      </c>
      <c r="AC552" t="s">
        <v>11097</v>
      </c>
      <c r="AD552" t="s">
        <v>11098</v>
      </c>
      <c r="AE552" t="s">
        <v>11099</v>
      </c>
      <c r="AF552" t="s">
        <v>74</v>
      </c>
      <c r="AG552">
        <v>0</v>
      </c>
      <c r="AH552">
        <v>1</v>
      </c>
      <c r="AI552">
        <v>1</v>
      </c>
      <c r="AJ552">
        <v>0</v>
      </c>
      <c r="AK552">
        <v>0</v>
      </c>
      <c r="AL552" t="s">
        <v>449</v>
      </c>
      <c r="AM552" t="s">
        <v>450</v>
      </c>
      <c r="AN552" t="s">
        <v>451</v>
      </c>
      <c r="AO552" t="s">
        <v>716</v>
      </c>
      <c r="AP552" t="s">
        <v>717</v>
      </c>
      <c r="AQ552" t="s">
        <v>74</v>
      </c>
      <c r="AR552" t="s">
        <v>718</v>
      </c>
      <c r="AS552" t="s">
        <v>719</v>
      </c>
      <c r="AT552" t="s">
        <v>5386</v>
      </c>
      <c r="AU552">
        <v>2022</v>
      </c>
      <c r="AV552">
        <v>62</v>
      </c>
      <c r="AW552">
        <v>4</v>
      </c>
      <c r="AX552" t="s">
        <v>74</v>
      </c>
      <c r="AY552" t="s">
        <v>74</v>
      </c>
      <c r="AZ552" t="s">
        <v>74</v>
      </c>
      <c r="BA552" t="s">
        <v>74</v>
      </c>
      <c r="BB552">
        <v>581</v>
      </c>
      <c r="BC552">
        <v>583</v>
      </c>
      <c r="BD552" t="s">
        <v>74</v>
      </c>
      <c r="BE552" t="s">
        <v>11100</v>
      </c>
      <c r="BF552" t="str">
        <f>HYPERLINK("http://dx.doi.org/10.1134/S000143702204004X","http://dx.doi.org/10.1134/S000143702204004X")</f>
        <v>http://dx.doi.org/10.1134/S000143702204004X</v>
      </c>
      <c r="BG552" t="s">
        <v>74</v>
      </c>
      <c r="BH552" t="s">
        <v>74</v>
      </c>
      <c r="BI552">
        <v>3</v>
      </c>
      <c r="BJ552" t="s">
        <v>674</v>
      </c>
      <c r="BK552" t="s">
        <v>100</v>
      </c>
      <c r="BL552" t="s">
        <v>674</v>
      </c>
      <c r="BM552" t="s">
        <v>11084</v>
      </c>
      <c r="BN552" t="s">
        <v>74</v>
      </c>
      <c r="BO552" t="s">
        <v>74</v>
      </c>
      <c r="BP552" t="s">
        <v>74</v>
      </c>
      <c r="BQ552" t="s">
        <v>74</v>
      </c>
      <c r="BR552" t="s">
        <v>103</v>
      </c>
      <c r="BS552" t="s">
        <v>11101</v>
      </c>
      <c r="BT552" t="str">
        <f>HYPERLINK("https%3A%2F%2Fwww.webofscience.com%2Fwos%2Fwoscc%2Ffull-record%2FWOS:000854865300018","View Full Record in Web of Science")</f>
        <v>View Full Record in Web of Science</v>
      </c>
    </row>
    <row r="553" spans="1:72" x14ac:dyDescent="0.15">
      <c r="A553" t="s">
        <v>72</v>
      </c>
      <c r="B553" t="s">
        <v>11102</v>
      </c>
      <c r="C553" t="s">
        <v>74</v>
      </c>
      <c r="D553" t="s">
        <v>74</v>
      </c>
      <c r="E553" t="s">
        <v>74</v>
      </c>
      <c r="F553" t="s">
        <v>11103</v>
      </c>
      <c r="G553" t="s">
        <v>74</v>
      </c>
      <c r="H553" t="s">
        <v>74</v>
      </c>
      <c r="I553" t="s">
        <v>11104</v>
      </c>
      <c r="J553" t="s">
        <v>11105</v>
      </c>
      <c r="K553" t="s">
        <v>74</v>
      </c>
      <c r="L553" t="s">
        <v>74</v>
      </c>
      <c r="M553" t="s">
        <v>78</v>
      </c>
      <c r="N553" t="s">
        <v>79</v>
      </c>
      <c r="O553" t="s">
        <v>74</v>
      </c>
      <c r="P553" t="s">
        <v>74</v>
      </c>
      <c r="Q553" t="s">
        <v>74</v>
      </c>
      <c r="R553" t="s">
        <v>74</v>
      </c>
      <c r="S553" t="s">
        <v>74</v>
      </c>
      <c r="T553" t="s">
        <v>11106</v>
      </c>
      <c r="U553" t="s">
        <v>11107</v>
      </c>
      <c r="V553" t="s">
        <v>11108</v>
      </c>
      <c r="W553" t="s">
        <v>11109</v>
      </c>
      <c r="X553" t="s">
        <v>11110</v>
      </c>
      <c r="Y553" t="s">
        <v>11111</v>
      </c>
      <c r="Z553" t="s">
        <v>11112</v>
      </c>
      <c r="AA553" t="s">
        <v>11113</v>
      </c>
      <c r="AB553" t="s">
        <v>11114</v>
      </c>
      <c r="AC553" t="s">
        <v>11115</v>
      </c>
      <c r="AD553" t="s">
        <v>11116</v>
      </c>
      <c r="AE553" t="s">
        <v>11117</v>
      </c>
      <c r="AF553" t="s">
        <v>74</v>
      </c>
      <c r="AG553">
        <v>57</v>
      </c>
      <c r="AH553">
        <v>0</v>
      </c>
      <c r="AI553">
        <v>0</v>
      </c>
      <c r="AJ553">
        <v>7</v>
      </c>
      <c r="AK553">
        <v>49</v>
      </c>
      <c r="AL553" t="s">
        <v>754</v>
      </c>
      <c r="AM553" t="s">
        <v>755</v>
      </c>
      <c r="AN553" t="s">
        <v>756</v>
      </c>
      <c r="AO553" t="s">
        <v>74</v>
      </c>
      <c r="AP553" t="s">
        <v>11118</v>
      </c>
      <c r="AQ553" t="s">
        <v>74</v>
      </c>
      <c r="AR553" t="s">
        <v>11119</v>
      </c>
      <c r="AS553" t="s">
        <v>11120</v>
      </c>
      <c r="AT553" t="s">
        <v>5386</v>
      </c>
      <c r="AU553">
        <v>2022</v>
      </c>
      <c r="AV553">
        <v>11</v>
      </c>
      <c r="AW553">
        <v>8</v>
      </c>
      <c r="AX553" t="s">
        <v>74</v>
      </c>
      <c r="AY553" t="s">
        <v>74</v>
      </c>
      <c r="AZ553" t="s">
        <v>74</v>
      </c>
      <c r="BA553" t="s">
        <v>74</v>
      </c>
      <c r="BB553" t="s">
        <v>74</v>
      </c>
      <c r="BC553" t="s">
        <v>74</v>
      </c>
      <c r="BD553">
        <v>1217</v>
      </c>
      <c r="BE553" t="s">
        <v>11121</v>
      </c>
      <c r="BF553" t="str">
        <f>HYPERLINK("http://dx.doi.org/10.3390/land11081217","http://dx.doi.org/10.3390/land11081217")</f>
        <v>http://dx.doi.org/10.3390/land11081217</v>
      </c>
      <c r="BG553" t="s">
        <v>74</v>
      </c>
      <c r="BH553" t="s">
        <v>74</v>
      </c>
      <c r="BI553">
        <v>14</v>
      </c>
      <c r="BJ553" t="s">
        <v>2399</v>
      </c>
      <c r="BK553" t="s">
        <v>2257</v>
      </c>
      <c r="BL553" t="s">
        <v>2041</v>
      </c>
      <c r="BM553" t="s">
        <v>11122</v>
      </c>
      <c r="BN553" t="s">
        <v>74</v>
      </c>
      <c r="BO553" t="s">
        <v>159</v>
      </c>
      <c r="BP553" t="s">
        <v>74</v>
      </c>
      <c r="BQ553" t="s">
        <v>74</v>
      </c>
      <c r="BR553" t="s">
        <v>103</v>
      </c>
      <c r="BS553" t="s">
        <v>11123</v>
      </c>
      <c r="BT553" t="str">
        <f>HYPERLINK("https%3A%2F%2Fwww.webofscience.com%2Fwos%2Fwoscc%2Ffull-record%2FWOS:000854071200001","View Full Record in Web of Science")</f>
        <v>View Full Record in Web of Science</v>
      </c>
    </row>
    <row r="554" spans="1:72" x14ac:dyDescent="0.15">
      <c r="A554" t="s">
        <v>72</v>
      </c>
      <c r="B554" t="s">
        <v>11124</v>
      </c>
      <c r="C554" t="s">
        <v>74</v>
      </c>
      <c r="D554" t="s">
        <v>74</v>
      </c>
      <c r="E554" t="s">
        <v>74</v>
      </c>
      <c r="F554" t="s">
        <v>11125</v>
      </c>
      <c r="G554" t="s">
        <v>74</v>
      </c>
      <c r="H554" t="s">
        <v>74</v>
      </c>
      <c r="I554" t="s">
        <v>11126</v>
      </c>
      <c r="J554" t="s">
        <v>811</v>
      </c>
      <c r="K554" t="s">
        <v>74</v>
      </c>
      <c r="L554" t="s">
        <v>74</v>
      </c>
      <c r="M554" t="s">
        <v>78</v>
      </c>
      <c r="N554" t="s">
        <v>1346</v>
      </c>
      <c r="O554" t="s">
        <v>74</v>
      </c>
      <c r="P554" t="s">
        <v>74</v>
      </c>
      <c r="Q554" t="s">
        <v>74</v>
      </c>
      <c r="R554" t="s">
        <v>74</v>
      </c>
      <c r="S554" t="s">
        <v>74</v>
      </c>
      <c r="T554" t="s">
        <v>74</v>
      </c>
      <c r="U554" t="s">
        <v>11127</v>
      </c>
      <c r="V554" t="s">
        <v>74</v>
      </c>
      <c r="W554" t="s">
        <v>11128</v>
      </c>
      <c r="X554" t="s">
        <v>3385</v>
      </c>
      <c r="Y554" t="s">
        <v>11129</v>
      </c>
      <c r="Z554" t="s">
        <v>74</v>
      </c>
      <c r="AA554" t="s">
        <v>11130</v>
      </c>
      <c r="AB554" t="s">
        <v>74</v>
      </c>
      <c r="AC554" t="s">
        <v>74</v>
      </c>
      <c r="AD554" t="s">
        <v>74</v>
      </c>
      <c r="AE554" t="s">
        <v>74</v>
      </c>
      <c r="AF554" t="s">
        <v>74</v>
      </c>
      <c r="AG554">
        <v>9</v>
      </c>
      <c r="AH554">
        <v>0</v>
      </c>
      <c r="AI554">
        <v>0</v>
      </c>
      <c r="AJ554">
        <v>0</v>
      </c>
      <c r="AK554">
        <v>1</v>
      </c>
      <c r="AL554" t="s">
        <v>345</v>
      </c>
      <c r="AM554" t="s">
        <v>450</v>
      </c>
      <c r="AN554" t="s">
        <v>821</v>
      </c>
      <c r="AO554" t="s">
        <v>822</v>
      </c>
      <c r="AP554" t="s">
        <v>823</v>
      </c>
      <c r="AQ554" t="s">
        <v>74</v>
      </c>
      <c r="AR554" t="s">
        <v>824</v>
      </c>
      <c r="AS554" t="s">
        <v>825</v>
      </c>
      <c r="AT554" t="s">
        <v>5386</v>
      </c>
      <c r="AU554">
        <v>2022</v>
      </c>
      <c r="AV554">
        <v>34</v>
      </c>
      <c r="AW554">
        <v>4</v>
      </c>
      <c r="AX554" t="s">
        <v>74</v>
      </c>
      <c r="AY554" t="s">
        <v>74</v>
      </c>
      <c r="AZ554" t="s">
        <v>74</v>
      </c>
      <c r="BA554" t="s">
        <v>74</v>
      </c>
      <c r="BB554">
        <v>279</v>
      </c>
      <c r="BC554">
        <v>280</v>
      </c>
      <c r="BD554" t="s">
        <v>11131</v>
      </c>
      <c r="BE554" t="s">
        <v>11132</v>
      </c>
      <c r="BF554" t="str">
        <f>HYPERLINK("http://dx.doi.org/10.1017/S0954102022000323","http://dx.doi.org/10.1017/S0954102022000323")</f>
        <v>http://dx.doi.org/10.1017/S0954102022000323</v>
      </c>
      <c r="BG554" t="s">
        <v>74</v>
      </c>
      <c r="BH554" t="s">
        <v>74</v>
      </c>
      <c r="BI554">
        <v>2</v>
      </c>
      <c r="BJ554" t="s">
        <v>828</v>
      </c>
      <c r="BK554" t="s">
        <v>100</v>
      </c>
      <c r="BL554" t="s">
        <v>829</v>
      </c>
      <c r="BM554" t="s">
        <v>5389</v>
      </c>
      <c r="BN554" t="s">
        <v>74</v>
      </c>
      <c r="BO554" t="s">
        <v>404</v>
      </c>
      <c r="BP554" t="s">
        <v>74</v>
      </c>
      <c r="BQ554" t="s">
        <v>74</v>
      </c>
      <c r="BR554" t="s">
        <v>103</v>
      </c>
      <c r="BS554" t="s">
        <v>11133</v>
      </c>
      <c r="BT554" t="str">
        <f>HYPERLINK("https%3A%2F%2Fwww.webofscience.com%2Fwos%2Fwoscc%2Ffull-record%2FWOS:000853498600003","View Full Record in Web of Science")</f>
        <v>View Full Record in Web of Science</v>
      </c>
    </row>
    <row r="555" spans="1:72" x14ac:dyDescent="0.15">
      <c r="A555" t="s">
        <v>72</v>
      </c>
      <c r="B555" t="s">
        <v>11134</v>
      </c>
      <c r="C555" t="s">
        <v>74</v>
      </c>
      <c r="D555" t="s">
        <v>74</v>
      </c>
      <c r="E555" t="s">
        <v>74</v>
      </c>
      <c r="F555" t="s">
        <v>11135</v>
      </c>
      <c r="G555" t="s">
        <v>74</v>
      </c>
      <c r="H555" t="s">
        <v>74</v>
      </c>
      <c r="I555" t="s">
        <v>11136</v>
      </c>
      <c r="J555" t="s">
        <v>1053</v>
      </c>
      <c r="K555" t="s">
        <v>74</v>
      </c>
      <c r="L555" t="s">
        <v>74</v>
      </c>
      <c r="M555" t="s">
        <v>78</v>
      </c>
      <c r="N555" t="s">
        <v>79</v>
      </c>
      <c r="O555" t="s">
        <v>74</v>
      </c>
      <c r="P555" t="s">
        <v>74</v>
      </c>
      <c r="Q555" t="s">
        <v>74</v>
      </c>
      <c r="R555" t="s">
        <v>74</v>
      </c>
      <c r="S555" t="s">
        <v>74</v>
      </c>
      <c r="T555" t="s">
        <v>11137</v>
      </c>
      <c r="U555" t="s">
        <v>11138</v>
      </c>
      <c r="V555" t="s">
        <v>11139</v>
      </c>
      <c r="W555" t="s">
        <v>11140</v>
      </c>
      <c r="X555" t="s">
        <v>11141</v>
      </c>
      <c r="Y555" t="s">
        <v>11142</v>
      </c>
      <c r="Z555" t="s">
        <v>11143</v>
      </c>
      <c r="AA555" t="s">
        <v>74</v>
      </c>
      <c r="AB555" t="s">
        <v>11144</v>
      </c>
      <c r="AC555" t="s">
        <v>11145</v>
      </c>
      <c r="AD555" t="s">
        <v>11146</v>
      </c>
      <c r="AE555" t="s">
        <v>11147</v>
      </c>
      <c r="AF555" t="s">
        <v>74</v>
      </c>
      <c r="AG555">
        <v>52</v>
      </c>
      <c r="AH555">
        <v>4</v>
      </c>
      <c r="AI555">
        <v>4</v>
      </c>
      <c r="AJ555">
        <v>2</v>
      </c>
      <c r="AK555">
        <v>4</v>
      </c>
      <c r="AL555" t="s">
        <v>1065</v>
      </c>
      <c r="AM555" t="s">
        <v>1066</v>
      </c>
      <c r="AN555" t="s">
        <v>1067</v>
      </c>
      <c r="AO555" t="s">
        <v>1068</v>
      </c>
      <c r="AP555" t="s">
        <v>1069</v>
      </c>
      <c r="AQ555" t="s">
        <v>74</v>
      </c>
      <c r="AR555" t="s">
        <v>1070</v>
      </c>
      <c r="AS555" t="s">
        <v>1071</v>
      </c>
      <c r="AT555" t="s">
        <v>5386</v>
      </c>
      <c r="AU555">
        <v>2022</v>
      </c>
      <c r="AV555">
        <v>52</v>
      </c>
      <c r="AW555">
        <v>8</v>
      </c>
      <c r="AX555" t="s">
        <v>74</v>
      </c>
      <c r="AY555" t="s">
        <v>74</v>
      </c>
      <c r="AZ555" t="s">
        <v>74</v>
      </c>
      <c r="BA555" t="s">
        <v>74</v>
      </c>
      <c r="BB555">
        <v>1887</v>
      </c>
      <c r="BC555">
        <v>1902</v>
      </c>
      <c r="BD555" t="s">
        <v>74</v>
      </c>
      <c r="BE555" t="s">
        <v>11148</v>
      </c>
      <c r="BF555" t="str">
        <f>HYPERLINK("http://dx.doi.org/10.1175/JPO-D-21-0295.1","http://dx.doi.org/10.1175/JPO-D-21-0295.1")</f>
        <v>http://dx.doi.org/10.1175/JPO-D-21-0295.1</v>
      </c>
      <c r="BG555" t="s">
        <v>74</v>
      </c>
      <c r="BH555" t="s">
        <v>74</v>
      </c>
      <c r="BI555">
        <v>16</v>
      </c>
      <c r="BJ555" t="s">
        <v>674</v>
      </c>
      <c r="BK555" t="s">
        <v>100</v>
      </c>
      <c r="BL555" t="s">
        <v>674</v>
      </c>
      <c r="BM555" t="s">
        <v>11027</v>
      </c>
      <c r="BN555" t="s">
        <v>74</v>
      </c>
      <c r="BO555" t="s">
        <v>2401</v>
      </c>
      <c r="BP555" t="s">
        <v>74</v>
      </c>
      <c r="BQ555" t="s">
        <v>74</v>
      </c>
      <c r="BR555" t="s">
        <v>103</v>
      </c>
      <c r="BS555" t="s">
        <v>11149</v>
      </c>
      <c r="BT555" t="str">
        <f>HYPERLINK("https%3A%2F%2Fwww.webofscience.com%2Fwos%2Fwoscc%2Ffull-record%2FWOS:000848440200016","View Full Record in Web of Science")</f>
        <v>View Full Record in Web of Science</v>
      </c>
    </row>
    <row r="556" spans="1:72" x14ac:dyDescent="0.15">
      <c r="A556" t="s">
        <v>72</v>
      </c>
      <c r="B556" t="s">
        <v>11150</v>
      </c>
      <c r="C556" t="s">
        <v>74</v>
      </c>
      <c r="D556" t="s">
        <v>74</v>
      </c>
      <c r="E556" t="s">
        <v>74</v>
      </c>
      <c r="F556" t="s">
        <v>11151</v>
      </c>
      <c r="G556" t="s">
        <v>74</v>
      </c>
      <c r="H556" t="s">
        <v>74</v>
      </c>
      <c r="I556" t="s">
        <v>11152</v>
      </c>
      <c r="J556" t="s">
        <v>1053</v>
      </c>
      <c r="K556" t="s">
        <v>74</v>
      </c>
      <c r="L556" t="s">
        <v>74</v>
      </c>
      <c r="M556" t="s">
        <v>78</v>
      </c>
      <c r="N556" t="s">
        <v>79</v>
      </c>
      <c r="O556" t="s">
        <v>74</v>
      </c>
      <c r="P556" t="s">
        <v>74</v>
      </c>
      <c r="Q556" t="s">
        <v>74</v>
      </c>
      <c r="R556" t="s">
        <v>74</v>
      </c>
      <c r="S556" t="s">
        <v>74</v>
      </c>
      <c r="T556" t="s">
        <v>11153</v>
      </c>
      <c r="U556" t="s">
        <v>11154</v>
      </c>
      <c r="V556" t="s">
        <v>11155</v>
      </c>
      <c r="W556" t="s">
        <v>11156</v>
      </c>
      <c r="X556" t="s">
        <v>11157</v>
      </c>
      <c r="Y556" t="s">
        <v>11158</v>
      </c>
      <c r="Z556" t="s">
        <v>11159</v>
      </c>
      <c r="AA556" t="s">
        <v>11160</v>
      </c>
      <c r="AB556" t="s">
        <v>11161</v>
      </c>
      <c r="AC556" t="s">
        <v>11162</v>
      </c>
      <c r="AD556" t="s">
        <v>11163</v>
      </c>
      <c r="AE556" t="s">
        <v>11164</v>
      </c>
      <c r="AF556" t="s">
        <v>74</v>
      </c>
      <c r="AG556">
        <v>63</v>
      </c>
      <c r="AH556">
        <v>2</v>
      </c>
      <c r="AI556">
        <v>2</v>
      </c>
      <c r="AJ556">
        <v>1</v>
      </c>
      <c r="AK556">
        <v>4</v>
      </c>
      <c r="AL556" t="s">
        <v>1065</v>
      </c>
      <c r="AM556" t="s">
        <v>1066</v>
      </c>
      <c r="AN556" t="s">
        <v>1067</v>
      </c>
      <c r="AO556" t="s">
        <v>1068</v>
      </c>
      <c r="AP556" t="s">
        <v>1069</v>
      </c>
      <c r="AQ556" t="s">
        <v>74</v>
      </c>
      <c r="AR556" t="s">
        <v>1070</v>
      </c>
      <c r="AS556" t="s">
        <v>1071</v>
      </c>
      <c r="AT556" t="s">
        <v>5386</v>
      </c>
      <c r="AU556">
        <v>2022</v>
      </c>
      <c r="AV556">
        <v>52</v>
      </c>
      <c r="AW556">
        <v>8</v>
      </c>
      <c r="AX556" t="s">
        <v>74</v>
      </c>
      <c r="AY556" t="s">
        <v>74</v>
      </c>
      <c r="AZ556" t="s">
        <v>74</v>
      </c>
      <c r="BA556" t="s">
        <v>74</v>
      </c>
      <c r="BB556">
        <v>1903</v>
      </c>
      <c r="BC556">
        <v>1926</v>
      </c>
      <c r="BD556" t="s">
        <v>74</v>
      </c>
      <c r="BE556" t="s">
        <v>11165</v>
      </c>
      <c r="BF556" t="str">
        <f>HYPERLINK("http://dx.doi.org/10.1175/JPO-D-21-0166.1","http://dx.doi.org/10.1175/JPO-D-21-0166.1")</f>
        <v>http://dx.doi.org/10.1175/JPO-D-21-0166.1</v>
      </c>
      <c r="BG556" t="s">
        <v>74</v>
      </c>
      <c r="BH556" t="s">
        <v>74</v>
      </c>
      <c r="BI556">
        <v>24</v>
      </c>
      <c r="BJ556" t="s">
        <v>674</v>
      </c>
      <c r="BK556" t="s">
        <v>100</v>
      </c>
      <c r="BL556" t="s">
        <v>674</v>
      </c>
      <c r="BM556" t="s">
        <v>11027</v>
      </c>
      <c r="BN556" t="s">
        <v>74</v>
      </c>
      <c r="BO556" t="s">
        <v>4297</v>
      </c>
      <c r="BP556" t="s">
        <v>74</v>
      </c>
      <c r="BQ556" t="s">
        <v>74</v>
      </c>
      <c r="BR556" t="s">
        <v>103</v>
      </c>
      <c r="BS556" t="s">
        <v>11166</v>
      </c>
      <c r="BT556" t="str">
        <f>HYPERLINK("https%3A%2F%2Fwww.webofscience.com%2Fwos%2Fwoscc%2Ffull-record%2FWOS:000848440200017","View Full Record in Web of Science")</f>
        <v>View Full Record in Web of Science</v>
      </c>
    </row>
    <row r="557" spans="1:72" x14ac:dyDescent="0.15">
      <c r="A557" t="s">
        <v>72</v>
      </c>
      <c r="B557" t="s">
        <v>11167</v>
      </c>
      <c r="C557" t="s">
        <v>74</v>
      </c>
      <c r="D557" t="s">
        <v>74</v>
      </c>
      <c r="E557" t="s">
        <v>74</v>
      </c>
      <c r="F557" t="s">
        <v>11168</v>
      </c>
      <c r="G557" t="s">
        <v>74</v>
      </c>
      <c r="H557" t="s">
        <v>74</v>
      </c>
      <c r="I557" t="s">
        <v>11169</v>
      </c>
      <c r="J557" t="s">
        <v>741</v>
      </c>
      <c r="K557" t="s">
        <v>74</v>
      </c>
      <c r="L557" t="s">
        <v>74</v>
      </c>
      <c r="M557" t="s">
        <v>78</v>
      </c>
      <c r="N557" t="s">
        <v>79</v>
      </c>
      <c r="O557" t="s">
        <v>74</v>
      </c>
      <c r="P557" t="s">
        <v>74</v>
      </c>
      <c r="Q557" t="s">
        <v>74</v>
      </c>
      <c r="R557" t="s">
        <v>74</v>
      </c>
      <c r="S557" t="s">
        <v>74</v>
      </c>
      <c r="T557" t="s">
        <v>11170</v>
      </c>
      <c r="U557" t="s">
        <v>11171</v>
      </c>
      <c r="V557" t="s">
        <v>11172</v>
      </c>
      <c r="W557" t="s">
        <v>11173</v>
      </c>
      <c r="X557" t="s">
        <v>11174</v>
      </c>
      <c r="Y557" t="s">
        <v>11175</v>
      </c>
      <c r="Z557" t="s">
        <v>11176</v>
      </c>
      <c r="AA557" t="s">
        <v>11177</v>
      </c>
      <c r="AB557" t="s">
        <v>11178</v>
      </c>
      <c r="AC557" t="s">
        <v>11179</v>
      </c>
      <c r="AD557" t="s">
        <v>11180</v>
      </c>
      <c r="AE557" t="s">
        <v>11181</v>
      </c>
      <c r="AF557" t="s">
        <v>74</v>
      </c>
      <c r="AG557">
        <v>85</v>
      </c>
      <c r="AH557">
        <v>4</v>
      </c>
      <c r="AI557">
        <v>4</v>
      </c>
      <c r="AJ557">
        <v>0</v>
      </c>
      <c r="AK557">
        <v>8</v>
      </c>
      <c r="AL557" t="s">
        <v>754</v>
      </c>
      <c r="AM557" t="s">
        <v>755</v>
      </c>
      <c r="AN557" t="s">
        <v>756</v>
      </c>
      <c r="AO557" t="s">
        <v>74</v>
      </c>
      <c r="AP557" t="s">
        <v>757</v>
      </c>
      <c r="AQ557" t="s">
        <v>74</v>
      </c>
      <c r="AR557" t="s">
        <v>741</v>
      </c>
      <c r="AS557" t="s">
        <v>758</v>
      </c>
      <c r="AT557" t="s">
        <v>5386</v>
      </c>
      <c r="AU557">
        <v>2022</v>
      </c>
      <c r="AV557">
        <v>11</v>
      </c>
      <c r="AW557">
        <v>8</v>
      </c>
      <c r="AX557" t="s">
        <v>74</v>
      </c>
      <c r="AY557" t="s">
        <v>74</v>
      </c>
      <c r="AZ557" t="s">
        <v>74</v>
      </c>
      <c r="BA557" t="s">
        <v>74</v>
      </c>
      <c r="BB557" t="s">
        <v>74</v>
      </c>
      <c r="BC557" t="s">
        <v>74</v>
      </c>
      <c r="BD557">
        <v>1143</v>
      </c>
      <c r="BE557" t="s">
        <v>11182</v>
      </c>
      <c r="BF557" t="str">
        <f>HYPERLINK("http://dx.doi.org/10.3390/biology11081143","http://dx.doi.org/10.3390/biology11081143")</f>
        <v>http://dx.doi.org/10.3390/biology11081143</v>
      </c>
      <c r="BG557" t="s">
        <v>74</v>
      </c>
      <c r="BH557" t="s">
        <v>74</v>
      </c>
      <c r="BI557">
        <v>21</v>
      </c>
      <c r="BJ557" t="s">
        <v>760</v>
      </c>
      <c r="BK557" t="s">
        <v>100</v>
      </c>
      <c r="BL557" t="s">
        <v>761</v>
      </c>
      <c r="BM557" t="s">
        <v>11183</v>
      </c>
      <c r="BN557">
        <v>36009770</v>
      </c>
      <c r="BO557" t="s">
        <v>132</v>
      </c>
      <c r="BP557" t="s">
        <v>74</v>
      </c>
      <c r="BQ557" t="s">
        <v>74</v>
      </c>
      <c r="BR557" t="s">
        <v>103</v>
      </c>
      <c r="BS557" t="s">
        <v>11184</v>
      </c>
      <c r="BT557" t="str">
        <f>HYPERLINK("https%3A%2F%2Fwww.webofscience.com%2Fwos%2Fwoscc%2Ffull-record%2FWOS:000847009500001","View Full Record in Web of Science")</f>
        <v>View Full Record in Web of Science</v>
      </c>
    </row>
    <row r="558" spans="1:72" x14ac:dyDescent="0.15">
      <c r="A558" t="s">
        <v>72</v>
      </c>
      <c r="B558" t="s">
        <v>11185</v>
      </c>
      <c r="C558" t="s">
        <v>74</v>
      </c>
      <c r="D558" t="s">
        <v>74</v>
      </c>
      <c r="E558" t="s">
        <v>74</v>
      </c>
      <c r="F558" t="s">
        <v>11186</v>
      </c>
      <c r="G558" t="s">
        <v>74</v>
      </c>
      <c r="H558" t="s">
        <v>74</v>
      </c>
      <c r="I558" t="s">
        <v>11187</v>
      </c>
      <c r="J558" t="s">
        <v>1176</v>
      </c>
      <c r="K558" t="s">
        <v>74</v>
      </c>
      <c r="L558" t="s">
        <v>74</v>
      </c>
      <c r="M558" t="s">
        <v>78</v>
      </c>
      <c r="N558" t="s">
        <v>79</v>
      </c>
      <c r="O558" t="s">
        <v>74</v>
      </c>
      <c r="P558" t="s">
        <v>74</v>
      </c>
      <c r="Q558" t="s">
        <v>74</v>
      </c>
      <c r="R558" t="s">
        <v>74</v>
      </c>
      <c r="S558" t="s">
        <v>74</v>
      </c>
      <c r="T558" t="s">
        <v>11188</v>
      </c>
      <c r="U558" t="s">
        <v>11189</v>
      </c>
      <c r="V558" t="s">
        <v>11190</v>
      </c>
      <c r="W558" t="s">
        <v>11191</v>
      </c>
      <c r="X558" t="s">
        <v>11192</v>
      </c>
      <c r="Y558" t="s">
        <v>11193</v>
      </c>
      <c r="Z558" t="s">
        <v>11194</v>
      </c>
      <c r="AA558" t="s">
        <v>11195</v>
      </c>
      <c r="AB558" t="s">
        <v>11196</v>
      </c>
      <c r="AC558" t="s">
        <v>11197</v>
      </c>
      <c r="AD558" t="s">
        <v>11198</v>
      </c>
      <c r="AE558" t="s">
        <v>11199</v>
      </c>
      <c r="AF558" t="s">
        <v>74</v>
      </c>
      <c r="AG558">
        <v>69</v>
      </c>
      <c r="AH558">
        <v>5</v>
      </c>
      <c r="AI558">
        <v>5</v>
      </c>
      <c r="AJ558">
        <v>5</v>
      </c>
      <c r="AK558">
        <v>13</v>
      </c>
      <c r="AL558" t="s">
        <v>754</v>
      </c>
      <c r="AM558" t="s">
        <v>755</v>
      </c>
      <c r="AN558" t="s">
        <v>756</v>
      </c>
      <c r="AO558" t="s">
        <v>74</v>
      </c>
      <c r="AP558" t="s">
        <v>1189</v>
      </c>
      <c r="AQ558" t="s">
        <v>74</v>
      </c>
      <c r="AR558" t="s">
        <v>1190</v>
      </c>
      <c r="AS558" t="s">
        <v>1191</v>
      </c>
      <c r="AT558" t="s">
        <v>5386</v>
      </c>
      <c r="AU558">
        <v>2022</v>
      </c>
      <c r="AV558">
        <v>7</v>
      </c>
      <c r="AW558">
        <v>4</v>
      </c>
      <c r="AX558" t="s">
        <v>74</v>
      </c>
      <c r="AY558" t="s">
        <v>74</v>
      </c>
      <c r="AZ558" t="s">
        <v>74</v>
      </c>
      <c r="BA558" t="s">
        <v>74</v>
      </c>
      <c r="BB558" t="s">
        <v>74</v>
      </c>
      <c r="BC558" t="s">
        <v>74</v>
      </c>
      <c r="BD558">
        <v>205</v>
      </c>
      <c r="BE558" t="s">
        <v>11200</v>
      </c>
      <c r="BF558" t="str">
        <f>HYPERLINK("http://dx.doi.org/10.3390/fishes7040205","http://dx.doi.org/10.3390/fishes7040205")</f>
        <v>http://dx.doi.org/10.3390/fishes7040205</v>
      </c>
      <c r="BG558" t="s">
        <v>74</v>
      </c>
      <c r="BH558" t="s">
        <v>74</v>
      </c>
      <c r="BI558">
        <v>18</v>
      </c>
      <c r="BJ558" t="s">
        <v>1193</v>
      </c>
      <c r="BK558" t="s">
        <v>100</v>
      </c>
      <c r="BL558" t="s">
        <v>1193</v>
      </c>
      <c r="BM558" t="s">
        <v>11201</v>
      </c>
      <c r="BN558" t="s">
        <v>74</v>
      </c>
      <c r="BO558" t="s">
        <v>159</v>
      </c>
      <c r="BP558" t="s">
        <v>74</v>
      </c>
      <c r="BQ558" t="s">
        <v>74</v>
      </c>
      <c r="BR558" t="s">
        <v>103</v>
      </c>
      <c r="BS558" t="s">
        <v>11202</v>
      </c>
      <c r="BT558" t="str">
        <f>HYPERLINK("https%3A%2F%2Fwww.webofscience.com%2Fwos%2Fwoscc%2Ffull-record%2FWOS:000847096200001","View Full Record in Web of Science")</f>
        <v>View Full Record in Web of Science</v>
      </c>
    </row>
    <row r="559" spans="1:72" x14ac:dyDescent="0.15">
      <c r="A559" t="s">
        <v>72</v>
      </c>
      <c r="B559" t="s">
        <v>11203</v>
      </c>
      <c r="C559" t="s">
        <v>74</v>
      </c>
      <c r="D559" t="s">
        <v>74</v>
      </c>
      <c r="E559" t="s">
        <v>74</v>
      </c>
      <c r="F559" t="s">
        <v>11204</v>
      </c>
      <c r="G559" t="s">
        <v>74</v>
      </c>
      <c r="H559" t="s">
        <v>74</v>
      </c>
      <c r="I559" t="s">
        <v>11205</v>
      </c>
      <c r="J559" t="s">
        <v>11206</v>
      </c>
      <c r="K559" t="s">
        <v>74</v>
      </c>
      <c r="L559" t="s">
        <v>74</v>
      </c>
      <c r="M559" t="s">
        <v>78</v>
      </c>
      <c r="N559" t="s">
        <v>79</v>
      </c>
      <c r="O559" t="s">
        <v>74</v>
      </c>
      <c r="P559" t="s">
        <v>74</v>
      </c>
      <c r="Q559" t="s">
        <v>74</v>
      </c>
      <c r="R559" t="s">
        <v>74</v>
      </c>
      <c r="S559" t="s">
        <v>74</v>
      </c>
      <c r="T559" t="s">
        <v>11207</v>
      </c>
      <c r="U559" t="s">
        <v>11208</v>
      </c>
      <c r="V559" t="s">
        <v>11209</v>
      </c>
      <c r="W559" t="s">
        <v>11210</v>
      </c>
      <c r="X559" t="s">
        <v>4473</v>
      </c>
      <c r="Y559" t="s">
        <v>11211</v>
      </c>
      <c r="Z559" t="s">
        <v>4475</v>
      </c>
      <c r="AA559" t="s">
        <v>11212</v>
      </c>
      <c r="AB559" t="s">
        <v>11213</v>
      </c>
      <c r="AC559" t="s">
        <v>11214</v>
      </c>
      <c r="AD559" t="s">
        <v>11215</v>
      </c>
      <c r="AE559" t="s">
        <v>11216</v>
      </c>
      <c r="AF559" t="s">
        <v>74</v>
      </c>
      <c r="AG559">
        <v>44</v>
      </c>
      <c r="AH559">
        <v>7</v>
      </c>
      <c r="AI559">
        <v>8</v>
      </c>
      <c r="AJ559">
        <v>37</v>
      </c>
      <c r="AK559">
        <v>111</v>
      </c>
      <c r="AL559" t="s">
        <v>754</v>
      </c>
      <c r="AM559" t="s">
        <v>755</v>
      </c>
      <c r="AN559" t="s">
        <v>756</v>
      </c>
      <c r="AO559" t="s">
        <v>74</v>
      </c>
      <c r="AP559" t="s">
        <v>11217</v>
      </c>
      <c r="AQ559" t="s">
        <v>74</v>
      </c>
      <c r="AR559" t="s">
        <v>11206</v>
      </c>
      <c r="AS559" t="s">
        <v>11218</v>
      </c>
      <c r="AT559" t="s">
        <v>5386</v>
      </c>
      <c r="AU559">
        <v>2022</v>
      </c>
      <c r="AV559">
        <v>11</v>
      </c>
      <c r="AW559">
        <v>16</v>
      </c>
      <c r="AX559" t="s">
        <v>74</v>
      </c>
      <c r="AY559" t="s">
        <v>74</v>
      </c>
      <c r="AZ559" t="s">
        <v>74</v>
      </c>
      <c r="BA559" t="s">
        <v>74</v>
      </c>
      <c r="BB559" t="s">
        <v>74</v>
      </c>
      <c r="BC559" t="s">
        <v>74</v>
      </c>
      <c r="BD559">
        <v>2517</v>
      </c>
      <c r="BE559" t="s">
        <v>11219</v>
      </c>
      <c r="BF559" t="str">
        <f>HYPERLINK("http://dx.doi.org/10.3390/foods11162517","http://dx.doi.org/10.3390/foods11162517")</f>
        <v>http://dx.doi.org/10.3390/foods11162517</v>
      </c>
      <c r="BG559" t="s">
        <v>74</v>
      </c>
      <c r="BH559" t="s">
        <v>74</v>
      </c>
      <c r="BI559">
        <v>17</v>
      </c>
      <c r="BJ559" t="s">
        <v>4486</v>
      </c>
      <c r="BK559" t="s">
        <v>100</v>
      </c>
      <c r="BL559" t="s">
        <v>4486</v>
      </c>
      <c r="BM559" t="s">
        <v>11220</v>
      </c>
      <c r="BN559">
        <v>36010517</v>
      </c>
      <c r="BO559" t="s">
        <v>132</v>
      </c>
      <c r="BP559" t="s">
        <v>74</v>
      </c>
      <c r="BQ559" t="s">
        <v>74</v>
      </c>
      <c r="BR559" t="s">
        <v>103</v>
      </c>
      <c r="BS559" t="s">
        <v>11221</v>
      </c>
      <c r="BT559" t="str">
        <f>HYPERLINK("https%3A%2F%2Fwww.webofscience.com%2Fwos%2Fwoscc%2Ffull-record%2FWOS:000847039600001","View Full Record in Web of Science")</f>
        <v>View Full Record in Web of Science</v>
      </c>
    </row>
    <row r="560" spans="1:72" x14ac:dyDescent="0.15">
      <c r="A560" t="s">
        <v>72</v>
      </c>
      <c r="B560" t="s">
        <v>11222</v>
      </c>
      <c r="C560" t="s">
        <v>74</v>
      </c>
      <c r="D560" t="s">
        <v>74</v>
      </c>
      <c r="E560" t="s">
        <v>74</v>
      </c>
      <c r="F560" t="s">
        <v>11223</v>
      </c>
      <c r="G560" t="s">
        <v>74</v>
      </c>
      <c r="H560" t="s">
        <v>74</v>
      </c>
      <c r="I560" t="s">
        <v>11224</v>
      </c>
      <c r="J560" t="s">
        <v>1361</v>
      </c>
      <c r="K560" t="s">
        <v>74</v>
      </c>
      <c r="L560" t="s">
        <v>74</v>
      </c>
      <c r="M560" t="s">
        <v>78</v>
      </c>
      <c r="N560" t="s">
        <v>79</v>
      </c>
      <c r="O560" t="s">
        <v>74</v>
      </c>
      <c r="P560" t="s">
        <v>74</v>
      </c>
      <c r="Q560" t="s">
        <v>74</v>
      </c>
      <c r="R560" t="s">
        <v>74</v>
      </c>
      <c r="S560" t="s">
        <v>74</v>
      </c>
      <c r="T560" t="s">
        <v>74</v>
      </c>
      <c r="U560" t="s">
        <v>11225</v>
      </c>
      <c r="V560" t="s">
        <v>11226</v>
      </c>
      <c r="W560" t="s">
        <v>11227</v>
      </c>
      <c r="X560" t="s">
        <v>11228</v>
      </c>
      <c r="Y560" t="s">
        <v>11229</v>
      </c>
      <c r="Z560" t="s">
        <v>11230</v>
      </c>
      <c r="AA560" t="s">
        <v>11231</v>
      </c>
      <c r="AB560" t="s">
        <v>11232</v>
      </c>
      <c r="AC560" t="s">
        <v>11233</v>
      </c>
      <c r="AD560" t="s">
        <v>11234</v>
      </c>
      <c r="AE560" t="s">
        <v>11235</v>
      </c>
      <c r="AF560" t="s">
        <v>74</v>
      </c>
      <c r="AG560">
        <v>101</v>
      </c>
      <c r="AH560">
        <v>0</v>
      </c>
      <c r="AI560">
        <v>0</v>
      </c>
      <c r="AJ560">
        <v>3</v>
      </c>
      <c r="AK560">
        <v>14</v>
      </c>
      <c r="AL560" t="s">
        <v>946</v>
      </c>
      <c r="AM560" t="s">
        <v>207</v>
      </c>
      <c r="AN560" t="s">
        <v>947</v>
      </c>
      <c r="AO560" t="s">
        <v>74</v>
      </c>
      <c r="AP560" t="s">
        <v>1374</v>
      </c>
      <c r="AQ560" t="s">
        <v>74</v>
      </c>
      <c r="AR560" t="s">
        <v>1375</v>
      </c>
      <c r="AS560" t="s">
        <v>1376</v>
      </c>
      <c r="AT560" t="s">
        <v>5386</v>
      </c>
      <c r="AU560">
        <v>2022</v>
      </c>
      <c r="AV560">
        <v>23</v>
      </c>
      <c r="AW560">
        <v>8</v>
      </c>
      <c r="AX560" t="s">
        <v>74</v>
      </c>
      <c r="AY560" t="s">
        <v>74</v>
      </c>
      <c r="AZ560" t="s">
        <v>74</v>
      </c>
      <c r="BA560" t="s">
        <v>74</v>
      </c>
      <c r="BB560" t="s">
        <v>74</v>
      </c>
      <c r="BC560" t="s">
        <v>74</v>
      </c>
      <c r="BD560" t="s">
        <v>11236</v>
      </c>
      <c r="BE560" t="s">
        <v>11237</v>
      </c>
      <c r="BF560" t="str">
        <f>HYPERLINK("http://dx.doi.org/10.1029/2022GC010555","http://dx.doi.org/10.1029/2022GC010555")</f>
        <v>http://dx.doi.org/10.1029/2022GC010555</v>
      </c>
      <c r="BG560" t="s">
        <v>74</v>
      </c>
      <c r="BH560" t="s">
        <v>74</v>
      </c>
      <c r="BI560">
        <v>25</v>
      </c>
      <c r="BJ560" t="s">
        <v>1379</v>
      </c>
      <c r="BK560" t="s">
        <v>100</v>
      </c>
      <c r="BL560" t="s">
        <v>1379</v>
      </c>
      <c r="BM560" t="s">
        <v>11238</v>
      </c>
      <c r="BN560" t="s">
        <v>74</v>
      </c>
      <c r="BO560" t="s">
        <v>266</v>
      </c>
      <c r="BP560" t="s">
        <v>74</v>
      </c>
      <c r="BQ560" t="s">
        <v>74</v>
      </c>
      <c r="BR560" t="s">
        <v>103</v>
      </c>
      <c r="BS560" t="s">
        <v>11239</v>
      </c>
      <c r="BT560" t="str">
        <f>HYPERLINK("https%3A%2F%2Fwww.webofscience.com%2Fwos%2Fwoscc%2Ffull-record%2FWOS:000846925700001","View Full Record in Web of Science")</f>
        <v>View Full Record in Web of Science</v>
      </c>
    </row>
    <row r="561" spans="1:72" x14ac:dyDescent="0.15">
      <c r="A561" t="s">
        <v>72</v>
      </c>
      <c r="B561" t="s">
        <v>11240</v>
      </c>
      <c r="C561" t="s">
        <v>74</v>
      </c>
      <c r="D561" t="s">
        <v>74</v>
      </c>
      <c r="E561" t="s">
        <v>74</v>
      </c>
      <c r="F561" t="s">
        <v>11241</v>
      </c>
      <c r="G561" t="s">
        <v>74</v>
      </c>
      <c r="H561" t="s">
        <v>74</v>
      </c>
      <c r="I561" t="s">
        <v>11242</v>
      </c>
      <c r="J561" t="s">
        <v>741</v>
      </c>
      <c r="K561" t="s">
        <v>74</v>
      </c>
      <c r="L561" t="s">
        <v>74</v>
      </c>
      <c r="M561" t="s">
        <v>78</v>
      </c>
      <c r="N561" t="s">
        <v>79</v>
      </c>
      <c r="O561" t="s">
        <v>74</v>
      </c>
      <c r="P561" t="s">
        <v>74</v>
      </c>
      <c r="Q561" t="s">
        <v>74</v>
      </c>
      <c r="R561" t="s">
        <v>74</v>
      </c>
      <c r="S561" t="s">
        <v>74</v>
      </c>
      <c r="T561" t="s">
        <v>11243</v>
      </c>
      <c r="U561" t="s">
        <v>11244</v>
      </c>
      <c r="V561" t="s">
        <v>11245</v>
      </c>
      <c r="W561" t="s">
        <v>11246</v>
      </c>
      <c r="X561" t="s">
        <v>11247</v>
      </c>
      <c r="Y561" t="s">
        <v>11248</v>
      </c>
      <c r="Z561" t="s">
        <v>11249</v>
      </c>
      <c r="AA561" t="s">
        <v>11250</v>
      </c>
      <c r="AB561" t="s">
        <v>11251</v>
      </c>
      <c r="AC561" t="s">
        <v>11252</v>
      </c>
      <c r="AD561" t="s">
        <v>11253</v>
      </c>
      <c r="AE561" t="s">
        <v>11254</v>
      </c>
      <c r="AF561" t="s">
        <v>74</v>
      </c>
      <c r="AG561">
        <v>85</v>
      </c>
      <c r="AH561">
        <v>0</v>
      </c>
      <c r="AI561">
        <v>0</v>
      </c>
      <c r="AJ561">
        <v>5</v>
      </c>
      <c r="AK561">
        <v>10</v>
      </c>
      <c r="AL561" t="s">
        <v>754</v>
      </c>
      <c r="AM561" t="s">
        <v>755</v>
      </c>
      <c r="AN561" t="s">
        <v>756</v>
      </c>
      <c r="AO561" t="s">
        <v>74</v>
      </c>
      <c r="AP561" t="s">
        <v>757</v>
      </c>
      <c r="AQ561" t="s">
        <v>74</v>
      </c>
      <c r="AR561" t="s">
        <v>741</v>
      </c>
      <c r="AS561" t="s">
        <v>758</v>
      </c>
      <c r="AT561" t="s">
        <v>5386</v>
      </c>
      <c r="AU561">
        <v>2022</v>
      </c>
      <c r="AV561">
        <v>11</v>
      </c>
      <c r="AW561">
        <v>8</v>
      </c>
      <c r="AX561" t="s">
        <v>74</v>
      </c>
      <c r="AY561" t="s">
        <v>74</v>
      </c>
      <c r="AZ561" t="s">
        <v>74</v>
      </c>
      <c r="BA561" t="s">
        <v>74</v>
      </c>
      <c r="BB561" t="s">
        <v>74</v>
      </c>
      <c r="BC561" t="s">
        <v>74</v>
      </c>
      <c r="BD561">
        <v>1118</v>
      </c>
      <c r="BE561" t="s">
        <v>11255</v>
      </c>
      <c r="BF561" t="str">
        <f>HYPERLINK("http://dx.doi.org/10.3390/biology11081118","http://dx.doi.org/10.3390/biology11081118")</f>
        <v>http://dx.doi.org/10.3390/biology11081118</v>
      </c>
      <c r="BG561" t="s">
        <v>74</v>
      </c>
      <c r="BH561" t="s">
        <v>74</v>
      </c>
      <c r="BI561">
        <v>28</v>
      </c>
      <c r="BJ561" t="s">
        <v>760</v>
      </c>
      <c r="BK561" t="s">
        <v>100</v>
      </c>
      <c r="BL561" t="s">
        <v>761</v>
      </c>
      <c r="BM561" t="s">
        <v>11256</v>
      </c>
      <c r="BN561">
        <v>35892974</v>
      </c>
      <c r="BO561" t="s">
        <v>132</v>
      </c>
      <c r="BP561" t="s">
        <v>74</v>
      </c>
      <c r="BQ561" t="s">
        <v>74</v>
      </c>
      <c r="BR561" t="s">
        <v>103</v>
      </c>
      <c r="BS561" t="s">
        <v>11257</v>
      </c>
      <c r="BT561" t="str">
        <f>HYPERLINK("https%3A%2F%2Fwww.webofscience.com%2Fwos%2Fwoscc%2Ffull-record%2FWOS:000847114100001","View Full Record in Web of Science")</f>
        <v>View Full Record in Web of Science</v>
      </c>
    </row>
    <row r="562" spans="1:72" x14ac:dyDescent="0.15">
      <c r="A562" t="s">
        <v>72</v>
      </c>
      <c r="B562" t="s">
        <v>11258</v>
      </c>
      <c r="C562" t="s">
        <v>74</v>
      </c>
      <c r="D562" t="s">
        <v>74</v>
      </c>
      <c r="E562" t="s">
        <v>74</v>
      </c>
      <c r="F562" t="s">
        <v>11259</v>
      </c>
      <c r="G562" t="s">
        <v>74</v>
      </c>
      <c r="H562" t="s">
        <v>74</v>
      </c>
      <c r="I562" t="s">
        <v>11260</v>
      </c>
      <c r="J562" t="s">
        <v>1153</v>
      </c>
      <c r="K562" t="s">
        <v>74</v>
      </c>
      <c r="L562" t="s">
        <v>74</v>
      </c>
      <c r="M562" t="s">
        <v>78</v>
      </c>
      <c r="N562" t="s">
        <v>79</v>
      </c>
      <c r="O562" t="s">
        <v>74</v>
      </c>
      <c r="P562" t="s">
        <v>74</v>
      </c>
      <c r="Q562" t="s">
        <v>74</v>
      </c>
      <c r="R562" t="s">
        <v>74</v>
      </c>
      <c r="S562" t="s">
        <v>74</v>
      </c>
      <c r="T562" t="s">
        <v>11261</v>
      </c>
      <c r="U562" t="s">
        <v>11262</v>
      </c>
      <c r="V562" t="s">
        <v>11263</v>
      </c>
      <c r="W562" t="s">
        <v>11264</v>
      </c>
      <c r="X562" t="s">
        <v>11265</v>
      </c>
      <c r="Y562" t="s">
        <v>11266</v>
      </c>
      <c r="Z562" t="s">
        <v>11267</v>
      </c>
      <c r="AA562" t="s">
        <v>11268</v>
      </c>
      <c r="AB562" t="s">
        <v>11269</v>
      </c>
      <c r="AC562" t="s">
        <v>11270</v>
      </c>
      <c r="AD562" t="s">
        <v>11271</v>
      </c>
      <c r="AE562" t="s">
        <v>11272</v>
      </c>
      <c r="AF562" t="s">
        <v>74</v>
      </c>
      <c r="AG562">
        <v>74</v>
      </c>
      <c r="AH562">
        <v>2</v>
      </c>
      <c r="AI562">
        <v>2</v>
      </c>
      <c r="AJ562">
        <v>0</v>
      </c>
      <c r="AK562">
        <v>1</v>
      </c>
      <c r="AL562" t="s">
        <v>754</v>
      </c>
      <c r="AM562" t="s">
        <v>755</v>
      </c>
      <c r="AN562" t="s">
        <v>756</v>
      </c>
      <c r="AO562" t="s">
        <v>74</v>
      </c>
      <c r="AP562" t="s">
        <v>1166</v>
      </c>
      <c r="AQ562" t="s">
        <v>74</v>
      </c>
      <c r="AR562" t="s">
        <v>1153</v>
      </c>
      <c r="AS562" t="s">
        <v>1167</v>
      </c>
      <c r="AT562" t="s">
        <v>5386</v>
      </c>
      <c r="AU562">
        <v>2022</v>
      </c>
      <c r="AV562">
        <v>14</v>
      </c>
      <c r="AW562">
        <v>8</v>
      </c>
      <c r="AX562" t="s">
        <v>74</v>
      </c>
      <c r="AY562" t="s">
        <v>74</v>
      </c>
      <c r="AZ562" t="s">
        <v>74</v>
      </c>
      <c r="BA562" t="s">
        <v>74</v>
      </c>
      <c r="BB562" t="s">
        <v>74</v>
      </c>
      <c r="BC562" t="s">
        <v>74</v>
      </c>
      <c r="BD562">
        <v>604</v>
      </c>
      <c r="BE562" t="s">
        <v>11273</v>
      </c>
      <c r="BF562" t="str">
        <f>HYPERLINK("http://dx.doi.org/10.3390/d14080604","http://dx.doi.org/10.3390/d14080604")</f>
        <v>http://dx.doi.org/10.3390/d14080604</v>
      </c>
      <c r="BG562" t="s">
        <v>74</v>
      </c>
      <c r="BH562" t="s">
        <v>74</v>
      </c>
      <c r="BI562">
        <v>18</v>
      </c>
      <c r="BJ562" t="s">
        <v>1169</v>
      </c>
      <c r="BK562" t="s">
        <v>100</v>
      </c>
      <c r="BL562" t="s">
        <v>1170</v>
      </c>
      <c r="BM562" t="s">
        <v>11274</v>
      </c>
      <c r="BN562" t="s">
        <v>74</v>
      </c>
      <c r="BO562" t="s">
        <v>266</v>
      </c>
      <c r="BP562" t="s">
        <v>74</v>
      </c>
      <c r="BQ562" t="s">
        <v>74</v>
      </c>
      <c r="BR562" t="s">
        <v>103</v>
      </c>
      <c r="BS562" t="s">
        <v>11275</v>
      </c>
      <c r="BT562" t="str">
        <f>HYPERLINK("https%3A%2F%2Fwww.webofscience.com%2Fwos%2Fwoscc%2Ffull-record%2FWOS:000845985300001","View Full Record in Web of Science")</f>
        <v>View Full Record in Web of Science</v>
      </c>
    </row>
    <row r="563" spans="1:72" x14ac:dyDescent="0.15">
      <c r="A563" t="s">
        <v>72</v>
      </c>
      <c r="B563" t="s">
        <v>11276</v>
      </c>
      <c r="C563" t="s">
        <v>74</v>
      </c>
      <c r="D563" t="s">
        <v>74</v>
      </c>
      <c r="E563" t="s">
        <v>74</v>
      </c>
      <c r="F563" t="s">
        <v>11277</v>
      </c>
      <c r="G563" t="s">
        <v>74</v>
      </c>
      <c r="H563" t="s">
        <v>74</v>
      </c>
      <c r="I563" t="s">
        <v>11278</v>
      </c>
      <c r="J563" t="s">
        <v>11279</v>
      </c>
      <c r="K563" t="s">
        <v>74</v>
      </c>
      <c r="L563" t="s">
        <v>74</v>
      </c>
      <c r="M563" t="s">
        <v>78</v>
      </c>
      <c r="N563" t="s">
        <v>79</v>
      </c>
      <c r="O563" t="s">
        <v>74</v>
      </c>
      <c r="P563" t="s">
        <v>74</v>
      </c>
      <c r="Q563" t="s">
        <v>74</v>
      </c>
      <c r="R563" t="s">
        <v>74</v>
      </c>
      <c r="S563" t="s">
        <v>74</v>
      </c>
      <c r="T563" t="s">
        <v>11280</v>
      </c>
      <c r="U563" t="s">
        <v>11281</v>
      </c>
      <c r="V563" t="s">
        <v>11282</v>
      </c>
      <c r="W563" t="s">
        <v>11283</v>
      </c>
      <c r="X563" t="s">
        <v>11284</v>
      </c>
      <c r="Y563" t="s">
        <v>11285</v>
      </c>
      <c r="Z563" t="s">
        <v>11286</v>
      </c>
      <c r="AA563" t="s">
        <v>11287</v>
      </c>
      <c r="AB563" t="s">
        <v>11288</v>
      </c>
      <c r="AC563" t="s">
        <v>11289</v>
      </c>
      <c r="AD563" t="s">
        <v>11290</v>
      </c>
      <c r="AE563" t="s">
        <v>11291</v>
      </c>
      <c r="AF563" t="s">
        <v>74</v>
      </c>
      <c r="AG563">
        <v>56</v>
      </c>
      <c r="AH563">
        <v>3</v>
      </c>
      <c r="AI563">
        <v>3</v>
      </c>
      <c r="AJ563">
        <v>1</v>
      </c>
      <c r="AK563">
        <v>4</v>
      </c>
      <c r="AL563" t="s">
        <v>754</v>
      </c>
      <c r="AM563" t="s">
        <v>755</v>
      </c>
      <c r="AN563" t="s">
        <v>756</v>
      </c>
      <c r="AO563" t="s">
        <v>74</v>
      </c>
      <c r="AP563" t="s">
        <v>11292</v>
      </c>
      <c r="AQ563" t="s">
        <v>74</v>
      </c>
      <c r="AR563" t="s">
        <v>11279</v>
      </c>
      <c r="AS563" t="s">
        <v>11293</v>
      </c>
      <c r="AT563" t="s">
        <v>5386</v>
      </c>
      <c r="AU563">
        <v>2022</v>
      </c>
      <c r="AV563">
        <v>8</v>
      </c>
      <c r="AW563">
        <v>8</v>
      </c>
      <c r="AX563" t="s">
        <v>74</v>
      </c>
      <c r="AY563" t="s">
        <v>74</v>
      </c>
      <c r="AZ563" t="s">
        <v>74</v>
      </c>
      <c r="BA563" t="s">
        <v>74</v>
      </c>
      <c r="BB563" t="s">
        <v>74</v>
      </c>
      <c r="BC563" t="s">
        <v>74</v>
      </c>
      <c r="BD563">
        <v>398</v>
      </c>
      <c r="BE563" t="s">
        <v>11294</v>
      </c>
      <c r="BF563" t="str">
        <f>HYPERLINK("http://dx.doi.org/10.3390/fermentation8080398","http://dx.doi.org/10.3390/fermentation8080398")</f>
        <v>http://dx.doi.org/10.3390/fermentation8080398</v>
      </c>
      <c r="BG563" t="s">
        <v>74</v>
      </c>
      <c r="BH563" t="s">
        <v>74</v>
      </c>
      <c r="BI563">
        <v>16</v>
      </c>
      <c r="BJ563" t="s">
        <v>11295</v>
      </c>
      <c r="BK563" t="s">
        <v>100</v>
      </c>
      <c r="BL563" t="s">
        <v>11295</v>
      </c>
      <c r="BM563" t="s">
        <v>11296</v>
      </c>
      <c r="BN563" t="s">
        <v>74</v>
      </c>
      <c r="BO563" t="s">
        <v>132</v>
      </c>
      <c r="BP563" t="s">
        <v>74</v>
      </c>
      <c r="BQ563" t="s">
        <v>74</v>
      </c>
      <c r="BR563" t="s">
        <v>103</v>
      </c>
      <c r="BS563" t="s">
        <v>11297</v>
      </c>
      <c r="BT563" t="str">
        <f>HYPERLINK("https%3A%2F%2Fwww.webofscience.com%2Fwos%2Fwoscc%2Ffull-record%2FWOS:000845928200001","View Full Record in Web of Science")</f>
        <v>View Full Record in Web of Science</v>
      </c>
    </row>
    <row r="564" spans="1:72" x14ac:dyDescent="0.15">
      <c r="A564" t="s">
        <v>72</v>
      </c>
      <c r="B564" t="s">
        <v>11298</v>
      </c>
      <c r="C564" t="s">
        <v>74</v>
      </c>
      <c r="D564" t="s">
        <v>74</v>
      </c>
      <c r="E564" t="s">
        <v>74</v>
      </c>
      <c r="F564" t="s">
        <v>11299</v>
      </c>
      <c r="G564" t="s">
        <v>74</v>
      </c>
      <c r="H564" t="s">
        <v>74</v>
      </c>
      <c r="I564" t="s">
        <v>11300</v>
      </c>
      <c r="J564" t="s">
        <v>1176</v>
      </c>
      <c r="K564" t="s">
        <v>74</v>
      </c>
      <c r="L564" t="s">
        <v>74</v>
      </c>
      <c r="M564" t="s">
        <v>78</v>
      </c>
      <c r="N564" t="s">
        <v>79</v>
      </c>
      <c r="O564" t="s">
        <v>74</v>
      </c>
      <c r="P564" t="s">
        <v>74</v>
      </c>
      <c r="Q564" t="s">
        <v>74</v>
      </c>
      <c r="R564" t="s">
        <v>74</v>
      </c>
      <c r="S564" t="s">
        <v>74</v>
      </c>
      <c r="T564" t="s">
        <v>11301</v>
      </c>
      <c r="U564" t="s">
        <v>11302</v>
      </c>
      <c r="V564" t="s">
        <v>11303</v>
      </c>
      <c r="W564" t="s">
        <v>11304</v>
      </c>
      <c r="X564" t="s">
        <v>11305</v>
      </c>
      <c r="Y564" t="s">
        <v>11306</v>
      </c>
      <c r="Z564" t="s">
        <v>11307</v>
      </c>
      <c r="AA564" t="s">
        <v>11308</v>
      </c>
      <c r="AB564" t="s">
        <v>11309</v>
      </c>
      <c r="AC564" t="s">
        <v>11310</v>
      </c>
      <c r="AD564" t="s">
        <v>11311</v>
      </c>
      <c r="AE564" t="s">
        <v>11312</v>
      </c>
      <c r="AF564" t="s">
        <v>74</v>
      </c>
      <c r="AG564">
        <v>133</v>
      </c>
      <c r="AH564">
        <v>2</v>
      </c>
      <c r="AI564">
        <v>2</v>
      </c>
      <c r="AJ564">
        <v>0</v>
      </c>
      <c r="AK564">
        <v>5</v>
      </c>
      <c r="AL564" t="s">
        <v>754</v>
      </c>
      <c r="AM564" t="s">
        <v>755</v>
      </c>
      <c r="AN564" t="s">
        <v>756</v>
      </c>
      <c r="AO564" t="s">
        <v>74</v>
      </c>
      <c r="AP564" t="s">
        <v>1189</v>
      </c>
      <c r="AQ564" t="s">
        <v>74</v>
      </c>
      <c r="AR564" t="s">
        <v>1190</v>
      </c>
      <c r="AS564" t="s">
        <v>1191</v>
      </c>
      <c r="AT564" t="s">
        <v>5386</v>
      </c>
      <c r="AU564">
        <v>2022</v>
      </c>
      <c r="AV564">
        <v>7</v>
      </c>
      <c r="AW564">
        <v>4</v>
      </c>
      <c r="AX564" t="s">
        <v>74</v>
      </c>
      <c r="AY564" t="s">
        <v>74</v>
      </c>
      <c r="AZ564" t="s">
        <v>74</v>
      </c>
      <c r="BA564" t="s">
        <v>74</v>
      </c>
      <c r="BB564" t="s">
        <v>74</v>
      </c>
      <c r="BC564" t="s">
        <v>74</v>
      </c>
      <c r="BD564">
        <v>171</v>
      </c>
      <c r="BE564" t="s">
        <v>11313</v>
      </c>
      <c r="BF564" t="str">
        <f>HYPERLINK("http://dx.doi.org/10.3390/fishes7040171","http://dx.doi.org/10.3390/fishes7040171")</f>
        <v>http://dx.doi.org/10.3390/fishes7040171</v>
      </c>
      <c r="BG564" t="s">
        <v>74</v>
      </c>
      <c r="BH564" t="s">
        <v>74</v>
      </c>
      <c r="BI564">
        <v>20</v>
      </c>
      <c r="BJ564" t="s">
        <v>1193</v>
      </c>
      <c r="BK564" t="s">
        <v>100</v>
      </c>
      <c r="BL564" t="s">
        <v>1193</v>
      </c>
      <c r="BM564" t="s">
        <v>11314</v>
      </c>
      <c r="BN564" t="s">
        <v>74</v>
      </c>
      <c r="BO564" t="s">
        <v>159</v>
      </c>
      <c r="BP564" t="s">
        <v>74</v>
      </c>
      <c r="BQ564" t="s">
        <v>74</v>
      </c>
      <c r="BR564" t="s">
        <v>103</v>
      </c>
      <c r="BS564" t="s">
        <v>11315</v>
      </c>
      <c r="BT564" t="str">
        <f>HYPERLINK("https%3A%2F%2Fwww.webofscience.com%2Fwos%2Fwoscc%2Ffull-record%2FWOS:000846137500001","View Full Record in Web of Science")</f>
        <v>View Full Record in Web of Science</v>
      </c>
    </row>
    <row r="565" spans="1:72" x14ac:dyDescent="0.15">
      <c r="A565" t="s">
        <v>72</v>
      </c>
      <c r="B565" t="s">
        <v>11316</v>
      </c>
      <c r="C565" t="s">
        <v>74</v>
      </c>
      <c r="D565" t="s">
        <v>74</v>
      </c>
      <c r="E565" t="s">
        <v>74</v>
      </c>
      <c r="F565" t="s">
        <v>11317</v>
      </c>
      <c r="G565" t="s">
        <v>74</v>
      </c>
      <c r="H565" t="s">
        <v>74</v>
      </c>
      <c r="I565" t="s">
        <v>11318</v>
      </c>
      <c r="J565" t="s">
        <v>11319</v>
      </c>
      <c r="K565" t="s">
        <v>74</v>
      </c>
      <c r="L565" t="s">
        <v>74</v>
      </c>
      <c r="M565" t="s">
        <v>78</v>
      </c>
      <c r="N565" t="s">
        <v>79</v>
      </c>
      <c r="O565" t="s">
        <v>74</v>
      </c>
      <c r="P565" t="s">
        <v>74</v>
      </c>
      <c r="Q565" t="s">
        <v>74</v>
      </c>
      <c r="R565" t="s">
        <v>74</v>
      </c>
      <c r="S565" t="s">
        <v>74</v>
      </c>
      <c r="T565" t="s">
        <v>11320</v>
      </c>
      <c r="U565" t="s">
        <v>11321</v>
      </c>
      <c r="V565" t="s">
        <v>11322</v>
      </c>
      <c r="W565" t="s">
        <v>11323</v>
      </c>
      <c r="X565" t="s">
        <v>11324</v>
      </c>
      <c r="Y565" t="s">
        <v>11325</v>
      </c>
      <c r="Z565" t="s">
        <v>11326</v>
      </c>
      <c r="AA565" t="s">
        <v>74</v>
      </c>
      <c r="AB565" t="s">
        <v>74</v>
      </c>
      <c r="AC565" t="s">
        <v>11327</v>
      </c>
      <c r="AD565" t="s">
        <v>11328</v>
      </c>
      <c r="AE565" t="s">
        <v>11329</v>
      </c>
      <c r="AF565" t="s">
        <v>74</v>
      </c>
      <c r="AG565">
        <v>128</v>
      </c>
      <c r="AH565">
        <v>12</v>
      </c>
      <c r="AI565">
        <v>12</v>
      </c>
      <c r="AJ565">
        <v>3</v>
      </c>
      <c r="AK565">
        <v>20</v>
      </c>
      <c r="AL565" t="s">
        <v>754</v>
      </c>
      <c r="AM565" t="s">
        <v>755</v>
      </c>
      <c r="AN565" t="s">
        <v>756</v>
      </c>
      <c r="AO565" t="s">
        <v>74</v>
      </c>
      <c r="AP565" t="s">
        <v>11330</v>
      </c>
      <c r="AQ565" t="s">
        <v>74</v>
      </c>
      <c r="AR565" t="s">
        <v>11331</v>
      </c>
      <c r="AS565" t="s">
        <v>11332</v>
      </c>
      <c r="AT565" t="s">
        <v>5386</v>
      </c>
      <c r="AU565">
        <v>2022</v>
      </c>
      <c r="AV565">
        <v>13</v>
      </c>
      <c r="AW565">
        <v>8</v>
      </c>
      <c r="AX565" t="s">
        <v>74</v>
      </c>
      <c r="AY565" t="s">
        <v>74</v>
      </c>
      <c r="AZ565" t="s">
        <v>74</v>
      </c>
      <c r="BA565" t="s">
        <v>74</v>
      </c>
      <c r="BB565" t="s">
        <v>74</v>
      </c>
      <c r="BC565" t="s">
        <v>74</v>
      </c>
      <c r="BD565">
        <v>1354</v>
      </c>
      <c r="BE565" t="s">
        <v>11333</v>
      </c>
      <c r="BF565" t="str">
        <f>HYPERLINK("http://dx.doi.org/10.3390/genes13081354","http://dx.doi.org/10.3390/genes13081354")</f>
        <v>http://dx.doi.org/10.3390/genes13081354</v>
      </c>
      <c r="BG565" t="s">
        <v>74</v>
      </c>
      <c r="BH565" t="s">
        <v>74</v>
      </c>
      <c r="BI565">
        <v>26</v>
      </c>
      <c r="BJ565" t="s">
        <v>11334</v>
      </c>
      <c r="BK565" t="s">
        <v>100</v>
      </c>
      <c r="BL565" t="s">
        <v>11334</v>
      </c>
      <c r="BM565" t="s">
        <v>11335</v>
      </c>
      <c r="BN565">
        <v>36011267</v>
      </c>
      <c r="BO565" t="s">
        <v>132</v>
      </c>
      <c r="BP565" t="s">
        <v>74</v>
      </c>
      <c r="BQ565" t="s">
        <v>74</v>
      </c>
      <c r="BR565" t="s">
        <v>103</v>
      </c>
      <c r="BS565" t="s">
        <v>11336</v>
      </c>
      <c r="BT565" t="str">
        <f>HYPERLINK("https%3A%2F%2Fwww.webofscience.com%2Fwos%2Fwoscc%2Ffull-record%2FWOS:000845995900001","View Full Record in Web of Science")</f>
        <v>View Full Record in Web of Science</v>
      </c>
    </row>
    <row r="566" spans="1:72" x14ac:dyDescent="0.15">
      <c r="A566" t="s">
        <v>72</v>
      </c>
      <c r="B566" t="s">
        <v>11337</v>
      </c>
      <c r="C566" t="s">
        <v>74</v>
      </c>
      <c r="D566" t="s">
        <v>74</v>
      </c>
      <c r="E566" t="s">
        <v>74</v>
      </c>
      <c r="F566" t="s">
        <v>11338</v>
      </c>
      <c r="G566" t="s">
        <v>74</v>
      </c>
      <c r="H566" t="s">
        <v>74</v>
      </c>
      <c r="I566" t="s">
        <v>11339</v>
      </c>
      <c r="J566" t="s">
        <v>6512</v>
      </c>
      <c r="K566" t="s">
        <v>74</v>
      </c>
      <c r="L566" t="s">
        <v>74</v>
      </c>
      <c r="M566" t="s">
        <v>78</v>
      </c>
      <c r="N566" t="s">
        <v>79</v>
      </c>
      <c r="O566" t="s">
        <v>74</v>
      </c>
      <c r="P566" t="s">
        <v>74</v>
      </c>
      <c r="Q566" t="s">
        <v>74</v>
      </c>
      <c r="R566" t="s">
        <v>74</v>
      </c>
      <c r="S566" t="s">
        <v>74</v>
      </c>
      <c r="T566" t="s">
        <v>11340</v>
      </c>
      <c r="U566" t="s">
        <v>11341</v>
      </c>
      <c r="V566" t="s">
        <v>11342</v>
      </c>
      <c r="W566" t="s">
        <v>11343</v>
      </c>
      <c r="X566" t="s">
        <v>11344</v>
      </c>
      <c r="Y566" t="s">
        <v>11345</v>
      </c>
      <c r="Z566" t="s">
        <v>11346</v>
      </c>
      <c r="AA566" t="s">
        <v>11347</v>
      </c>
      <c r="AB566" t="s">
        <v>11348</v>
      </c>
      <c r="AC566" t="s">
        <v>11349</v>
      </c>
      <c r="AD566" t="s">
        <v>11350</v>
      </c>
      <c r="AE566" t="s">
        <v>11351</v>
      </c>
      <c r="AF566" t="s">
        <v>74</v>
      </c>
      <c r="AG566">
        <v>83</v>
      </c>
      <c r="AH566">
        <v>1</v>
      </c>
      <c r="AI566">
        <v>1</v>
      </c>
      <c r="AJ566">
        <v>2</v>
      </c>
      <c r="AK566">
        <v>7</v>
      </c>
      <c r="AL566" t="s">
        <v>754</v>
      </c>
      <c r="AM566" t="s">
        <v>755</v>
      </c>
      <c r="AN566" t="s">
        <v>756</v>
      </c>
      <c r="AO566" t="s">
        <v>74</v>
      </c>
      <c r="AP566" t="s">
        <v>6524</v>
      </c>
      <c r="AQ566" t="s">
        <v>74</v>
      </c>
      <c r="AR566" t="s">
        <v>6512</v>
      </c>
      <c r="AS566" t="s">
        <v>6525</v>
      </c>
      <c r="AT566" t="s">
        <v>5386</v>
      </c>
      <c r="AU566">
        <v>2022</v>
      </c>
      <c r="AV566">
        <v>12</v>
      </c>
      <c r="AW566">
        <v>8</v>
      </c>
      <c r="AX566" t="s">
        <v>74</v>
      </c>
      <c r="AY566" t="s">
        <v>74</v>
      </c>
      <c r="AZ566" t="s">
        <v>74</v>
      </c>
      <c r="BA566" t="s">
        <v>74</v>
      </c>
      <c r="BB566" t="s">
        <v>74</v>
      </c>
      <c r="BC566" t="s">
        <v>74</v>
      </c>
      <c r="BD566">
        <v>299</v>
      </c>
      <c r="BE566" t="s">
        <v>11352</v>
      </c>
      <c r="BF566" t="str">
        <f>HYPERLINK("http://dx.doi.org/10.3390/geosciences12080299","http://dx.doi.org/10.3390/geosciences12080299")</f>
        <v>http://dx.doi.org/10.3390/geosciences12080299</v>
      </c>
      <c r="BG566" t="s">
        <v>74</v>
      </c>
      <c r="BH566" t="s">
        <v>74</v>
      </c>
      <c r="BI566">
        <v>19</v>
      </c>
      <c r="BJ566" t="s">
        <v>129</v>
      </c>
      <c r="BK566" t="s">
        <v>215</v>
      </c>
      <c r="BL566" t="s">
        <v>130</v>
      </c>
      <c r="BM566" t="s">
        <v>11353</v>
      </c>
      <c r="BN566" t="s">
        <v>74</v>
      </c>
      <c r="BO566" t="s">
        <v>266</v>
      </c>
      <c r="BP566" t="s">
        <v>74</v>
      </c>
      <c r="BQ566" t="s">
        <v>74</v>
      </c>
      <c r="BR566" t="s">
        <v>103</v>
      </c>
      <c r="BS566" t="s">
        <v>11354</v>
      </c>
      <c r="BT566" t="str">
        <f>HYPERLINK("https%3A%2F%2Fwww.webofscience.com%2Fwos%2Fwoscc%2Ffull-record%2FWOS:000845993700001","View Full Record in Web of Science")</f>
        <v>View Full Record in Web of Science</v>
      </c>
    </row>
    <row r="567" spans="1:72" x14ac:dyDescent="0.15">
      <c r="A567" t="s">
        <v>72</v>
      </c>
      <c r="B567" t="s">
        <v>11355</v>
      </c>
      <c r="C567" t="s">
        <v>74</v>
      </c>
      <c r="D567" t="s">
        <v>74</v>
      </c>
      <c r="E567" t="s">
        <v>74</v>
      </c>
      <c r="F567" t="s">
        <v>11356</v>
      </c>
      <c r="G567" t="s">
        <v>74</v>
      </c>
      <c r="H567" t="s">
        <v>74</v>
      </c>
      <c r="I567" t="s">
        <v>11357</v>
      </c>
      <c r="J567" t="s">
        <v>6609</v>
      </c>
      <c r="K567" t="s">
        <v>74</v>
      </c>
      <c r="L567" t="s">
        <v>74</v>
      </c>
      <c r="M567" t="s">
        <v>78</v>
      </c>
      <c r="N567" t="s">
        <v>79</v>
      </c>
      <c r="O567" t="s">
        <v>74</v>
      </c>
      <c r="P567" t="s">
        <v>74</v>
      </c>
      <c r="Q567" t="s">
        <v>74</v>
      </c>
      <c r="R567" t="s">
        <v>74</v>
      </c>
      <c r="S567" t="s">
        <v>74</v>
      </c>
      <c r="T567" t="s">
        <v>11358</v>
      </c>
      <c r="U567" t="s">
        <v>11359</v>
      </c>
      <c r="V567" t="s">
        <v>11360</v>
      </c>
      <c r="W567" t="s">
        <v>11361</v>
      </c>
      <c r="X567" t="s">
        <v>11362</v>
      </c>
      <c r="Y567" t="s">
        <v>11363</v>
      </c>
      <c r="Z567" t="s">
        <v>11364</v>
      </c>
      <c r="AA567" t="s">
        <v>11365</v>
      </c>
      <c r="AB567" t="s">
        <v>11366</v>
      </c>
      <c r="AC567" t="s">
        <v>11367</v>
      </c>
      <c r="AD567" t="s">
        <v>11368</v>
      </c>
      <c r="AE567" t="s">
        <v>11369</v>
      </c>
      <c r="AF567" t="s">
        <v>74</v>
      </c>
      <c r="AG567">
        <v>60</v>
      </c>
      <c r="AH567">
        <v>4</v>
      </c>
      <c r="AI567">
        <v>4</v>
      </c>
      <c r="AJ567">
        <v>3</v>
      </c>
      <c r="AK567">
        <v>12</v>
      </c>
      <c r="AL567" t="s">
        <v>754</v>
      </c>
      <c r="AM567" t="s">
        <v>755</v>
      </c>
      <c r="AN567" t="s">
        <v>756</v>
      </c>
      <c r="AO567" t="s">
        <v>74</v>
      </c>
      <c r="AP567" t="s">
        <v>6622</v>
      </c>
      <c r="AQ567" t="s">
        <v>74</v>
      </c>
      <c r="AR567" t="s">
        <v>6623</v>
      </c>
      <c r="AS567" t="s">
        <v>6624</v>
      </c>
      <c r="AT567" t="s">
        <v>5386</v>
      </c>
      <c r="AU567">
        <v>2022</v>
      </c>
      <c r="AV567">
        <v>8</v>
      </c>
      <c r="AW567">
        <v>8</v>
      </c>
      <c r="AX567" t="s">
        <v>74</v>
      </c>
      <c r="AY567" t="s">
        <v>74</v>
      </c>
      <c r="AZ567" t="s">
        <v>74</v>
      </c>
      <c r="BA567" t="s">
        <v>74</v>
      </c>
      <c r="BB567" t="s">
        <v>74</v>
      </c>
      <c r="BC567" t="s">
        <v>74</v>
      </c>
      <c r="BD567">
        <v>817</v>
      </c>
      <c r="BE567" t="s">
        <v>11370</v>
      </c>
      <c r="BF567" t="str">
        <f>HYPERLINK("http://dx.doi.org/10.3390/jof8080817","http://dx.doi.org/10.3390/jof8080817")</f>
        <v>http://dx.doi.org/10.3390/jof8080817</v>
      </c>
      <c r="BG567" t="s">
        <v>74</v>
      </c>
      <c r="BH567" t="s">
        <v>74</v>
      </c>
      <c r="BI567">
        <v>17</v>
      </c>
      <c r="BJ567" t="s">
        <v>6626</v>
      </c>
      <c r="BK567" t="s">
        <v>100</v>
      </c>
      <c r="BL567" t="s">
        <v>6626</v>
      </c>
      <c r="BM567" t="s">
        <v>11371</v>
      </c>
      <c r="BN567">
        <v>36012805</v>
      </c>
      <c r="BO567" t="s">
        <v>2844</v>
      </c>
      <c r="BP567" t="s">
        <v>74</v>
      </c>
      <c r="BQ567" t="s">
        <v>74</v>
      </c>
      <c r="BR567" t="s">
        <v>103</v>
      </c>
      <c r="BS567" t="s">
        <v>11372</v>
      </c>
      <c r="BT567" t="str">
        <f>HYPERLINK("https%3A%2F%2Fwww.webofscience.com%2Fwos%2Fwoscc%2Ffull-record%2FWOS:000845797600001","View Full Record in Web of Science")</f>
        <v>View Full Record in Web of Science</v>
      </c>
    </row>
    <row r="568" spans="1:72" x14ac:dyDescent="0.15">
      <c r="A568" t="s">
        <v>72</v>
      </c>
      <c r="B568" t="s">
        <v>11373</v>
      </c>
      <c r="C568" t="s">
        <v>74</v>
      </c>
      <c r="D568" t="s">
        <v>74</v>
      </c>
      <c r="E568" t="s">
        <v>74</v>
      </c>
      <c r="F568" t="s">
        <v>11374</v>
      </c>
      <c r="G568" t="s">
        <v>74</v>
      </c>
      <c r="H568" t="s">
        <v>74</v>
      </c>
      <c r="I568" t="s">
        <v>11375</v>
      </c>
      <c r="J568" t="s">
        <v>1112</v>
      </c>
      <c r="K568" t="s">
        <v>74</v>
      </c>
      <c r="L568" t="s">
        <v>74</v>
      </c>
      <c r="M568" t="s">
        <v>78</v>
      </c>
      <c r="N568" t="s">
        <v>79</v>
      </c>
      <c r="O568" t="s">
        <v>74</v>
      </c>
      <c r="P568" t="s">
        <v>74</v>
      </c>
      <c r="Q568" t="s">
        <v>74</v>
      </c>
      <c r="R568" t="s">
        <v>74</v>
      </c>
      <c r="S568" t="s">
        <v>74</v>
      </c>
      <c r="T568" t="s">
        <v>11376</v>
      </c>
      <c r="U568" t="s">
        <v>11377</v>
      </c>
      <c r="V568" t="s">
        <v>11378</v>
      </c>
      <c r="W568" t="s">
        <v>11379</v>
      </c>
      <c r="X568" t="s">
        <v>11380</v>
      </c>
      <c r="Y568" t="s">
        <v>11381</v>
      </c>
      <c r="Z568" t="s">
        <v>11382</v>
      </c>
      <c r="AA568" t="s">
        <v>11383</v>
      </c>
      <c r="AB568" t="s">
        <v>11384</v>
      </c>
      <c r="AC568" t="s">
        <v>11385</v>
      </c>
      <c r="AD568" t="s">
        <v>1693</v>
      </c>
      <c r="AE568" t="s">
        <v>11386</v>
      </c>
      <c r="AF568" t="s">
        <v>74</v>
      </c>
      <c r="AG568">
        <v>41</v>
      </c>
      <c r="AH568">
        <v>2</v>
      </c>
      <c r="AI568">
        <v>2</v>
      </c>
      <c r="AJ568">
        <v>6</v>
      </c>
      <c r="AK568">
        <v>37</v>
      </c>
      <c r="AL568" t="s">
        <v>754</v>
      </c>
      <c r="AM568" t="s">
        <v>755</v>
      </c>
      <c r="AN568" t="s">
        <v>756</v>
      </c>
      <c r="AO568" t="s">
        <v>74</v>
      </c>
      <c r="AP568" t="s">
        <v>1125</v>
      </c>
      <c r="AQ568" t="s">
        <v>74</v>
      </c>
      <c r="AR568" t="s">
        <v>1126</v>
      </c>
      <c r="AS568" t="s">
        <v>1127</v>
      </c>
      <c r="AT568" t="s">
        <v>5386</v>
      </c>
      <c r="AU568">
        <v>2022</v>
      </c>
      <c r="AV568">
        <v>13</v>
      </c>
      <c r="AW568">
        <v>8</v>
      </c>
      <c r="AX568" t="s">
        <v>74</v>
      </c>
      <c r="AY568" t="s">
        <v>74</v>
      </c>
      <c r="AZ568" t="s">
        <v>74</v>
      </c>
      <c r="BA568" t="s">
        <v>74</v>
      </c>
      <c r="BB568" t="s">
        <v>74</v>
      </c>
      <c r="BC568" t="s">
        <v>74</v>
      </c>
      <c r="BD568">
        <v>1255</v>
      </c>
      <c r="BE568" t="s">
        <v>11387</v>
      </c>
      <c r="BF568" t="str">
        <f>HYPERLINK("http://dx.doi.org/10.3390/atmos13081255","http://dx.doi.org/10.3390/atmos13081255")</f>
        <v>http://dx.doi.org/10.3390/atmos13081255</v>
      </c>
      <c r="BG568" t="s">
        <v>74</v>
      </c>
      <c r="BH568" t="s">
        <v>74</v>
      </c>
      <c r="BI568">
        <v>13</v>
      </c>
      <c r="BJ568" t="s">
        <v>1129</v>
      </c>
      <c r="BK568" t="s">
        <v>100</v>
      </c>
      <c r="BL568" t="s">
        <v>1130</v>
      </c>
      <c r="BM568" t="s">
        <v>11388</v>
      </c>
      <c r="BN568" t="s">
        <v>74</v>
      </c>
      <c r="BO568" t="s">
        <v>266</v>
      </c>
      <c r="BP568" t="s">
        <v>74</v>
      </c>
      <c r="BQ568" t="s">
        <v>74</v>
      </c>
      <c r="BR568" t="s">
        <v>103</v>
      </c>
      <c r="BS568" t="s">
        <v>11389</v>
      </c>
      <c r="BT568" t="str">
        <f>HYPERLINK("https%3A%2F%2Fwww.webofscience.com%2Fwos%2Fwoscc%2Ffull-record%2FWOS:000846154400001","View Full Record in Web of Science")</f>
        <v>View Full Record in Web of Science</v>
      </c>
    </row>
    <row r="569" spans="1:72" x14ac:dyDescent="0.15">
      <c r="A569" t="s">
        <v>72</v>
      </c>
      <c r="B569" t="s">
        <v>11390</v>
      </c>
      <c r="C569" t="s">
        <v>74</v>
      </c>
      <c r="D569" t="s">
        <v>74</v>
      </c>
      <c r="E569" t="s">
        <v>74</v>
      </c>
      <c r="F569" t="s">
        <v>11391</v>
      </c>
      <c r="G569" t="s">
        <v>74</v>
      </c>
      <c r="H569" t="s">
        <v>74</v>
      </c>
      <c r="I569" t="s">
        <v>11392</v>
      </c>
      <c r="J569" t="s">
        <v>6512</v>
      </c>
      <c r="K569" t="s">
        <v>74</v>
      </c>
      <c r="L569" t="s">
        <v>74</v>
      </c>
      <c r="M569" t="s">
        <v>78</v>
      </c>
      <c r="N569" t="s">
        <v>165</v>
      </c>
      <c r="O569" t="s">
        <v>74</v>
      </c>
      <c r="P569" t="s">
        <v>74</v>
      </c>
      <c r="Q569" t="s">
        <v>74</v>
      </c>
      <c r="R569" t="s">
        <v>74</v>
      </c>
      <c r="S569" t="s">
        <v>74</v>
      </c>
      <c r="T569" t="s">
        <v>11393</v>
      </c>
      <c r="U569" t="s">
        <v>11394</v>
      </c>
      <c r="V569" t="s">
        <v>11395</v>
      </c>
      <c r="W569" t="s">
        <v>11396</v>
      </c>
      <c r="X569" t="s">
        <v>11397</v>
      </c>
      <c r="Y569" t="s">
        <v>11398</v>
      </c>
      <c r="Z569" t="s">
        <v>11399</v>
      </c>
      <c r="AA569" t="s">
        <v>74</v>
      </c>
      <c r="AB569" t="s">
        <v>11400</v>
      </c>
      <c r="AC569" t="s">
        <v>11401</v>
      </c>
      <c r="AD569" t="s">
        <v>11402</v>
      </c>
      <c r="AE569" t="s">
        <v>11403</v>
      </c>
      <c r="AF569" t="s">
        <v>74</v>
      </c>
      <c r="AG569">
        <v>165</v>
      </c>
      <c r="AH569">
        <v>1</v>
      </c>
      <c r="AI569">
        <v>1</v>
      </c>
      <c r="AJ569">
        <v>1</v>
      </c>
      <c r="AK569">
        <v>7</v>
      </c>
      <c r="AL569" t="s">
        <v>754</v>
      </c>
      <c r="AM569" t="s">
        <v>755</v>
      </c>
      <c r="AN569" t="s">
        <v>756</v>
      </c>
      <c r="AO569" t="s">
        <v>74</v>
      </c>
      <c r="AP569" t="s">
        <v>6524</v>
      </c>
      <c r="AQ569" t="s">
        <v>74</v>
      </c>
      <c r="AR569" t="s">
        <v>6512</v>
      </c>
      <c r="AS569" t="s">
        <v>6525</v>
      </c>
      <c r="AT569" t="s">
        <v>5386</v>
      </c>
      <c r="AU569">
        <v>2022</v>
      </c>
      <c r="AV569">
        <v>12</v>
      </c>
      <c r="AW569">
        <v>8</v>
      </c>
      <c r="AX569" t="s">
        <v>74</v>
      </c>
      <c r="AY569" t="s">
        <v>74</v>
      </c>
      <c r="AZ569" t="s">
        <v>74</v>
      </c>
      <c r="BA569" t="s">
        <v>74</v>
      </c>
      <c r="BB569" t="s">
        <v>74</v>
      </c>
      <c r="BC569" t="s">
        <v>74</v>
      </c>
      <c r="BD569">
        <v>282</v>
      </c>
      <c r="BE569" t="s">
        <v>11404</v>
      </c>
      <c r="BF569" t="str">
        <f>HYPERLINK("http://dx.doi.org/10.3390/geosciences12080282","http://dx.doi.org/10.3390/geosciences12080282")</f>
        <v>http://dx.doi.org/10.3390/geosciences12080282</v>
      </c>
      <c r="BG569" t="s">
        <v>74</v>
      </c>
      <c r="BH569" t="s">
        <v>74</v>
      </c>
      <c r="BI569">
        <v>34</v>
      </c>
      <c r="BJ569" t="s">
        <v>129</v>
      </c>
      <c r="BK569" t="s">
        <v>215</v>
      </c>
      <c r="BL569" t="s">
        <v>130</v>
      </c>
      <c r="BM569" t="s">
        <v>11405</v>
      </c>
      <c r="BN569" t="s">
        <v>74</v>
      </c>
      <c r="BO569" t="s">
        <v>305</v>
      </c>
      <c r="BP569" t="s">
        <v>74</v>
      </c>
      <c r="BQ569" t="s">
        <v>74</v>
      </c>
      <c r="BR569" t="s">
        <v>103</v>
      </c>
      <c r="BS569" t="s">
        <v>11406</v>
      </c>
      <c r="BT569" t="str">
        <f>HYPERLINK("https%3A%2F%2Fwww.webofscience.com%2Fwos%2Fwoscc%2Ffull-record%2FWOS:000845917900001","View Full Record in Web of Science")</f>
        <v>View Full Record in Web of Science</v>
      </c>
    </row>
    <row r="570" spans="1:72" x14ac:dyDescent="0.15">
      <c r="A570" t="s">
        <v>72</v>
      </c>
      <c r="B570" t="s">
        <v>11407</v>
      </c>
      <c r="C570" t="s">
        <v>74</v>
      </c>
      <c r="D570" t="s">
        <v>74</v>
      </c>
      <c r="E570" t="s">
        <v>74</v>
      </c>
      <c r="F570" t="s">
        <v>11408</v>
      </c>
      <c r="G570" t="s">
        <v>74</v>
      </c>
      <c r="H570" t="s">
        <v>74</v>
      </c>
      <c r="I570" t="s">
        <v>11409</v>
      </c>
      <c r="J570" t="s">
        <v>6632</v>
      </c>
      <c r="K570" t="s">
        <v>74</v>
      </c>
      <c r="L570" t="s">
        <v>74</v>
      </c>
      <c r="M570" t="s">
        <v>78</v>
      </c>
      <c r="N570" t="s">
        <v>79</v>
      </c>
      <c r="O570" t="s">
        <v>74</v>
      </c>
      <c r="P570" t="s">
        <v>74</v>
      </c>
      <c r="Q570" t="s">
        <v>74</v>
      </c>
      <c r="R570" t="s">
        <v>74</v>
      </c>
      <c r="S570" t="s">
        <v>74</v>
      </c>
      <c r="T570" t="s">
        <v>11410</v>
      </c>
      <c r="U570" t="s">
        <v>11411</v>
      </c>
      <c r="V570" t="s">
        <v>11412</v>
      </c>
      <c r="W570" t="s">
        <v>11413</v>
      </c>
      <c r="X570" t="s">
        <v>11414</v>
      </c>
      <c r="Y570" t="s">
        <v>11415</v>
      </c>
      <c r="Z570" t="s">
        <v>11416</v>
      </c>
      <c r="AA570" t="s">
        <v>74</v>
      </c>
      <c r="AB570" t="s">
        <v>11417</v>
      </c>
      <c r="AC570" t="s">
        <v>11418</v>
      </c>
      <c r="AD570" t="s">
        <v>11419</v>
      </c>
      <c r="AE570" t="s">
        <v>11420</v>
      </c>
      <c r="AF570" t="s">
        <v>74</v>
      </c>
      <c r="AG570">
        <v>37</v>
      </c>
      <c r="AH570">
        <v>5</v>
      </c>
      <c r="AI570">
        <v>5</v>
      </c>
      <c r="AJ570">
        <v>3</v>
      </c>
      <c r="AK570">
        <v>7</v>
      </c>
      <c r="AL570" t="s">
        <v>754</v>
      </c>
      <c r="AM570" t="s">
        <v>755</v>
      </c>
      <c r="AN570" t="s">
        <v>756</v>
      </c>
      <c r="AO570" t="s">
        <v>74</v>
      </c>
      <c r="AP570" t="s">
        <v>6643</v>
      </c>
      <c r="AQ570" t="s">
        <v>74</v>
      </c>
      <c r="AR570" t="s">
        <v>6644</v>
      </c>
      <c r="AS570" t="s">
        <v>6645</v>
      </c>
      <c r="AT570" t="s">
        <v>5386</v>
      </c>
      <c r="AU570">
        <v>2022</v>
      </c>
      <c r="AV570">
        <v>10</v>
      </c>
      <c r="AW570">
        <v>8</v>
      </c>
      <c r="AX570" t="s">
        <v>74</v>
      </c>
      <c r="AY570" t="s">
        <v>74</v>
      </c>
      <c r="AZ570" t="s">
        <v>74</v>
      </c>
      <c r="BA570" t="s">
        <v>74</v>
      </c>
      <c r="BB570" t="s">
        <v>74</v>
      </c>
      <c r="BC570" t="s">
        <v>74</v>
      </c>
      <c r="BD570">
        <v>1135</v>
      </c>
      <c r="BE570" t="s">
        <v>11421</v>
      </c>
      <c r="BF570" t="str">
        <f>HYPERLINK("http://dx.doi.org/10.3390/jmse10081135","http://dx.doi.org/10.3390/jmse10081135")</f>
        <v>http://dx.doi.org/10.3390/jmse10081135</v>
      </c>
      <c r="BG570" t="s">
        <v>74</v>
      </c>
      <c r="BH570" t="s">
        <v>74</v>
      </c>
      <c r="BI570">
        <v>11</v>
      </c>
      <c r="BJ570" t="s">
        <v>6647</v>
      </c>
      <c r="BK570" t="s">
        <v>100</v>
      </c>
      <c r="BL570" t="s">
        <v>6053</v>
      </c>
      <c r="BM570" t="s">
        <v>11422</v>
      </c>
      <c r="BN570" t="s">
        <v>74</v>
      </c>
      <c r="BO570" t="s">
        <v>266</v>
      </c>
      <c r="BP570" t="s">
        <v>74</v>
      </c>
      <c r="BQ570" t="s">
        <v>74</v>
      </c>
      <c r="BR570" t="s">
        <v>103</v>
      </c>
      <c r="BS570" t="s">
        <v>11423</v>
      </c>
      <c r="BT570" t="str">
        <f>HYPERLINK("https%3A%2F%2Fwww.webofscience.com%2Fwos%2Fwoscc%2Ffull-record%2FWOS:000845701100001","View Full Record in Web of Science")</f>
        <v>View Full Record in Web of Science</v>
      </c>
    </row>
    <row r="571" spans="1:72" x14ac:dyDescent="0.15">
      <c r="A571" t="s">
        <v>72</v>
      </c>
      <c r="B571" t="s">
        <v>11424</v>
      </c>
      <c r="C571" t="s">
        <v>74</v>
      </c>
      <c r="D571" t="s">
        <v>74</v>
      </c>
      <c r="E571" t="s">
        <v>74</v>
      </c>
      <c r="F571" t="s">
        <v>11425</v>
      </c>
      <c r="G571" t="s">
        <v>74</v>
      </c>
      <c r="H571" t="s">
        <v>74</v>
      </c>
      <c r="I571" t="s">
        <v>11426</v>
      </c>
      <c r="J571" t="s">
        <v>6632</v>
      </c>
      <c r="K571" t="s">
        <v>74</v>
      </c>
      <c r="L571" t="s">
        <v>74</v>
      </c>
      <c r="M571" t="s">
        <v>78</v>
      </c>
      <c r="N571" t="s">
        <v>79</v>
      </c>
      <c r="O571" t="s">
        <v>74</v>
      </c>
      <c r="P571" t="s">
        <v>74</v>
      </c>
      <c r="Q571" t="s">
        <v>74</v>
      </c>
      <c r="R571" t="s">
        <v>74</v>
      </c>
      <c r="S571" t="s">
        <v>74</v>
      </c>
      <c r="T571" t="s">
        <v>11427</v>
      </c>
      <c r="U571" t="s">
        <v>11428</v>
      </c>
      <c r="V571" t="s">
        <v>11429</v>
      </c>
      <c r="W571" t="s">
        <v>11430</v>
      </c>
      <c r="X571" t="s">
        <v>11431</v>
      </c>
      <c r="Y571" t="s">
        <v>11432</v>
      </c>
      <c r="Z571" t="s">
        <v>11433</v>
      </c>
      <c r="AA571" t="s">
        <v>11434</v>
      </c>
      <c r="AB571" t="s">
        <v>11435</v>
      </c>
      <c r="AC571" t="s">
        <v>11436</v>
      </c>
      <c r="AD571" t="s">
        <v>11437</v>
      </c>
      <c r="AE571" t="s">
        <v>11438</v>
      </c>
      <c r="AF571" t="s">
        <v>74</v>
      </c>
      <c r="AG571">
        <v>18</v>
      </c>
      <c r="AH571">
        <v>0</v>
      </c>
      <c r="AI571">
        <v>0</v>
      </c>
      <c r="AJ571">
        <v>1</v>
      </c>
      <c r="AK571">
        <v>3</v>
      </c>
      <c r="AL571" t="s">
        <v>754</v>
      </c>
      <c r="AM571" t="s">
        <v>755</v>
      </c>
      <c r="AN571" t="s">
        <v>756</v>
      </c>
      <c r="AO571" t="s">
        <v>74</v>
      </c>
      <c r="AP571" t="s">
        <v>6643</v>
      </c>
      <c r="AQ571" t="s">
        <v>74</v>
      </c>
      <c r="AR571" t="s">
        <v>6644</v>
      </c>
      <c r="AS571" t="s">
        <v>6645</v>
      </c>
      <c r="AT571" t="s">
        <v>5386</v>
      </c>
      <c r="AU571">
        <v>2022</v>
      </c>
      <c r="AV571">
        <v>10</v>
      </c>
      <c r="AW571">
        <v>8</v>
      </c>
      <c r="AX571" t="s">
        <v>74</v>
      </c>
      <c r="AY571" t="s">
        <v>74</v>
      </c>
      <c r="AZ571" t="s">
        <v>74</v>
      </c>
      <c r="BA571" t="s">
        <v>74</v>
      </c>
      <c r="BB571" t="s">
        <v>74</v>
      </c>
      <c r="BC571" t="s">
        <v>74</v>
      </c>
      <c r="BD571">
        <v>1078</v>
      </c>
      <c r="BE571" t="s">
        <v>11439</v>
      </c>
      <c r="BF571" t="str">
        <f>HYPERLINK("http://dx.doi.org/10.3390/jmse10081078","http://dx.doi.org/10.3390/jmse10081078")</f>
        <v>http://dx.doi.org/10.3390/jmse10081078</v>
      </c>
      <c r="BG571" t="s">
        <v>74</v>
      </c>
      <c r="BH571" t="s">
        <v>74</v>
      </c>
      <c r="BI571">
        <v>14</v>
      </c>
      <c r="BJ571" t="s">
        <v>6647</v>
      </c>
      <c r="BK571" t="s">
        <v>100</v>
      </c>
      <c r="BL571" t="s">
        <v>6053</v>
      </c>
      <c r="BM571" t="s">
        <v>11440</v>
      </c>
      <c r="BN571" t="s">
        <v>74</v>
      </c>
      <c r="BO571" t="s">
        <v>1195</v>
      </c>
      <c r="BP571" t="s">
        <v>74</v>
      </c>
      <c r="BQ571" t="s">
        <v>74</v>
      </c>
      <c r="BR571" t="s">
        <v>103</v>
      </c>
      <c r="BS571" t="s">
        <v>11441</v>
      </c>
      <c r="BT571" t="str">
        <f>HYPERLINK("https%3A%2F%2Fwww.webofscience.com%2Fwos%2Fwoscc%2Ffull-record%2FWOS:000845619300001","View Full Record in Web of Science")</f>
        <v>View Full Record in Web of Science</v>
      </c>
    </row>
    <row r="572" spans="1:72" x14ac:dyDescent="0.15">
      <c r="A572" t="s">
        <v>72</v>
      </c>
      <c r="B572" t="s">
        <v>11442</v>
      </c>
      <c r="C572" t="s">
        <v>74</v>
      </c>
      <c r="D572" t="s">
        <v>74</v>
      </c>
      <c r="E572" t="s">
        <v>74</v>
      </c>
      <c r="F572" t="s">
        <v>11443</v>
      </c>
      <c r="G572" t="s">
        <v>74</v>
      </c>
      <c r="H572" t="s">
        <v>74</v>
      </c>
      <c r="I572" t="s">
        <v>11444</v>
      </c>
      <c r="J572" t="s">
        <v>790</v>
      </c>
      <c r="K572" t="s">
        <v>74</v>
      </c>
      <c r="L572" t="s">
        <v>74</v>
      </c>
      <c r="M572" t="s">
        <v>78</v>
      </c>
      <c r="N572" t="s">
        <v>79</v>
      </c>
      <c r="O572" t="s">
        <v>74</v>
      </c>
      <c r="P572" t="s">
        <v>74</v>
      </c>
      <c r="Q572" t="s">
        <v>74</v>
      </c>
      <c r="R572" t="s">
        <v>74</v>
      </c>
      <c r="S572" t="s">
        <v>74</v>
      </c>
      <c r="T572" t="s">
        <v>11445</v>
      </c>
      <c r="U572" t="s">
        <v>11446</v>
      </c>
      <c r="V572" t="s">
        <v>11447</v>
      </c>
      <c r="W572" t="s">
        <v>11448</v>
      </c>
      <c r="X572" t="s">
        <v>11449</v>
      </c>
      <c r="Y572" t="s">
        <v>11450</v>
      </c>
      <c r="Z572" t="s">
        <v>11451</v>
      </c>
      <c r="AA572" t="s">
        <v>11452</v>
      </c>
      <c r="AB572" t="s">
        <v>11453</v>
      </c>
      <c r="AC572" t="s">
        <v>11454</v>
      </c>
      <c r="AD572" t="s">
        <v>11455</v>
      </c>
      <c r="AE572" t="s">
        <v>11456</v>
      </c>
      <c r="AF572" t="s">
        <v>74</v>
      </c>
      <c r="AG572">
        <v>93</v>
      </c>
      <c r="AH572">
        <v>4</v>
      </c>
      <c r="AI572">
        <v>4</v>
      </c>
      <c r="AJ572">
        <v>2</v>
      </c>
      <c r="AK572">
        <v>10</v>
      </c>
      <c r="AL572" t="s">
        <v>754</v>
      </c>
      <c r="AM572" t="s">
        <v>755</v>
      </c>
      <c r="AN572" t="s">
        <v>756</v>
      </c>
      <c r="AO572" t="s">
        <v>74</v>
      </c>
      <c r="AP572" t="s">
        <v>803</v>
      </c>
      <c r="AQ572" t="s">
        <v>74</v>
      </c>
      <c r="AR572" t="s">
        <v>790</v>
      </c>
      <c r="AS572" t="s">
        <v>804</v>
      </c>
      <c r="AT572" t="s">
        <v>5386</v>
      </c>
      <c r="AU572">
        <v>2022</v>
      </c>
      <c r="AV572">
        <v>10</v>
      </c>
      <c r="AW572">
        <v>8</v>
      </c>
      <c r="AX572" t="s">
        <v>74</v>
      </c>
      <c r="AY572" t="s">
        <v>74</v>
      </c>
      <c r="AZ572" t="s">
        <v>74</v>
      </c>
      <c r="BA572" t="s">
        <v>74</v>
      </c>
      <c r="BB572" t="s">
        <v>74</v>
      </c>
      <c r="BC572" t="s">
        <v>74</v>
      </c>
      <c r="BD572">
        <v>1655</v>
      </c>
      <c r="BE572" t="s">
        <v>11457</v>
      </c>
      <c r="BF572" t="str">
        <f>HYPERLINK("http://dx.doi.org/10.3390/microorganisms10081655","http://dx.doi.org/10.3390/microorganisms10081655")</f>
        <v>http://dx.doi.org/10.3390/microorganisms10081655</v>
      </c>
      <c r="BG572" t="s">
        <v>74</v>
      </c>
      <c r="BH572" t="s">
        <v>74</v>
      </c>
      <c r="BI572">
        <v>20</v>
      </c>
      <c r="BJ572" t="s">
        <v>214</v>
      </c>
      <c r="BK572" t="s">
        <v>100</v>
      </c>
      <c r="BL572" t="s">
        <v>214</v>
      </c>
      <c r="BM572" t="s">
        <v>11458</v>
      </c>
      <c r="BN572">
        <v>36014073</v>
      </c>
      <c r="BO572" t="s">
        <v>132</v>
      </c>
      <c r="BP572" t="s">
        <v>74</v>
      </c>
      <c r="BQ572" t="s">
        <v>74</v>
      </c>
      <c r="BR572" t="s">
        <v>103</v>
      </c>
      <c r="BS572" t="s">
        <v>11459</v>
      </c>
      <c r="BT572" t="str">
        <f>HYPERLINK("https%3A%2F%2Fwww.webofscience.com%2Fwos%2Fwoscc%2Ffull-record%2FWOS:000845438200001","View Full Record in Web of Science")</f>
        <v>View Full Record in Web of Science</v>
      </c>
    </row>
    <row r="573" spans="1:72" x14ac:dyDescent="0.15">
      <c r="A573" t="s">
        <v>72</v>
      </c>
      <c r="B573" t="s">
        <v>11460</v>
      </c>
      <c r="C573" t="s">
        <v>74</v>
      </c>
      <c r="D573" t="s">
        <v>74</v>
      </c>
      <c r="E573" t="s">
        <v>74</v>
      </c>
      <c r="F573" t="s">
        <v>11461</v>
      </c>
      <c r="G573" t="s">
        <v>74</v>
      </c>
      <c r="H573" t="s">
        <v>74</v>
      </c>
      <c r="I573" t="s">
        <v>11462</v>
      </c>
      <c r="J573" t="s">
        <v>790</v>
      </c>
      <c r="K573" t="s">
        <v>74</v>
      </c>
      <c r="L573" t="s">
        <v>74</v>
      </c>
      <c r="M573" t="s">
        <v>78</v>
      </c>
      <c r="N573" t="s">
        <v>79</v>
      </c>
      <c r="O573" t="s">
        <v>74</v>
      </c>
      <c r="P573" t="s">
        <v>74</v>
      </c>
      <c r="Q573" t="s">
        <v>74</v>
      </c>
      <c r="R573" t="s">
        <v>74</v>
      </c>
      <c r="S573" t="s">
        <v>74</v>
      </c>
      <c r="T573" t="s">
        <v>11463</v>
      </c>
      <c r="U573" t="s">
        <v>11464</v>
      </c>
      <c r="V573" t="s">
        <v>11465</v>
      </c>
      <c r="W573" t="s">
        <v>11466</v>
      </c>
      <c r="X573" t="s">
        <v>11467</v>
      </c>
      <c r="Y573" t="s">
        <v>11468</v>
      </c>
      <c r="Z573" t="s">
        <v>11469</v>
      </c>
      <c r="AA573" t="s">
        <v>11470</v>
      </c>
      <c r="AB573" t="s">
        <v>11471</v>
      </c>
      <c r="AC573" t="s">
        <v>11472</v>
      </c>
      <c r="AD573" t="s">
        <v>11473</v>
      </c>
      <c r="AE573" t="s">
        <v>11474</v>
      </c>
      <c r="AF573" t="s">
        <v>74</v>
      </c>
      <c r="AG573">
        <v>84</v>
      </c>
      <c r="AH573">
        <v>0</v>
      </c>
      <c r="AI573">
        <v>1</v>
      </c>
      <c r="AJ573">
        <v>1</v>
      </c>
      <c r="AK573">
        <v>2</v>
      </c>
      <c r="AL573" t="s">
        <v>754</v>
      </c>
      <c r="AM573" t="s">
        <v>755</v>
      </c>
      <c r="AN573" t="s">
        <v>756</v>
      </c>
      <c r="AO573" t="s">
        <v>74</v>
      </c>
      <c r="AP573" t="s">
        <v>803</v>
      </c>
      <c r="AQ573" t="s">
        <v>74</v>
      </c>
      <c r="AR573" t="s">
        <v>790</v>
      </c>
      <c r="AS573" t="s">
        <v>804</v>
      </c>
      <c r="AT573" t="s">
        <v>5386</v>
      </c>
      <c r="AU573">
        <v>2022</v>
      </c>
      <c r="AV573">
        <v>10</v>
      </c>
      <c r="AW573">
        <v>8</v>
      </c>
      <c r="AX573" t="s">
        <v>74</v>
      </c>
      <c r="AY573" t="s">
        <v>74</v>
      </c>
      <c r="AZ573" t="s">
        <v>74</v>
      </c>
      <c r="BA573" t="s">
        <v>74</v>
      </c>
      <c r="BB573" t="s">
        <v>74</v>
      </c>
      <c r="BC573" t="s">
        <v>74</v>
      </c>
      <c r="BD573">
        <v>1654</v>
      </c>
      <c r="BE573" t="s">
        <v>11475</v>
      </c>
      <c r="BF573" t="str">
        <f>HYPERLINK("http://dx.doi.org/10.3390/microorganisms10081654","http://dx.doi.org/10.3390/microorganisms10081654")</f>
        <v>http://dx.doi.org/10.3390/microorganisms10081654</v>
      </c>
      <c r="BG573" t="s">
        <v>74</v>
      </c>
      <c r="BH573" t="s">
        <v>74</v>
      </c>
      <c r="BI573">
        <v>18</v>
      </c>
      <c r="BJ573" t="s">
        <v>214</v>
      </c>
      <c r="BK573" t="s">
        <v>100</v>
      </c>
      <c r="BL573" t="s">
        <v>214</v>
      </c>
      <c r="BM573" t="s">
        <v>11476</v>
      </c>
      <c r="BN573">
        <v>36014072</v>
      </c>
      <c r="BO573" t="s">
        <v>159</v>
      </c>
      <c r="BP573" t="s">
        <v>74</v>
      </c>
      <c r="BQ573" t="s">
        <v>74</v>
      </c>
      <c r="BR573" t="s">
        <v>103</v>
      </c>
      <c r="BS573" t="s">
        <v>11477</v>
      </c>
      <c r="BT573" t="str">
        <f>HYPERLINK("https%3A%2F%2Fwww.webofscience.com%2Fwos%2Fwoscc%2Ffull-record%2FWOS:000845440600001","View Full Record in Web of Science")</f>
        <v>View Full Record in Web of Science</v>
      </c>
    </row>
    <row r="574" spans="1:72" x14ac:dyDescent="0.15">
      <c r="A574" t="s">
        <v>72</v>
      </c>
      <c r="B574" t="s">
        <v>11478</v>
      </c>
      <c r="C574" t="s">
        <v>74</v>
      </c>
      <c r="D574" t="s">
        <v>74</v>
      </c>
      <c r="E574" t="s">
        <v>74</v>
      </c>
      <c r="F574" t="s">
        <v>11479</v>
      </c>
      <c r="G574" t="s">
        <v>74</v>
      </c>
      <c r="H574" t="s">
        <v>74</v>
      </c>
      <c r="I574" t="s">
        <v>11480</v>
      </c>
      <c r="J574" t="s">
        <v>790</v>
      </c>
      <c r="K574" t="s">
        <v>74</v>
      </c>
      <c r="L574" t="s">
        <v>74</v>
      </c>
      <c r="M574" t="s">
        <v>78</v>
      </c>
      <c r="N574" t="s">
        <v>79</v>
      </c>
      <c r="O574" t="s">
        <v>74</v>
      </c>
      <c r="P574" t="s">
        <v>74</v>
      </c>
      <c r="Q574" t="s">
        <v>74</v>
      </c>
      <c r="R574" t="s">
        <v>74</v>
      </c>
      <c r="S574" t="s">
        <v>74</v>
      </c>
      <c r="T574" t="s">
        <v>11481</v>
      </c>
      <c r="U574" t="s">
        <v>11482</v>
      </c>
      <c r="V574" t="s">
        <v>11483</v>
      </c>
      <c r="W574" t="s">
        <v>11484</v>
      </c>
      <c r="X574" t="s">
        <v>11485</v>
      </c>
      <c r="Y574" t="s">
        <v>11486</v>
      </c>
      <c r="Z574" t="s">
        <v>11487</v>
      </c>
      <c r="AA574" t="s">
        <v>11488</v>
      </c>
      <c r="AB574" t="s">
        <v>11489</v>
      </c>
      <c r="AC574" t="s">
        <v>11490</v>
      </c>
      <c r="AD574" t="s">
        <v>11491</v>
      </c>
      <c r="AE574" t="s">
        <v>11492</v>
      </c>
      <c r="AF574" t="s">
        <v>74</v>
      </c>
      <c r="AG574">
        <v>122</v>
      </c>
      <c r="AH574">
        <v>2</v>
      </c>
      <c r="AI574">
        <v>2</v>
      </c>
      <c r="AJ574">
        <v>1</v>
      </c>
      <c r="AK574">
        <v>12</v>
      </c>
      <c r="AL574" t="s">
        <v>754</v>
      </c>
      <c r="AM574" t="s">
        <v>755</v>
      </c>
      <c r="AN574" t="s">
        <v>756</v>
      </c>
      <c r="AO574" t="s">
        <v>74</v>
      </c>
      <c r="AP574" t="s">
        <v>803</v>
      </c>
      <c r="AQ574" t="s">
        <v>74</v>
      </c>
      <c r="AR574" t="s">
        <v>790</v>
      </c>
      <c r="AS574" t="s">
        <v>804</v>
      </c>
      <c r="AT574" t="s">
        <v>5386</v>
      </c>
      <c r="AU574">
        <v>2022</v>
      </c>
      <c r="AV574">
        <v>10</v>
      </c>
      <c r="AW574">
        <v>8</v>
      </c>
      <c r="AX574" t="s">
        <v>74</v>
      </c>
      <c r="AY574" t="s">
        <v>74</v>
      </c>
      <c r="AZ574" t="s">
        <v>74</v>
      </c>
      <c r="BA574" t="s">
        <v>74</v>
      </c>
      <c r="BB574" t="s">
        <v>74</v>
      </c>
      <c r="BC574" t="s">
        <v>74</v>
      </c>
      <c r="BD574">
        <v>1673</v>
      </c>
      <c r="BE574" t="s">
        <v>11493</v>
      </c>
      <c r="BF574" t="str">
        <f>HYPERLINK("http://dx.doi.org/10.3390/microorganisms10081673","http://dx.doi.org/10.3390/microorganisms10081673")</f>
        <v>http://dx.doi.org/10.3390/microorganisms10081673</v>
      </c>
      <c r="BG574" t="s">
        <v>74</v>
      </c>
      <c r="BH574" t="s">
        <v>74</v>
      </c>
      <c r="BI574">
        <v>20</v>
      </c>
      <c r="BJ574" t="s">
        <v>214</v>
      </c>
      <c r="BK574" t="s">
        <v>100</v>
      </c>
      <c r="BL574" t="s">
        <v>214</v>
      </c>
      <c r="BM574" t="s">
        <v>11494</v>
      </c>
      <c r="BN574">
        <v>36014090</v>
      </c>
      <c r="BO574" t="s">
        <v>159</v>
      </c>
      <c r="BP574" t="s">
        <v>74</v>
      </c>
      <c r="BQ574" t="s">
        <v>74</v>
      </c>
      <c r="BR574" t="s">
        <v>103</v>
      </c>
      <c r="BS574" t="s">
        <v>11495</v>
      </c>
      <c r="BT574" t="str">
        <f>HYPERLINK("https%3A%2F%2Fwww.webofscience.com%2Fwos%2Fwoscc%2Ffull-record%2FWOS:000846538900001","View Full Record in Web of Science")</f>
        <v>View Full Record in Web of Science</v>
      </c>
    </row>
    <row r="575" spans="1:72" x14ac:dyDescent="0.15">
      <c r="A575" t="s">
        <v>72</v>
      </c>
      <c r="B575" t="s">
        <v>11496</v>
      </c>
      <c r="C575" t="s">
        <v>74</v>
      </c>
      <c r="D575" t="s">
        <v>74</v>
      </c>
      <c r="E575" t="s">
        <v>74</v>
      </c>
      <c r="F575" t="s">
        <v>11497</v>
      </c>
      <c r="G575" t="s">
        <v>74</v>
      </c>
      <c r="H575" t="s">
        <v>74</v>
      </c>
      <c r="I575" t="s">
        <v>11498</v>
      </c>
      <c r="J575" t="s">
        <v>11499</v>
      </c>
      <c r="K575" t="s">
        <v>74</v>
      </c>
      <c r="L575" t="s">
        <v>74</v>
      </c>
      <c r="M575" t="s">
        <v>78</v>
      </c>
      <c r="N575" t="s">
        <v>79</v>
      </c>
      <c r="O575" t="s">
        <v>74</v>
      </c>
      <c r="P575" t="s">
        <v>74</v>
      </c>
      <c r="Q575" t="s">
        <v>74</v>
      </c>
      <c r="R575" t="s">
        <v>74</v>
      </c>
      <c r="S575" t="s">
        <v>74</v>
      </c>
      <c r="T575" t="s">
        <v>11500</v>
      </c>
      <c r="U575" t="s">
        <v>11501</v>
      </c>
      <c r="V575" t="s">
        <v>11502</v>
      </c>
      <c r="W575" t="s">
        <v>11503</v>
      </c>
      <c r="X575" t="s">
        <v>11504</v>
      </c>
      <c r="Y575" t="s">
        <v>11505</v>
      </c>
      <c r="Z575" t="s">
        <v>11506</v>
      </c>
      <c r="AA575" t="s">
        <v>11507</v>
      </c>
      <c r="AB575" t="s">
        <v>11508</v>
      </c>
      <c r="AC575" t="s">
        <v>11509</v>
      </c>
      <c r="AD575" t="s">
        <v>11510</v>
      </c>
      <c r="AE575" t="s">
        <v>11511</v>
      </c>
      <c r="AF575" t="s">
        <v>74</v>
      </c>
      <c r="AG575">
        <v>122</v>
      </c>
      <c r="AH575">
        <v>2</v>
      </c>
      <c r="AI575">
        <v>2</v>
      </c>
      <c r="AJ575">
        <v>0</v>
      </c>
      <c r="AK575">
        <v>5</v>
      </c>
      <c r="AL575" t="s">
        <v>754</v>
      </c>
      <c r="AM575" t="s">
        <v>755</v>
      </c>
      <c r="AN575" t="s">
        <v>756</v>
      </c>
      <c r="AO575" t="s">
        <v>74</v>
      </c>
      <c r="AP575" t="s">
        <v>11512</v>
      </c>
      <c r="AQ575" t="s">
        <v>74</v>
      </c>
      <c r="AR575" t="s">
        <v>11513</v>
      </c>
      <c r="AS575" t="s">
        <v>11514</v>
      </c>
      <c r="AT575" t="s">
        <v>5386</v>
      </c>
      <c r="AU575">
        <v>2022</v>
      </c>
      <c r="AV575">
        <v>12</v>
      </c>
      <c r="AW575">
        <v>8</v>
      </c>
      <c r="AX575" t="s">
        <v>74</v>
      </c>
      <c r="AY575" t="s">
        <v>74</v>
      </c>
      <c r="AZ575" t="s">
        <v>74</v>
      </c>
      <c r="BA575" t="s">
        <v>74</v>
      </c>
      <c r="BB575" t="s">
        <v>74</v>
      </c>
      <c r="BC575" t="s">
        <v>74</v>
      </c>
      <c r="BD575">
        <v>937</v>
      </c>
      <c r="BE575" t="s">
        <v>11515</v>
      </c>
      <c r="BF575" t="str">
        <f>HYPERLINK("http://dx.doi.org/10.3390/min12080937","http://dx.doi.org/10.3390/min12080937")</f>
        <v>http://dx.doi.org/10.3390/min12080937</v>
      </c>
      <c r="BG575" t="s">
        <v>74</v>
      </c>
      <c r="BH575" t="s">
        <v>74</v>
      </c>
      <c r="BI575">
        <v>27</v>
      </c>
      <c r="BJ575" t="s">
        <v>11516</v>
      </c>
      <c r="BK575" t="s">
        <v>100</v>
      </c>
      <c r="BL575" t="s">
        <v>11516</v>
      </c>
      <c r="BM575" t="s">
        <v>11517</v>
      </c>
      <c r="BN575" t="s">
        <v>74</v>
      </c>
      <c r="BO575" t="s">
        <v>266</v>
      </c>
      <c r="BP575" t="s">
        <v>74</v>
      </c>
      <c r="BQ575" t="s">
        <v>74</v>
      </c>
      <c r="BR575" t="s">
        <v>103</v>
      </c>
      <c r="BS575" t="s">
        <v>11518</v>
      </c>
      <c r="BT575" t="str">
        <f>HYPERLINK("https%3A%2F%2Fwww.webofscience.com%2Fwos%2Fwoscc%2Ffull-record%2FWOS:000845480000001","View Full Record in Web of Science")</f>
        <v>View Full Record in Web of Science</v>
      </c>
    </row>
    <row r="576" spans="1:72" x14ac:dyDescent="0.15">
      <c r="A576" t="s">
        <v>72</v>
      </c>
      <c r="B576" t="s">
        <v>11519</v>
      </c>
      <c r="C576" t="s">
        <v>74</v>
      </c>
      <c r="D576" t="s">
        <v>74</v>
      </c>
      <c r="E576" t="s">
        <v>74</v>
      </c>
      <c r="F576" t="s">
        <v>11520</v>
      </c>
      <c r="G576" t="s">
        <v>74</v>
      </c>
      <c r="H576" t="s">
        <v>74</v>
      </c>
      <c r="I576" t="s">
        <v>11521</v>
      </c>
      <c r="J576" t="s">
        <v>6346</v>
      </c>
      <c r="K576" t="s">
        <v>74</v>
      </c>
      <c r="L576" t="s">
        <v>74</v>
      </c>
      <c r="M576" t="s">
        <v>78</v>
      </c>
      <c r="N576" t="s">
        <v>79</v>
      </c>
      <c r="O576" t="s">
        <v>74</v>
      </c>
      <c r="P576" t="s">
        <v>74</v>
      </c>
      <c r="Q576" t="s">
        <v>74</v>
      </c>
      <c r="R576" t="s">
        <v>74</v>
      </c>
      <c r="S576" t="s">
        <v>74</v>
      </c>
      <c r="T576" t="s">
        <v>74</v>
      </c>
      <c r="U576" t="s">
        <v>11522</v>
      </c>
      <c r="V576" t="s">
        <v>11523</v>
      </c>
      <c r="W576" t="s">
        <v>11524</v>
      </c>
      <c r="X576" t="s">
        <v>11525</v>
      </c>
      <c r="Y576" t="s">
        <v>11526</v>
      </c>
      <c r="Z576" t="s">
        <v>11527</v>
      </c>
      <c r="AA576" t="s">
        <v>11528</v>
      </c>
      <c r="AB576" t="s">
        <v>11529</v>
      </c>
      <c r="AC576" t="s">
        <v>11530</v>
      </c>
      <c r="AD576" t="s">
        <v>11531</v>
      </c>
      <c r="AE576" t="s">
        <v>11532</v>
      </c>
      <c r="AF576" t="s">
        <v>74</v>
      </c>
      <c r="AG576">
        <v>70</v>
      </c>
      <c r="AH576">
        <v>5</v>
      </c>
      <c r="AI576">
        <v>5</v>
      </c>
      <c r="AJ576">
        <v>0</v>
      </c>
      <c r="AK576">
        <v>6</v>
      </c>
      <c r="AL576" t="s">
        <v>946</v>
      </c>
      <c r="AM576" t="s">
        <v>207</v>
      </c>
      <c r="AN576" t="s">
        <v>947</v>
      </c>
      <c r="AO576" t="s">
        <v>6358</v>
      </c>
      <c r="AP576" t="s">
        <v>6359</v>
      </c>
      <c r="AQ576" t="s">
        <v>74</v>
      </c>
      <c r="AR576" t="s">
        <v>6360</v>
      </c>
      <c r="AS576" t="s">
        <v>6361</v>
      </c>
      <c r="AT576" t="s">
        <v>5386</v>
      </c>
      <c r="AU576">
        <v>2022</v>
      </c>
      <c r="AV576">
        <v>37</v>
      </c>
      <c r="AW576">
        <v>8</v>
      </c>
      <c r="AX576" t="s">
        <v>74</v>
      </c>
      <c r="AY576" t="s">
        <v>74</v>
      </c>
      <c r="AZ576" t="s">
        <v>74</v>
      </c>
      <c r="BA576" t="s">
        <v>74</v>
      </c>
      <c r="BB576" t="s">
        <v>74</v>
      </c>
      <c r="BC576" t="s">
        <v>74</v>
      </c>
      <c r="BD576" t="s">
        <v>11533</v>
      </c>
      <c r="BE576" t="s">
        <v>11534</v>
      </c>
      <c r="BF576" t="str">
        <f>HYPERLINK("http://dx.doi.org/10.1029/2021PA004405","http://dx.doi.org/10.1029/2021PA004405")</f>
        <v>http://dx.doi.org/10.1029/2021PA004405</v>
      </c>
      <c r="BG576" t="s">
        <v>74</v>
      </c>
      <c r="BH576" t="s">
        <v>74</v>
      </c>
      <c r="BI576">
        <v>13</v>
      </c>
      <c r="BJ576" t="s">
        <v>6364</v>
      </c>
      <c r="BK576" t="s">
        <v>100</v>
      </c>
      <c r="BL576" t="s">
        <v>6365</v>
      </c>
      <c r="BM576" t="s">
        <v>11535</v>
      </c>
      <c r="BN576">
        <v>36248180</v>
      </c>
      <c r="BO576" t="s">
        <v>7669</v>
      </c>
      <c r="BP576" t="s">
        <v>74</v>
      </c>
      <c r="BQ576" t="s">
        <v>74</v>
      </c>
      <c r="BR576" t="s">
        <v>103</v>
      </c>
      <c r="BS576" t="s">
        <v>11536</v>
      </c>
      <c r="BT576" t="str">
        <f>HYPERLINK("https%3A%2F%2Fwww.webofscience.com%2Fwos%2Fwoscc%2Ffull-record%2FWOS:000844514800001","View Full Record in Web of Science")</f>
        <v>View Full Record in Web of Science</v>
      </c>
    </row>
    <row r="577" spans="1:72" x14ac:dyDescent="0.15">
      <c r="A577" t="s">
        <v>72</v>
      </c>
      <c r="B577" t="s">
        <v>11537</v>
      </c>
      <c r="C577" t="s">
        <v>74</v>
      </c>
      <c r="D577" t="s">
        <v>74</v>
      </c>
      <c r="E577" t="s">
        <v>74</v>
      </c>
      <c r="F577" t="s">
        <v>11538</v>
      </c>
      <c r="G577" t="s">
        <v>74</v>
      </c>
      <c r="H577" t="s">
        <v>74</v>
      </c>
      <c r="I577" t="s">
        <v>11539</v>
      </c>
      <c r="J577" t="s">
        <v>11540</v>
      </c>
      <c r="K577" t="s">
        <v>74</v>
      </c>
      <c r="L577" t="s">
        <v>74</v>
      </c>
      <c r="M577" t="s">
        <v>78</v>
      </c>
      <c r="N577" t="s">
        <v>79</v>
      </c>
      <c r="O577" t="s">
        <v>74</v>
      </c>
      <c r="P577" t="s">
        <v>74</v>
      </c>
      <c r="Q577" t="s">
        <v>74</v>
      </c>
      <c r="R577" t="s">
        <v>74</v>
      </c>
      <c r="S577" t="s">
        <v>74</v>
      </c>
      <c r="T577" t="s">
        <v>11541</v>
      </c>
      <c r="U577" t="s">
        <v>11542</v>
      </c>
      <c r="V577" t="s">
        <v>11543</v>
      </c>
      <c r="W577" t="s">
        <v>11544</v>
      </c>
      <c r="X577" t="s">
        <v>11545</v>
      </c>
      <c r="Y577" t="s">
        <v>11546</v>
      </c>
      <c r="Z577" t="s">
        <v>11547</v>
      </c>
      <c r="AA577" t="s">
        <v>11548</v>
      </c>
      <c r="AB577" t="s">
        <v>11549</v>
      </c>
      <c r="AC577" t="s">
        <v>11550</v>
      </c>
      <c r="AD577" t="s">
        <v>11551</v>
      </c>
      <c r="AE577" t="s">
        <v>11552</v>
      </c>
      <c r="AF577" t="s">
        <v>74</v>
      </c>
      <c r="AG577">
        <v>71</v>
      </c>
      <c r="AH577">
        <v>4</v>
      </c>
      <c r="AI577">
        <v>4</v>
      </c>
      <c r="AJ577">
        <v>0</v>
      </c>
      <c r="AK577">
        <v>4</v>
      </c>
      <c r="AL577" t="s">
        <v>946</v>
      </c>
      <c r="AM577" t="s">
        <v>207</v>
      </c>
      <c r="AN577" t="s">
        <v>947</v>
      </c>
      <c r="AO577" t="s">
        <v>74</v>
      </c>
      <c r="AP577" t="s">
        <v>11553</v>
      </c>
      <c r="AQ577" t="s">
        <v>74</v>
      </c>
      <c r="AR577" t="s">
        <v>11554</v>
      </c>
      <c r="AS577" t="s">
        <v>11555</v>
      </c>
      <c r="AT577" t="s">
        <v>5386</v>
      </c>
      <c r="AU577">
        <v>2022</v>
      </c>
      <c r="AV577">
        <v>20</v>
      </c>
      <c r="AW577">
        <v>8</v>
      </c>
      <c r="AX577" t="s">
        <v>74</v>
      </c>
      <c r="AY577" t="s">
        <v>74</v>
      </c>
      <c r="AZ577" t="s">
        <v>74</v>
      </c>
      <c r="BA577" t="s">
        <v>74</v>
      </c>
      <c r="BB577" t="s">
        <v>74</v>
      </c>
      <c r="BC577" t="s">
        <v>74</v>
      </c>
      <c r="BD577" t="s">
        <v>11556</v>
      </c>
      <c r="BE577" t="s">
        <v>11557</v>
      </c>
      <c r="BF577" t="str">
        <f>HYPERLINK("http://dx.doi.org/10.1029/2021SW002983","http://dx.doi.org/10.1029/2021SW002983")</f>
        <v>http://dx.doi.org/10.1029/2021SW002983</v>
      </c>
      <c r="BG577" t="s">
        <v>74</v>
      </c>
      <c r="BH577" t="s">
        <v>74</v>
      </c>
      <c r="BI577">
        <v>18</v>
      </c>
      <c r="BJ577" t="s">
        <v>11558</v>
      </c>
      <c r="BK577" t="s">
        <v>100</v>
      </c>
      <c r="BL577" t="s">
        <v>11558</v>
      </c>
      <c r="BM577" t="s">
        <v>11559</v>
      </c>
      <c r="BN577" t="s">
        <v>74</v>
      </c>
      <c r="BO577" t="s">
        <v>5370</v>
      </c>
      <c r="BP577" t="s">
        <v>74</v>
      </c>
      <c r="BQ577" t="s">
        <v>74</v>
      </c>
      <c r="BR577" t="s">
        <v>103</v>
      </c>
      <c r="BS577" t="s">
        <v>11560</v>
      </c>
      <c r="BT577" t="str">
        <f>HYPERLINK("https%3A%2F%2Fwww.webofscience.com%2Fwos%2Fwoscc%2Ffull-record%2FWOS:000844484700001","View Full Record in Web of Science")</f>
        <v>View Full Record in Web of Science</v>
      </c>
    </row>
    <row r="578" spans="1:72" x14ac:dyDescent="0.15">
      <c r="A578" t="s">
        <v>72</v>
      </c>
      <c r="B578" t="s">
        <v>11561</v>
      </c>
      <c r="C578" t="s">
        <v>74</v>
      </c>
      <c r="D578" t="s">
        <v>74</v>
      </c>
      <c r="E578" t="s">
        <v>74</v>
      </c>
      <c r="F578" t="s">
        <v>11562</v>
      </c>
      <c r="G578" t="s">
        <v>74</v>
      </c>
      <c r="H578" t="s">
        <v>74</v>
      </c>
      <c r="I578" t="s">
        <v>11563</v>
      </c>
      <c r="J578" t="s">
        <v>1614</v>
      </c>
      <c r="K578" t="s">
        <v>74</v>
      </c>
      <c r="L578" t="s">
        <v>74</v>
      </c>
      <c r="M578" t="s">
        <v>78</v>
      </c>
      <c r="N578" t="s">
        <v>79</v>
      </c>
      <c r="O578" t="s">
        <v>74</v>
      </c>
      <c r="P578" t="s">
        <v>74</v>
      </c>
      <c r="Q578" t="s">
        <v>74</v>
      </c>
      <c r="R578" t="s">
        <v>74</v>
      </c>
      <c r="S578" t="s">
        <v>74</v>
      </c>
      <c r="T578" t="s">
        <v>74</v>
      </c>
      <c r="U578" t="s">
        <v>11564</v>
      </c>
      <c r="V578" t="s">
        <v>11565</v>
      </c>
      <c r="W578" t="s">
        <v>11566</v>
      </c>
      <c r="X578" t="s">
        <v>11567</v>
      </c>
      <c r="Y578" t="s">
        <v>11568</v>
      </c>
      <c r="Z578" t="s">
        <v>11569</v>
      </c>
      <c r="AA578" t="s">
        <v>11570</v>
      </c>
      <c r="AB578" t="s">
        <v>11571</v>
      </c>
      <c r="AC578" t="s">
        <v>11572</v>
      </c>
      <c r="AD578" t="s">
        <v>11573</v>
      </c>
      <c r="AE578" t="s">
        <v>11574</v>
      </c>
      <c r="AF578" t="s">
        <v>74</v>
      </c>
      <c r="AG578">
        <v>103</v>
      </c>
      <c r="AH578">
        <v>1</v>
      </c>
      <c r="AI578">
        <v>1</v>
      </c>
      <c r="AJ578">
        <v>0</v>
      </c>
      <c r="AK578">
        <v>11</v>
      </c>
      <c r="AL578" t="s">
        <v>1626</v>
      </c>
      <c r="AM578" t="s">
        <v>1627</v>
      </c>
      <c r="AN578" t="s">
        <v>1628</v>
      </c>
      <c r="AO578" t="s">
        <v>1629</v>
      </c>
      <c r="AP578" t="s">
        <v>1630</v>
      </c>
      <c r="AQ578" t="s">
        <v>74</v>
      </c>
      <c r="AR578" t="s">
        <v>1631</v>
      </c>
      <c r="AS578" t="s">
        <v>1632</v>
      </c>
      <c r="AT578" t="s">
        <v>11575</v>
      </c>
      <c r="AU578">
        <v>2022</v>
      </c>
      <c r="AV578">
        <v>935</v>
      </c>
      <c r="AW578">
        <v>2</v>
      </c>
      <c r="AX578" t="s">
        <v>74</v>
      </c>
      <c r="AY578" t="s">
        <v>74</v>
      </c>
      <c r="AZ578" t="s">
        <v>74</v>
      </c>
      <c r="BA578" t="s">
        <v>74</v>
      </c>
      <c r="BB578" t="s">
        <v>74</v>
      </c>
      <c r="BC578" t="s">
        <v>74</v>
      </c>
      <c r="BD578">
        <v>158</v>
      </c>
      <c r="BE578" t="s">
        <v>11576</v>
      </c>
      <c r="BF578" t="str">
        <f>HYPERLINK("http://dx.doi.org/10.3847/1538-4357/ac7f32","http://dx.doi.org/10.3847/1538-4357/ac7f32")</f>
        <v>http://dx.doi.org/10.3847/1538-4357/ac7f32</v>
      </c>
      <c r="BG578" t="s">
        <v>74</v>
      </c>
      <c r="BH578" t="s">
        <v>74</v>
      </c>
      <c r="BI578">
        <v>13</v>
      </c>
      <c r="BJ578" t="s">
        <v>954</v>
      </c>
      <c r="BK578" t="s">
        <v>100</v>
      </c>
      <c r="BL578" t="s">
        <v>954</v>
      </c>
      <c r="BM578" t="s">
        <v>11577</v>
      </c>
      <c r="BN578" t="s">
        <v>74</v>
      </c>
      <c r="BO578" t="s">
        <v>884</v>
      </c>
      <c r="BP578" t="s">
        <v>74</v>
      </c>
      <c r="BQ578" t="s">
        <v>74</v>
      </c>
      <c r="BR578" t="s">
        <v>103</v>
      </c>
      <c r="BS578" t="s">
        <v>11578</v>
      </c>
      <c r="BT578" t="str">
        <f>HYPERLINK("https%3A%2F%2Fwww.webofscience.com%2Fwos%2Fwoscc%2Ffull-record%2FWOS:000843293100001","View Full Record in Web of Science")</f>
        <v>View Full Record in Web of Science</v>
      </c>
    </row>
    <row r="579" spans="1:72" x14ac:dyDescent="0.15">
      <c r="A579" t="s">
        <v>72</v>
      </c>
      <c r="B579" t="s">
        <v>11579</v>
      </c>
      <c r="C579" t="s">
        <v>74</v>
      </c>
      <c r="D579" t="s">
        <v>74</v>
      </c>
      <c r="E579" t="s">
        <v>74</v>
      </c>
      <c r="F579" t="s">
        <v>11580</v>
      </c>
      <c r="G579" t="s">
        <v>74</v>
      </c>
      <c r="H579" t="s">
        <v>74</v>
      </c>
      <c r="I579" t="s">
        <v>11581</v>
      </c>
      <c r="J579" t="s">
        <v>933</v>
      </c>
      <c r="K579" t="s">
        <v>74</v>
      </c>
      <c r="L579" t="s">
        <v>74</v>
      </c>
      <c r="M579" t="s">
        <v>78</v>
      </c>
      <c r="N579" t="s">
        <v>79</v>
      </c>
      <c r="O579" t="s">
        <v>74</v>
      </c>
      <c r="P579" t="s">
        <v>74</v>
      </c>
      <c r="Q579" t="s">
        <v>74</v>
      </c>
      <c r="R579" t="s">
        <v>74</v>
      </c>
      <c r="S579" t="s">
        <v>74</v>
      </c>
      <c r="T579" t="s">
        <v>11582</v>
      </c>
      <c r="U579" t="s">
        <v>11583</v>
      </c>
      <c r="V579" t="s">
        <v>11584</v>
      </c>
      <c r="W579" t="s">
        <v>11585</v>
      </c>
      <c r="X579" t="s">
        <v>11586</v>
      </c>
      <c r="Y579" t="s">
        <v>11587</v>
      </c>
      <c r="Z579" t="s">
        <v>11588</v>
      </c>
      <c r="AA579" t="s">
        <v>11589</v>
      </c>
      <c r="AB579" t="s">
        <v>11590</v>
      </c>
      <c r="AC579" t="s">
        <v>74</v>
      </c>
      <c r="AD579" t="s">
        <v>74</v>
      </c>
      <c r="AE579" t="s">
        <v>74</v>
      </c>
      <c r="AF579" t="s">
        <v>74</v>
      </c>
      <c r="AG579">
        <v>58</v>
      </c>
      <c r="AH579">
        <v>1</v>
      </c>
      <c r="AI579">
        <v>1</v>
      </c>
      <c r="AJ579">
        <v>5</v>
      </c>
      <c r="AK579">
        <v>7</v>
      </c>
      <c r="AL579" t="s">
        <v>946</v>
      </c>
      <c r="AM579" t="s">
        <v>207</v>
      </c>
      <c r="AN579" t="s">
        <v>947</v>
      </c>
      <c r="AO579" t="s">
        <v>948</v>
      </c>
      <c r="AP579" t="s">
        <v>949</v>
      </c>
      <c r="AQ579" t="s">
        <v>74</v>
      </c>
      <c r="AR579" t="s">
        <v>950</v>
      </c>
      <c r="AS579" t="s">
        <v>951</v>
      </c>
      <c r="AT579" t="s">
        <v>5386</v>
      </c>
      <c r="AU579">
        <v>2022</v>
      </c>
      <c r="AV579">
        <v>127</v>
      </c>
      <c r="AW579">
        <v>8</v>
      </c>
      <c r="AX579" t="s">
        <v>74</v>
      </c>
      <c r="AY579" t="s">
        <v>74</v>
      </c>
      <c r="AZ579" t="s">
        <v>74</v>
      </c>
      <c r="BA579" t="s">
        <v>74</v>
      </c>
      <c r="BB579" t="s">
        <v>74</v>
      </c>
      <c r="BC579" t="s">
        <v>74</v>
      </c>
      <c r="BD579" t="s">
        <v>11591</v>
      </c>
      <c r="BE579" t="s">
        <v>11592</v>
      </c>
      <c r="BF579" t="str">
        <f>HYPERLINK("http://dx.doi.org/10.1029/2022JA030340","http://dx.doi.org/10.1029/2022JA030340")</f>
        <v>http://dx.doi.org/10.1029/2022JA030340</v>
      </c>
      <c r="BG579" t="s">
        <v>74</v>
      </c>
      <c r="BH579" t="s">
        <v>74</v>
      </c>
      <c r="BI579">
        <v>17</v>
      </c>
      <c r="BJ579" t="s">
        <v>954</v>
      </c>
      <c r="BK579" t="s">
        <v>100</v>
      </c>
      <c r="BL579" t="s">
        <v>954</v>
      </c>
      <c r="BM579" t="s">
        <v>11593</v>
      </c>
      <c r="BN579" t="s">
        <v>74</v>
      </c>
      <c r="BO579" t="s">
        <v>74</v>
      </c>
      <c r="BP579" t="s">
        <v>74</v>
      </c>
      <c r="BQ579" t="s">
        <v>74</v>
      </c>
      <c r="BR579" t="s">
        <v>103</v>
      </c>
      <c r="BS579" t="s">
        <v>11594</v>
      </c>
      <c r="BT579" t="str">
        <f>HYPERLINK("https%3A%2F%2Fwww.webofscience.com%2Fwos%2Fwoscc%2Ffull-record%2FWOS:000843353700001","View Full Record in Web of Science")</f>
        <v>View Full Record in Web of Science</v>
      </c>
    </row>
    <row r="580" spans="1:72" x14ac:dyDescent="0.15">
      <c r="A580" t="s">
        <v>72</v>
      </c>
      <c r="B580" t="s">
        <v>11595</v>
      </c>
      <c r="C580" t="s">
        <v>74</v>
      </c>
      <c r="D580" t="s">
        <v>74</v>
      </c>
      <c r="E580" t="s">
        <v>74</v>
      </c>
      <c r="F580" t="s">
        <v>11596</v>
      </c>
      <c r="G580" t="s">
        <v>74</v>
      </c>
      <c r="H580" t="s">
        <v>74</v>
      </c>
      <c r="I580" t="s">
        <v>11597</v>
      </c>
      <c r="J580" t="s">
        <v>993</v>
      </c>
      <c r="K580" t="s">
        <v>74</v>
      </c>
      <c r="L580" t="s">
        <v>74</v>
      </c>
      <c r="M580" t="s">
        <v>78</v>
      </c>
      <c r="N580" t="s">
        <v>79</v>
      </c>
      <c r="O580" t="s">
        <v>74</v>
      </c>
      <c r="P580" t="s">
        <v>74</v>
      </c>
      <c r="Q580" t="s">
        <v>74</v>
      </c>
      <c r="R580" t="s">
        <v>74</v>
      </c>
      <c r="S580" t="s">
        <v>74</v>
      </c>
      <c r="T580" t="s">
        <v>11598</v>
      </c>
      <c r="U580" t="s">
        <v>11599</v>
      </c>
      <c r="V580" t="s">
        <v>11600</v>
      </c>
      <c r="W580" t="s">
        <v>11601</v>
      </c>
      <c r="X580" t="s">
        <v>11602</v>
      </c>
      <c r="Y580" t="s">
        <v>11603</v>
      </c>
      <c r="Z580" t="s">
        <v>11604</v>
      </c>
      <c r="AA580" t="s">
        <v>11605</v>
      </c>
      <c r="AB580" t="s">
        <v>11606</v>
      </c>
      <c r="AC580" t="s">
        <v>11607</v>
      </c>
      <c r="AD580" t="s">
        <v>11608</v>
      </c>
      <c r="AE580" t="s">
        <v>11609</v>
      </c>
      <c r="AF580" t="s">
        <v>74</v>
      </c>
      <c r="AG580">
        <v>77</v>
      </c>
      <c r="AH580">
        <v>3</v>
      </c>
      <c r="AI580">
        <v>3</v>
      </c>
      <c r="AJ580">
        <v>4</v>
      </c>
      <c r="AK580">
        <v>22</v>
      </c>
      <c r="AL580" t="s">
        <v>946</v>
      </c>
      <c r="AM580" t="s">
        <v>207</v>
      </c>
      <c r="AN580" t="s">
        <v>947</v>
      </c>
      <c r="AO580" t="s">
        <v>74</v>
      </c>
      <c r="AP580" t="s">
        <v>1006</v>
      </c>
      <c r="AQ580" t="s">
        <v>74</v>
      </c>
      <c r="AR580" t="s">
        <v>993</v>
      </c>
      <c r="AS580" t="s">
        <v>1007</v>
      </c>
      <c r="AT580" t="s">
        <v>5386</v>
      </c>
      <c r="AU580">
        <v>2022</v>
      </c>
      <c r="AV580">
        <v>10</v>
      </c>
      <c r="AW580">
        <v>8</v>
      </c>
      <c r="AX580" t="s">
        <v>74</v>
      </c>
      <c r="AY580" t="s">
        <v>74</v>
      </c>
      <c r="AZ580" t="s">
        <v>74</v>
      </c>
      <c r="BA580" t="s">
        <v>74</v>
      </c>
      <c r="BB580" t="s">
        <v>74</v>
      </c>
      <c r="BC580" t="s">
        <v>74</v>
      </c>
      <c r="BD580" t="s">
        <v>11610</v>
      </c>
      <c r="BE580" t="s">
        <v>11611</v>
      </c>
      <c r="BF580" t="str">
        <f>HYPERLINK("http://dx.doi.org/10.1029/2022EF002823","http://dx.doi.org/10.1029/2022EF002823")</f>
        <v>http://dx.doi.org/10.1029/2022EF002823</v>
      </c>
      <c r="BG580" t="s">
        <v>74</v>
      </c>
      <c r="BH580" t="s">
        <v>74</v>
      </c>
      <c r="BI580">
        <v>18</v>
      </c>
      <c r="BJ580" t="s">
        <v>1010</v>
      </c>
      <c r="BK580" t="s">
        <v>100</v>
      </c>
      <c r="BL580" t="s">
        <v>1011</v>
      </c>
      <c r="BM580" t="s">
        <v>11612</v>
      </c>
      <c r="BN580" t="s">
        <v>74</v>
      </c>
      <c r="BO580" t="s">
        <v>2512</v>
      </c>
      <c r="BP580" t="s">
        <v>74</v>
      </c>
      <c r="BQ580" t="s">
        <v>74</v>
      </c>
      <c r="BR580" t="s">
        <v>103</v>
      </c>
      <c r="BS580" t="s">
        <v>11613</v>
      </c>
      <c r="BT580" t="str">
        <f>HYPERLINK("https%3A%2F%2Fwww.webofscience.com%2Fwos%2Fwoscc%2Ffull-record%2FWOS:000842513900001","View Full Record in Web of Science")</f>
        <v>View Full Record in Web of Science</v>
      </c>
    </row>
    <row r="581" spans="1:72" x14ac:dyDescent="0.15">
      <c r="A581" t="s">
        <v>72</v>
      </c>
      <c r="B581" t="s">
        <v>11614</v>
      </c>
      <c r="C581" t="s">
        <v>74</v>
      </c>
      <c r="D581" t="s">
        <v>74</v>
      </c>
      <c r="E581" t="s">
        <v>74</v>
      </c>
      <c r="F581" t="s">
        <v>11615</v>
      </c>
      <c r="G581" t="s">
        <v>74</v>
      </c>
      <c r="H581" t="s">
        <v>74</v>
      </c>
      <c r="I581" t="s">
        <v>11616</v>
      </c>
      <c r="J581" t="s">
        <v>6880</v>
      </c>
      <c r="K581" t="s">
        <v>74</v>
      </c>
      <c r="L581" t="s">
        <v>74</v>
      </c>
      <c r="M581" t="s">
        <v>78</v>
      </c>
      <c r="N581" t="s">
        <v>79</v>
      </c>
      <c r="O581" t="s">
        <v>74</v>
      </c>
      <c r="P581" t="s">
        <v>74</v>
      </c>
      <c r="Q581" t="s">
        <v>74</v>
      </c>
      <c r="R581" t="s">
        <v>74</v>
      </c>
      <c r="S581" t="s">
        <v>74</v>
      </c>
      <c r="T581" t="s">
        <v>74</v>
      </c>
      <c r="U581" t="s">
        <v>11617</v>
      </c>
      <c r="V581" t="s">
        <v>11618</v>
      </c>
      <c r="W581" t="s">
        <v>11619</v>
      </c>
      <c r="X581" t="s">
        <v>11620</v>
      </c>
      <c r="Y581" t="s">
        <v>11621</v>
      </c>
      <c r="Z581" t="s">
        <v>11622</v>
      </c>
      <c r="AA581" t="s">
        <v>11623</v>
      </c>
      <c r="AB581" t="s">
        <v>11624</v>
      </c>
      <c r="AC581" t="s">
        <v>11625</v>
      </c>
      <c r="AD581" t="s">
        <v>11626</v>
      </c>
      <c r="AE581" t="s">
        <v>11627</v>
      </c>
      <c r="AF581" t="s">
        <v>74</v>
      </c>
      <c r="AG581">
        <v>104</v>
      </c>
      <c r="AH581">
        <v>4</v>
      </c>
      <c r="AI581">
        <v>4</v>
      </c>
      <c r="AJ581">
        <v>3</v>
      </c>
      <c r="AK581">
        <v>9</v>
      </c>
      <c r="AL581" t="s">
        <v>946</v>
      </c>
      <c r="AM581" t="s">
        <v>207</v>
      </c>
      <c r="AN581" t="s">
        <v>947</v>
      </c>
      <c r="AO581" t="s">
        <v>6892</v>
      </c>
      <c r="AP581" t="s">
        <v>6893</v>
      </c>
      <c r="AQ581" t="s">
        <v>74</v>
      </c>
      <c r="AR581" t="s">
        <v>6894</v>
      </c>
      <c r="AS581" t="s">
        <v>6895</v>
      </c>
      <c r="AT581" t="s">
        <v>5386</v>
      </c>
      <c r="AU581">
        <v>2022</v>
      </c>
      <c r="AV581">
        <v>127</v>
      </c>
      <c r="AW581">
        <v>8</v>
      </c>
      <c r="AX581" t="s">
        <v>74</v>
      </c>
      <c r="AY581" t="s">
        <v>74</v>
      </c>
      <c r="AZ581" t="s">
        <v>74</v>
      </c>
      <c r="BA581" t="s">
        <v>74</v>
      </c>
      <c r="BB581" t="s">
        <v>74</v>
      </c>
      <c r="BC581" t="s">
        <v>74</v>
      </c>
      <c r="BD581" t="s">
        <v>11628</v>
      </c>
      <c r="BE581" t="s">
        <v>11629</v>
      </c>
      <c r="BF581" t="str">
        <f>HYPERLINK("http://dx.doi.org/10.1029/2022JB024069","http://dx.doi.org/10.1029/2022JB024069")</f>
        <v>http://dx.doi.org/10.1029/2022JB024069</v>
      </c>
      <c r="BG581" t="s">
        <v>74</v>
      </c>
      <c r="BH581" t="s">
        <v>74</v>
      </c>
      <c r="BI581">
        <v>19</v>
      </c>
      <c r="BJ581" t="s">
        <v>1379</v>
      </c>
      <c r="BK581" t="s">
        <v>100</v>
      </c>
      <c r="BL581" t="s">
        <v>1379</v>
      </c>
      <c r="BM581" t="s">
        <v>11630</v>
      </c>
      <c r="BN581" t="s">
        <v>74</v>
      </c>
      <c r="BO581" t="s">
        <v>404</v>
      </c>
      <c r="BP581" t="s">
        <v>74</v>
      </c>
      <c r="BQ581" t="s">
        <v>74</v>
      </c>
      <c r="BR581" t="s">
        <v>103</v>
      </c>
      <c r="BS581" t="s">
        <v>11631</v>
      </c>
      <c r="BT581" t="str">
        <f>HYPERLINK("https%3A%2F%2Fwww.webofscience.com%2Fwos%2Fwoscc%2Ffull-record%2FWOS:000842738200001","View Full Record in Web of Science")</f>
        <v>View Full Record in Web of Science</v>
      </c>
    </row>
    <row r="582" spans="1:72" x14ac:dyDescent="0.15">
      <c r="A582" t="s">
        <v>72</v>
      </c>
      <c r="B582" t="s">
        <v>11632</v>
      </c>
      <c r="C582" t="s">
        <v>74</v>
      </c>
      <c r="D582" t="s">
        <v>74</v>
      </c>
      <c r="E582" t="s">
        <v>74</v>
      </c>
      <c r="F582" t="s">
        <v>11633</v>
      </c>
      <c r="G582" t="s">
        <v>74</v>
      </c>
      <c r="H582" t="s">
        <v>74</v>
      </c>
      <c r="I582" t="s">
        <v>11634</v>
      </c>
      <c r="J582" t="s">
        <v>6346</v>
      </c>
      <c r="K582" t="s">
        <v>74</v>
      </c>
      <c r="L582" t="s">
        <v>74</v>
      </c>
      <c r="M582" t="s">
        <v>78</v>
      </c>
      <c r="N582" t="s">
        <v>79</v>
      </c>
      <c r="O582" t="s">
        <v>74</v>
      </c>
      <c r="P582" t="s">
        <v>74</v>
      </c>
      <c r="Q582" t="s">
        <v>74</v>
      </c>
      <c r="R582" t="s">
        <v>74</v>
      </c>
      <c r="S582" t="s">
        <v>74</v>
      </c>
      <c r="T582" t="s">
        <v>11635</v>
      </c>
      <c r="U582" t="s">
        <v>11636</v>
      </c>
      <c r="V582" t="s">
        <v>11637</v>
      </c>
      <c r="W582" t="s">
        <v>11638</v>
      </c>
      <c r="X582" t="s">
        <v>11639</v>
      </c>
      <c r="Y582" t="s">
        <v>11640</v>
      </c>
      <c r="Z582" t="s">
        <v>11641</v>
      </c>
      <c r="AA582" t="s">
        <v>11642</v>
      </c>
      <c r="AB582" t="s">
        <v>11643</v>
      </c>
      <c r="AC582" t="s">
        <v>11644</v>
      </c>
      <c r="AD582" t="s">
        <v>11645</v>
      </c>
      <c r="AE582" t="s">
        <v>11646</v>
      </c>
      <c r="AF582" t="s">
        <v>74</v>
      </c>
      <c r="AG582">
        <v>74</v>
      </c>
      <c r="AH582">
        <v>0</v>
      </c>
      <c r="AI582">
        <v>0</v>
      </c>
      <c r="AJ582">
        <v>5</v>
      </c>
      <c r="AK582">
        <v>15</v>
      </c>
      <c r="AL582" t="s">
        <v>946</v>
      </c>
      <c r="AM582" t="s">
        <v>207</v>
      </c>
      <c r="AN582" t="s">
        <v>947</v>
      </c>
      <c r="AO582" t="s">
        <v>6358</v>
      </c>
      <c r="AP582" t="s">
        <v>6359</v>
      </c>
      <c r="AQ582" t="s">
        <v>74</v>
      </c>
      <c r="AR582" t="s">
        <v>6360</v>
      </c>
      <c r="AS582" t="s">
        <v>6361</v>
      </c>
      <c r="AT582" t="s">
        <v>5386</v>
      </c>
      <c r="AU582">
        <v>2022</v>
      </c>
      <c r="AV582">
        <v>37</v>
      </c>
      <c r="AW582">
        <v>8</v>
      </c>
      <c r="AX582" t="s">
        <v>74</v>
      </c>
      <c r="AY582" t="s">
        <v>74</v>
      </c>
      <c r="AZ582" t="s">
        <v>74</v>
      </c>
      <c r="BA582" t="s">
        <v>74</v>
      </c>
      <c r="BB582" t="s">
        <v>74</v>
      </c>
      <c r="BC582" t="s">
        <v>74</v>
      </c>
      <c r="BD582" t="s">
        <v>11647</v>
      </c>
      <c r="BE582" t="s">
        <v>11648</v>
      </c>
      <c r="BF582" t="str">
        <f>HYPERLINK("http://dx.doi.org/10.1029/2021PA004394","http://dx.doi.org/10.1029/2021PA004394")</f>
        <v>http://dx.doi.org/10.1029/2021PA004394</v>
      </c>
      <c r="BG582" t="s">
        <v>74</v>
      </c>
      <c r="BH582" t="s">
        <v>74</v>
      </c>
      <c r="BI582">
        <v>15</v>
      </c>
      <c r="BJ582" t="s">
        <v>6364</v>
      </c>
      <c r="BK582" t="s">
        <v>100</v>
      </c>
      <c r="BL582" t="s">
        <v>6365</v>
      </c>
      <c r="BM582" t="s">
        <v>11649</v>
      </c>
      <c r="BN582" t="s">
        <v>74</v>
      </c>
      <c r="BO582" t="s">
        <v>1013</v>
      </c>
      <c r="BP582" t="s">
        <v>74</v>
      </c>
      <c r="BQ582" t="s">
        <v>74</v>
      </c>
      <c r="BR582" t="s">
        <v>103</v>
      </c>
      <c r="BS582" t="s">
        <v>11650</v>
      </c>
      <c r="BT582" t="str">
        <f>HYPERLINK("https%3A%2F%2Fwww.webofscience.com%2Fwos%2Fwoscc%2Ffull-record%2FWOS:000842514900001","View Full Record in Web of Science")</f>
        <v>View Full Record in Web of Science</v>
      </c>
    </row>
    <row r="583" spans="1:72" x14ac:dyDescent="0.15">
      <c r="A583" t="s">
        <v>72</v>
      </c>
      <c r="B583" t="s">
        <v>11651</v>
      </c>
      <c r="C583" t="s">
        <v>74</v>
      </c>
      <c r="D583" t="s">
        <v>74</v>
      </c>
      <c r="E583" t="s">
        <v>74</v>
      </c>
      <c r="F583" t="s">
        <v>11652</v>
      </c>
      <c r="G583" t="s">
        <v>74</v>
      </c>
      <c r="H583" t="s">
        <v>74</v>
      </c>
      <c r="I583" t="s">
        <v>11653</v>
      </c>
      <c r="J583" t="s">
        <v>1385</v>
      </c>
      <c r="K583" t="s">
        <v>74</v>
      </c>
      <c r="L583" t="s">
        <v>74</v>
      </c>
      <c r="M583" t="s">
        <v>78</v>
      </c>
      <c r="N583" t="s">
        <v>79</v>
      </c>
      <c r="O583" t="s">
        <v>74</v>
      </c>
      <c r="P583" t="s">
        <v>74</v>
      </c>
      <c r="Q583" t="s">
        <v>74</v>
      </c>
      <c r="R583" t="s">
        <v>74</v>
      </c>
      <c r="S583" t="s">
        <v>74</v>
      </c>
      <c r="T583" t="s">
        <v>11654</v>
      </c>
      <c r="U583" t="s">
        <v>11655</v>
      </c>
      <c r="V583" t="s">
        <v>11656</v>
      </c>
      <c r="W583" t="s">
        <v>11657</v>
      </c>
      <c r="X583" t="s">
        <v>11658</v>
      </c>
      <c r="Y583" t="s">
        <v>11659</v>
      </c>
      <c r="Z583" t="s">
        <v>11660</v>
      </c>
      <c r="AA583" t="s">
        <v>11661</v>
      </c>
      <c r="AB583" t="s">
        <v>11662</v>
      </c>
      <c r="AC583" t="s">
        <v>11663</v>
      </c>
      <c r="AD583" t="s">
        <v>11664</v>
      </c>
      <c r="AE583" t="s">
        <v>11665</v>
      </c>
      <c r="AF583" t="s">
        <v>74</v>
      </c>
      <c r="AG583">
        <v>45</v>
      </c>
      <c r="AH583">
        <v>4</v>
      </c>
      <c r="AI583">
        <v>4</v>
      </c>
      <c r="AJ583">
        <v>16</v>
      </c>
      <c r="AK583">
        <v>49</v>
      </c>
      <c r="AL583" t="s">
        <v>946</v>
      </c>
      <c r="AM583" t="s">
        <v>207</v>
      </c>
      <c r="AN583" t="s">
        <v>947</v>
      </c>
      <c r="AO583" t="s">
        <v>1398</v>
      </c>
      <c r="AP583" t="s">
        <v>1399</v>
      </c>
      <c r="AQ583" t="s">
        <v>74</v>
      </c>
      <c r="AR583" t="s">
        <v>1400</v>
      </c>
      <c r="AS583" t="s">
        <v>1401</v>
      </c>
      <c r="AT583" t="s">
        <v>5386</v>
      </c>
      <c r="AU583">
        <v>2022</v>
      </c>
      <c r="AV583">
        <v>127</v>
      </c>
      <c r="AW583">
        <v>8</v>
      </c>
      <c r="AX583" t="s">
        <v>74</v>
      </c>
      <c r="AY583" t="s">
        <v>74</v>
      </c>
      <c r="AZ583" t="s">
        <v>74</v>
      </c>
      <c r="BA583" t="s">
        <v>74</v>
      </c>
      <c r="BB583" t="s">
        <v>74</v>
      </c>
      <c r="BC583" t="s">
        <v>74</v>
      </c>
      <c r="BD583" t="s">
        <v>11666</v>
      </c>
      <c r="BE583" t="s">
        <v>11667</v>
      </c>
      <c r="BF583" t="str">
        <f>HYPERLINK("http://dx.doi.org/10.1029/2022JC018931","http://dx.doi.org/10.1029/2022JC018931")</f>
        <v>http://dx.doi.org/10.1029/2022JC018931</v>
      </c>
      <c r="BG583" t="s">
        <v>74</v>
      </c>
      <c r="BH583" t="s">
        <v>74</v>
      </c>
      <c r="BI583">
        <v>12</v>
      </c>
      <c r="BJ583" t="s">
        <v>674</v>
      </c>
      <c r="BK583" t="s">
        <v>100</v>
      </c>
      <c r="BL583" t="s">
        <v>674</v>
      </c>
      <c r="BM583" t="s">
        <v>11668</v>
      </c>
      <c r="BN583" t="s">
        <v>74</v>
      </c>
      <c r="BO583" t="s">
        <v>1341</v>
      </c>
      <c r="BP583" t="s">
        <v>74</v>
      </c>
      <c r="BQ583" t="s">
        <v>74</v>
      </c>
      <c r="BR583" t="s">
        <v>103</v>
      </c>
      <c r="BS583" t="s">
        <v>11669</v>
      </c>
      <c r="BT583" t="str">
        <f>HYPERLINK("https%3A%2F%2Fwww.webofscience.com%2Fwos%2Fwoscc%2Ffull-record%2FWOS:000842422100001","View Full Record in Web of Science")</f>
        <v>View Full Record in Web of Science</v>
      </c>
    </row>
    <row r="584" spans="1:72" x14ac:dyDescent="0.15">
      <c r="A584" t="s">
        <v>72</v>
      </c>
      <c r="B584" t="s">
        <v>11670</v>
      </c>
      <c r="C584" t="s">
        <v>74</v>
      </c>
      <c r="D584" t="s">
        <v>74</v>
      </c>
      <c r="E584" t="s">
        <v>74</v>
      </c>
      <c r="F584" t="s">
        <v>11671</v>
      </c>
      <c r="G584" t="s">
        <v>74</v>
      </c>
      <c r="H584" t="s">
        <v>11672</v>
      </c>
      <c r="I584" t="s">
        <v>11673</v>
      </c>
      <c r="J584" t="s">
        <v>7877</v>
      </c>
      <c r="K584" t="s">
        <v>74</v>
      </c>
      <c r="L584" t="s">
        <v>74</v>
      </c>
      <c r="M584" t="s">
        <v>78</v>
      </c>
      <c r="N584" t="s">
        <v>52</v>
      </c>
      <c r="O584" t="s">
        <v>11674</v>
      </c>
      <c r="P584" t="s">
        <v>11675</v>
      </c>
      <c r="Q584" t="s">
        <v>11676</v>
      </c>
      <c r="R584" t="s">
        <v>74</v>
      </c>
      <c r="S584" t="s">
        <v>74</v>
      </c>
      <c r="T584" t="s">
        <v>74</v>
      </c>
      <c r="U584" t="s">
        <v>74</v>
      </c>
      <c r="V584" t="s">
        <v>74</v>
      </c>
      <c r="W584" t="s">
        <v>11677</v>
      </c>
      <c r="X584" t="s">
        <v>11678</v>
      </c>
      <c r="Y584" t="s">
        <v>74</v>
      </c>
      <c r="Z584" t="s">
        <v>11679</v>
      </c>
      <c r="AA584" t="s">
        <v>11680</v>
      </c>
      <c r="AB584" t="s">
        <v>74</v>
      </c>
      <c r="AC584" t="s">
        <v>11681</v>
      </c>
      <c r="AD584" t="s">
        <v>11682</v>
      </c>
      <c r="AE584" t="s">
        <v>11683</v>
      </c>
      <c r="AF584" t="s">
        <v>74</v>
      </c>
      <c r="AG584">
        <v>9</v>
      </c>
      <c r="AH584">
        <v>0</v>
      </c>
      <c r="AI584">
        <v>0</v>
      </c>
      <c r="AJ584">
        <v>0</v>
      </c>
      <c r="AK584">
        <v>4</v>
      </c>
      <c r="AL584" t="s">
        <v>231</v>
      </c>
      <c r="AM584" t="s">
        <v>232</v>
      </c>
      <c r="AN584" t="s">
        <v>233</v>
      </c>
      <c r="AO584" t="s">
        <v>7889</v>
      </c>
      <c r="AP584" t="s">
        <v>7890</v>
      </c>
      <c r="AQ584" t="s">
        <v>74</v>
      </c>
      <c r="AR584" t="s">
        <v>7891</v>
      </c>
      <c r="AS584" t="s">
        <v>7892</v>
      </c>
      <c r="AT584" t="s">
        <v>5386</v>
      </c>
      <c r="AU584">
        <v>2022</v>
      </c>
      <c r="AV584">
        <v>57</v>
      </c>
      <c r="AW584" t="s">
        <v>74</v>
      </c>
      <c r="AX584" t="s">
        <v>74</v>
      </c>
      <c r="AY584">
        <v>1</v>
      </c>
      <c r="AZ584" t="s">
        <v>74</v>
      </c>
      <c r="BA584" t="s">
        <v>74</v>
      </c>
      <c r="BB584" t="s">
        <v>74</v>
      </c>
      <c r="BC584" t="s">
        <v>74</v>
      </c>
      <c r="BD584" t="s">
        <v>74</v>
      </c>
      <c r="BE584" t="s">
        <v>74</v>
      </c>
      <c r="BF584" t="s">
        <v>74</v>
      </c>
      <c r="BG584" t="s">
        <v>74</v>
      </c>
      <c r="BH584" t="s">
        <v>74</v>
      </c>
      <c r="BI584">
        <v>1</v>
      </c>
      <c r="BJ584" t="s">
        <v>1379</v>
      </c>
      <c r="BK584" t="s">
        <v>11684</v>
      </c>
      <c r="BL584" t="s">
        <v>1379</v>
      </c>
      <c r="BM584" t="s">
        <v>11685</v>
      </c>
      <c r="BN584" t="s">
        <v>74</v>
      </c>
      <c r="BO584" t="s">
        <v>74</v>
      </c>
      <c r="BP584" t="s">
        <v>74</v>
      </c>
      <c r="BQ584" t="s">
        <v>74</v>
      </c>
      <c r="BR584" t="s">
        <v>103</v>
      </c>
      <c r="BS584" t="s">
        <v>11686</v>
      </c>
      <c r="BT584" t="str">
        <f>HYPERLINK("https%3A%2F%2Fwww.webofscience.com%2Fwos%2Fwoscc%2Ffull-record%2FWOS:000834630400039","View Full Record in Web of Science")</f>
        <v>View Full Record in Web of Science</v>
      </c>
    </row>
    <row r="585" spans="1:72" x14ac:dyDescent="0.15">
      <c r="A585" t="s">
        <v>72</v>
      </c>
      <c r="B585" t="s">
        <v>11687</v>
      </c>
      <c r="C585" t="s">
        <v>74</v>
      </c>
      <c r="D585" t="s">
        <v>74</v>
      </c>
      <c r="E585" t="s">
        <v>74</v>
      </c>
      <c r="F585" t="s">
        <v>11688</v>
      </c>
      <c r="G585" t="s">
        <v>74</v>
      </c>
      <c r="H585" t="s">
        <v>74</v>
      </c>
      <c r="I585" t="s">
        <v>11689</v>
      </c>
      <c r="J585" t="s">
        <v>7877</v>
      </c>
      <c r="K585" t="s">
        <v>74</v>
      </c>
      <c r="L585" t="s">
        <v>74</v>
      </c>
      <c r="M585" t="s">
        <v>78</v>
      </c>
      <c r="N585" t="s">
        <v>52</v>
      </c>
      <c r="O585" t="s">
        <v>74</v>
      </c>
      <c r="P585" t="s">
        <v>74</v>
      </c>
      <c r="Q585" t="s">
        <v>74</v>
      </c>
      <c r="R585" t="s">
        <v>74</v>
      </c>
      <c r="S585" t="s">
        <v>74</v>
      </c>
      <c r="T585" t="s">
        <v>74</v>
      </c>
      <c r="U585" t="s">
        <v>11690</v>
      </c>
      <c r="V585" t="s">
        <v>74</v>
      </c>
      <c r="W585" t="s">
        <v>11691</v>
      </c>
      <c r="X585" t="s">
        <v>11692</v>
      </c>
      <c r="Y585" t="s">
        <v>74</v>
      </c>
      <c r="Z585" t="s">
        <v>11693</v>
      </c>
      <c r="AA585" t="s">
        <v>11694</v>
      </c>
      <c r="AB585" t="s">
        <v>11695</v>
      </c>
      <c r="AC585" t="s">
        <v>11696</v>
      </c>
      <c r="AD585" t="s">
        <v>11697</v>
      </c>
      <c r="AE585" t="s">
        <v>11698</v>
      </c>
      <c r="AF585" t="s">
        <v>74</v>
      </c>
      <c r="AG585">
        <v>6</v>
      </c>
      <c r="AH585">
        <v>0</v>
      </c>
      <c r="AI585">
        <v>0</v>
      </c>
      <c r="AJ585">
        <v>0</v>
      </c>
      <c r="AK585">
        <v>1</v>
      </c>
      <c r="AL585" t="s">
        <v>231</v>
      </c>
      <c r="AM585" t="s">
        <v>232</v>
      </c>
      <c r="AN585" t="s">
        <v>233</v>
      </c>
      <c r="AO585" t="s">
        <v>7889</v>
      </c>
      <c r="AP585" t="s">
        <v>7890</v>
      </c>
      <c r="AQ585" t="s">
        <v>74</v>
      </c>
      <c r="AR585" t="s">
        <v>7891</v>
      </c>
      <c r="AS585" t="s">
        <v>7892</v>
      </c>
      <c r="AT585" t="s">
        <v>5386</v>
      </c>
      <c r="AU585">
        <v>2022</v>
      </c>
      <c r="AV585">
        <v>57</v>
      </c>
      <c r="AW585" t="s">
        <v>74</v>
      </c>
      <c r="AX585" t="s">
        <v>74</v>
      </c>
      <c r="AY585">
        <v>1</v>
      </c>
      <c r="AZ585" t="s">
        <v>74</v>
      </c>
      <c r="BA585" t="s">
        <v>74</v>
      </c>
      <c r="BB585" t="s">
        <v>74</v>
      </c>
      <c r="BC585" t="s">
        <v>74</v>
      </c>
      <c r="BD585" t="s">
        <v>74</v>
      </c>
      <c r="BE585" t="s">
        <v>74</v>
      </c>
      <c r="BF585" t="s">
        <v>74</v>
      </c>
      <c r="BG585" t="s">
        <v>74</v>
      </c>
      <c r="BH585" t="s">
        <v>74</v>
      </c>
      <c r="BI585">
        <v>1</v>
      </c>
      <c r="BJ585" t="s">
        <v>1379</v>
      </c>
      <c r="BK585" t="s">
        <v>100</v>
      </c>
      <c r="BL585" t="s">
        <v>1379</v>
      </c>
      <c r="BM585" t="s">
        <v>11685</v>
      </c>
      <c r="BN585" t="s">
        <v>74</v>
      </c>
      <c r="BO585" t="s">
        <v>74</v>
      </c>
      <c r="BP585" t="s">
        <v>74</v>
      </c>
      <c r="BQ585" t="s">
        <v>74</v>
      </c>
      <c r="BR585" t="s">
        <v>103</v>
      </c>
      <c r="BS585" t="s">
        <v>11699</v>
      </c>
      <c r="BT585" t="str">
        <f>HYPERLINK("https%3A%2F%2Fwww.webofscience.com%2Fwos%2Fwoscc%2Ffull-record%2FWOS:000834630400089","View Full Record in Web of Science")</f>
        <v>View Full Record in Web of Science</v>
      </c>
    </row>
    <row r="586" spans="1:72" x14ac:dyDescent="0.15">
      <c r="A586" t="s">
        <v>72</v>
      </c>
      <c r="B586" t="s">
        <v>11700</v>
      </c>
      <c r="C586" t="s">
        <v>74</v>
      </c>
      <c r="D586" t="s">
        <v>74</v>
      </c>
      <c r="E586" t="s">
        <v>74</v>
      </c>
      <c r="F586" t="s">
        <v>11701</v>
      </c>
      <c r="G586" t="s">
        <v>74</v>
      </c>
      <c r="H586" t="s">
        <v>74</v>
      </c>
      <c r="I586" t="s">
        <v>11702</v>
      </c>
      <c r="J586" t="s">
        <v>7877</v>
      </c>
      <c r="K586" t="s">
        <v>74</v>
      </c>
      <c r="L586" t="s">
        <v>74</v>
      </c>
      <c r="M586" t="s">
        <v>78</v>
      </c>
      <c r="N586" t="s">
        <v>52</v>
      </c>
      <c r="O586" t="s">
        <v>11674</v>
      </c>
      <c r="P586" t="s">
        <v>11675</v>
      </c>
      <c r="Q586" t="s">
        <v>11676</v>
      </c>
      <c r="R586" t="s">
        <v>74</v>
      </c>
      <c r="S586" t="s">
        <v>74</v>
      </c>
      <c r="T586" t="s">
        <v>74</v>
      </c>
      <c r="U586" t="s">
        <v>11703</v>
      </c>
      <c r="V586" t="s">
        <v>74</v>
      </c>
      <c r="W586" t="s">
        <v>11704</v>
      </c>
      <c r="X586" t="s">
        <v>11705</v>
      </c>
      <c r="Y586" t="s">
        <v>74</v>
      </c>
      <c r="Z586" t="s">
        <v>11706</v>
      </c>
      <c r="AA586" t="s">
        <v>74</v>
      </c>
      <c r="AB586" t="s">
        <v>74</v>
      </c>
      <c r="AC586" t="s">
        <v>74</v>
      </c>
      <c r="AD586" t="s">
        <v>74</v>
      </c>
      <c r="AE586" t="s">
        <v>74</v>
      </c>
      <c r="AF586" t="s">
        <v>74</v>
      </c>
      <c r="AG586">
        <v>20</v>
      </c>
      <c r="AH586">
        <v>0</v>
      </c>
      <c r="AI586">
        <v>0</v>
      </c>
      <c r="AJ586">
        <v>0</v>
      </c>
      <c r="AK586">
        <v>0</v>
      </c>
      <c r="AL586" t="s">
        <v>231</v>
      </c>
      <c r="AM586" t="s">
        <v>232</v>
      </c>
      <c r="AN586" t="s">
        <v>233</v>
      </c>
      <c r="AO586" t="s">
        <v>7889</v>
      </c>
      <c r="AP586" t="s">
        <v>7890</v>
      </c>
      <c r="AQ586" t="s">
        <v>74</v>
      </c>
      <c r="AR586" t="s">
        <v>7891</v>
      </c>
      <c r="AS586" t="s">
        <v>7892</v>
      </c>
      <c r="AT586" t="s">
        <v>5386</v>
      </c>
      <c r="AU586">
        <v>2022</v>
      </c>
      <c r="AV586">
        <v>57</v>
      </c>
      <c r="AW586" t="s">
        <v>74</v>
      </c>
      <c r="AX586" t="s">
        <v>74</v>
      </c>
      <c r="AY586">
        <v>1</v>
      </c>
      <c r="AZ586" t="s">
        <v>74</v>
      </c>
      <c r="BA586" t="s">
        <v>74</v>
      </c>
      <c r="BB586" t="s">
        <v>74</v>
      </c>
      <c r="BC586" t="s">
        <v>74</v>
      </c>
      <c r="BD586" t="s">
        <v>74</v>
      </c>
      <c r="BE586" t="s">
        <v>74</v>
      </c>
      <c r="BF586" t="s">
        <v>74</v>
      </c>
      <c r="BG586" t="s">
        <v>74</v>
      </c>
      <c r="BH586" t="s">
        <v>74</v>
      </c>
      <c r="BI586">
        <v>1</v>
      </c>
      <c r="BJ586" t="s">
        <v>1379</v>
      </c>
      <c r="BK586" t="s">
        <v>11684</v>
      </c>
      <c r="BL586" t="s">
        <v>1379</v>
      </c>
      <c r="BM586" t="s">
        <v>11685</v>
      </c>
      <c r="BN586" t="s">
        <v>74</v>
      </c>
      <c r="BO586" t="s">
        <v>74</v>
      </c>
      <c r="BP586" t="s">
        <v>74</v>
      </c>
      <c r="BQ586" t="s">
        <v>74</v>
      </c>
      <c r="BR586" t="s">
        <v>103</v>
      </c>
      <c r="BS586" t="s">
        <v>11707</v>
      </c>
      <c r="BT586" t="str">
        <f>HYPERLINK("https%3A%2F%2Fwww.webofscience.com%2Fwos%2Fwoscc%2Ffull-record%2FWOS:000834630400094","View Full Record in Web of Science")</f>
        <v>View Full Record in Web of Science</v>
      </c>
    </row>
    <row r="587" spans="1:72" x14ac:dyDescent="0.15">
      <c r="A587" t="s">
        <v>72</v>
      </c>
      <c r="B587" t="s">
        <v>11708</v>
      </c>
      <c r="C587" t="s">
        <v>74</v>
      </c>
      <c r="D587" t="s">
        <v>74</v>
      </c>
      <c r="E587" t="s">
        <v>74</v>
      </c>
      <c r="F587" t="s">
        <v>11709</v>
      </c>
      <c r="G587" t="s">
        <v>74</v>
      </c>
      <c r="H587" t="s">
        <v>74</v>
      </c>
      <c r="I587" t="s">
        <v>11710</v>
      </c>
      <c r="J587" t="s">
        <v>7877</v>
      </c>
      <c r="K587" t="s">
        <v>74</v>
      </c>
      <c r="L587" t="s">
        <v>74</v>
      </c>
      <c r="M587" t="s">
        <v>78</v>
      </c>
      <c r="N587" t="s">
        <v>52</v>
      </c>
      <c r="O587" t="s">
        <v>74</v>
      </c>
      <c r="P587" t="s">
        <v>74</v>
      </c>
      <c r="Q587" t="s">
        <v>74</v>
      </c>
      <c r="R587" t="s">
        <v>74</v>
      </c>
      <c r="S587" t="s">
        <v>74</v>
      </c>
      <c r="T587" t="s">
        <v>74</v>
      </c>
      <c r="U587" t="s">
        <v>74</v>
      </c>
      <c r="V587" t="s">
        <v>74</v>
      </c>
      <c r="W587" t="s">
        <v>74</v>
      </c>
      <c r="X587" t="s">
        <v>74</v>
      </c>
      <c r="Y587" t="s">
        <v>74</v>
      </c>
      <c r="Z587" t="s">
        <v>11711</v>
      </c>
      <c r="AA587" t="s">
        <v>11712</v>
      </c>
      <c r="AB587" t="s">
        <v>74</v>
      </c>
      <c r="AC587" t="s">
        <v>11713</v>
      </c>
      <c r="AD587" t="s">
        <v>11714</v>
      </c>
      <c r="AE587" t="s">
        <v>11715</v>
      </c>
      <c r="AF587" t="s">
        <v>74</v>
      </c>
      <c r="AG587">
        <v>11</v>
      </c>
      <c r="AH587">
        <v>0</v>
      </c>
      <c r="AI587">
        <v>0</v>
      </c>
      <c r="AJ587">
        <v>0</v>
      </c>
      <c r="AK587">
        <v>0</v>
      </c>
      <c r="AL587" t="s">
        <v>231</v>
      </c>
      <c r="AM587" t="s">
        <v>232</v>
      </c>
      <c r="AN587" t="s">
        <v>233</v>
      </c>
      <c r="AO587" t="s">
        <v>7889</v>
      </c>
      <c r="AP587" t="s">
        <v>7890</v>
      </c>
      <c r="AQ587" t="s">
        <v>74</v>
      </c>
      <c r="AR587" t="s">
        <v>7891</v>
      </c>
      <c r="AS587" t="s">
        <v>7892</v>
      </c>
      <c r="AT587" t="s">
        <v>5386</v>
      </c>
      <c r="AU587">
        <v>2022</v>
      </c>
      <c r="AV587">
        <v>57</v>
      </c>
      <c r="AW587" t="s">
        <v>74</v>
      </c>
      <c r="AX587" t="s">
        <v>74</v>
      </c>
      <c r="AY587">
        <v>1</v>
      </c>
      <c r="AZ587" t="s">
        <v>74</v>
      </c>
      <c r="BA587" t="s">
        <v>74</v>
      </c>
      <c r="BB587" t="s">
        <v>74</v>
      </c>
      <c r="BC587" t="s">
        <v>74</v>
      </c>
      <c r="BD587" t="s">
        <v>74</v>
      </c>
      <c r="BE587" t="s">
        <v>74</v>
      </c>
      <c r="BF587" t="s">
        <v>74</v>
      </c>
      <c r="BG587" t="s">
        <v>74</v>
      </c>
      <c r="BH587" t="s">
        <v>74</v>
      </c>
      <c r="BI587">
        <v>1</v>
      </c>
      <c r="BJ587" t="s">
        <v>1379</v>
      </c>
      <c r="BK587" t="s">
        <v>100</v>
      </c>
      <c r="BL587" t="s">
        <v>1379</v>
      </c>
      <c r="BM587" t="s">
        <v>11685</v>
      </c>
      <c r="BN587" t="s">
        <v>74</v>
      </c>
      <c r="BO587" t="s">
        <v>74</v>
      </c>
      <c r="BP587" t="s">
        <v>74</v>
      </c>
      <c r="BQ587" t="s">
        <v>74</v>
      </c>
      <c r="BR587" t="s">
        <v>103</v>
      </c>
      <c r="BS587" t="s">
        <v>11716</v>
      </c>
      <c r="BT587" t="str">
        <f>HYPERLINK("https%3A%2F%2Fwww.webofscience.com%2Fwos%2Fwoscc%2Ffull-record%2FWOS:000834630400152","View Full Record in Web of Science")</f>
        <v>View Full Record in Web of Science</v>
      </c>
    </row>
    <row r="588" spans="1:72" x14ac:dyDescent="0.15">
      <c r="A588" t="s">
        <v>72</v>
      </c>
      <c r="B588" t="s">
        <v>11717</v>
      </c>
      <c r="C588" t="s">
        <v>74</v>
      </c>
      <c r="D588" t="s">
        <v>74</v>
      </c>
      <c r="E588" t="s">
        <v>74</v>
      </c>
      <c r="F588" t="s">
        <v>11718</v>
      </c>
      <c r="G588" t="s">
        <v>74</v>
      </c>
      <c r="H588" t="s">
        <v>74</v>
      </c>
      <c r="I588" t="s">
        <v>11719</v>
      </c>
      <c r="J588" t="s">
        <v>7877</v>
      </c>
      <c r="K588" t="s">
        <v>74</v>
      </c>
      <c r="L588" t="s">
        <v>74</v>
      </c>
      <c r="M588" t="s">
        <v>78</v>
      </c>
      <c r="N588" t="s">
        <v>52</v>
      </c>
      <c r="O588" t="s">
        <v>11674</v>
      </c>
      <c r="P588" t="s">
        <v>11675</v>
      </c>
      <c r="Q588" t="s">
        <v>11676</v>
      </c>
      <c r="R588" t="s">
        <v>74</v>
      </c>
      <c r="S588" t="s">
        <v>74</v>
      </c>
      <c r="T588" t="s">
        <v>74</v>
      </c>
      <c r="U588" t="s">
        <v>74</v>
      </c>
      <c r="V588" t="s">
        <v>74</v>
      </c>
      <c r="W588" t="s">
        <v>74</v>
      </c>
      <c r="X588" t="s">
        <v>74</v>
      </c>
      <c r="Y588" t="s">
        <v>74</v>
      </c>
      <c r="Z588" t="s">
        <v>11720</v>
      </c>
      <c r="AA588" t="s">
        <v>74</v>
      </c>
      <c r="AB588" t="s">
        <v>74</v>
      </c>
      <c r="AC588" t="s">
        <v>11721</v>
      </c>
      <c r="AD588" t="s">
        <v>11721</v>
      </c>
      <c r="AE588" t="s">
        <v>11722</v>
      </c>
      <c r="AF588" t="s">
        <v>74</v>
      </c>
      <c r="AG588">
        <v>0</v>
      </c>
      <c r="AH588">
        <v>0</v>
      </c>
      <c r="AI588">
        <v>0</v>
      </c>
      <c r="AJ588">
        <v>0</v>
      </c>
      <c r="AK588">
        <v>0</v>
      </c>
      <c r="AL588" t="s">
        <v>231</v>
      </c>
      <c r="AM588" t="s">
        <v>232</v>
      </c>
      <c r="AN588" t="s">
        <v>233</v>
      </c>
      <c r="AO588" t="s">
        <v>7889</v>
      </c>
      <c r="AP588" t="s">
        <v>7890</v>
      </c>
      <c r="AQ588" t="s">
        <v>74</v>
      </c>
      <c r="AR588" t="s">
        <v>7891</v>
      </c>
      <c r="AS588" t="s">
        <v>7892</v>
      </c>
      <c r="AT588" t="s">
        <v>5386</v>
      </c>
      <c r="AU588">
        <v>2022</v>
      </c>
      <c r="AV588">
        <v>57</v>
      </c>
      <c r="AW588" t="s">
        <v>74</v>
      </c>
      <c r="AX588" t="s">
        <v>74</v>
      </c>
      <c r="AY588">
        <v>1</v>
      </c>
      <c r="AZ588" t="s">
        <v>74</v>
      </c>
      <c r="BA588" t="s">
        <v>74</v>
      </c>
      <c r="BB588" t="s">
        <v>74</v>
      </c>
      <c r="BC588" t="s">
        <v>74</v>
      </c>
      <c r="BD588" t="s">
        <v>74</v>
      </c>
      <c r="BE588" t="s">
        <v>74</v>
      </c>
      <c r="BF588" t="s">
        <v>74</v>
      </c>
      <c r="BG588" t="s">
        <v>74</v>
      </c>
      <c r="BH588" t="s">
        <v>74</v>
      </c>
      <c r="BI588">
        <v>1</v>
      </c>
      <c r="BJ588" t="s">
        <v>1379</v>
      </c>
      <c r="BK588" t="s">
        <v>11684</v>
      </c>
      <c r="BL588" t="s">
        <v>1379</v>
      </c>
      <c r="BM588" t="s">
        <v>11685</v>
      </c>
      <c r="BN588" t="s">
        <v>74</v>
      </c>
      <c r="BO588" t="s">
        <v>74</v>
      </c>
      <c r="BP588" t="s">
        <v>74</v>
      </c>
      <c r="BQ588" t="s">
        <v>74</v>
      </c>
      <c r="BR588" t="s">
        <v>103</v>
      </c>
      <c r="BS588" t="s">
        <v>11723</v>
      </c>
      <c r="BT588" t="str">
        <f>HYPERLINK("https%3A%2F%2Fwww.webofscience.com%2Fwos%2Fwoscc%2Ffull-record%2FWOS:000834630400162","View Full Record in Web of Science")</f>
        <v>View Full Record in Web of Science</v>
      </c>
    </row>
    <row r="589" spans="1:72" x14ac:dyDescent="0.15">
      <c r="A589" t="s">
        <v>72</v>
      </c>
      <c r="B589" t="s">
        <v>11724</v>
      </c>
      <c r="C589" t="s">
        <v>74</v>
      </c>
      <c r="D589" t="s">
        <v>74</v>
      </c>
      <c r="E589" t="s">
        <v>74</v>
      </c>
      <c r="F589" t="s">
        <v>11725</v>
      </c>
      <c r="G589" t="s">
        <v>74</v>
      </c>
      <c r="H589" t="s">
        <v>74</v>
      </c>
      <c r="I589" t="s">
        <v>11726</v>
      </c>
      <c r="J589" t="s">
        <v>7877</v>
      </c>
      <c r="K589" t="s">
        <v>74</v>
      </c>
      <c r="L589" t="s">
        <v>74</v>
      </c>
      <c r="M589" t="s">
        <v>78</v>
      </c>
      <c r="N589" t="s">
        <v>52</v>
      </c>
      <c r="O589" t="s">
        <v>74</v>
      </c>
      <c r="P589" t="s">
        <v>74</v>
      </c>
      <c r="Q589" t="s">
        <v>74</v>
      </c>
      <c r="R589" t="s">
        <v>74</v>
      </c>
      <c r="S589" t="s">
        <v>74</v>
      </c>
      <c r="T589" t="s">
        <v>74</v>
      </c>
      <c r="U589" t="s">
        <v>74</v>
      </c>
      <c r="V589" t="s">
        <v>74</v>
      </c>
      <c r="W589" t="s">
        <v>11727</v>
      </c>
      <c r="X589" t="s">
        <v>11728</v>
      </c>
      <c r="Y589" t="s">
        <v>74</v>
      </c>
      <c r="Z589" t="s">
        <v>11729</v>
      </c>
      <c r="AA589" t="s">
        <v>74</v>
      </c>
      <c r="AB589" t="s">
        <v>74</v>
      </c>
      <c r="AC589" t="s">
        <v>11730</v>
      </c>
      <c r="AD589" t="s">
        <v>11730</v>
      </c>
      <c r="AE589" t="s">
        <v>11731</v>
      </c>
      <c r="AF589" t="s">
        <v>74</v>
      </c>
      <c r="AG589">
        <v>5</v>
      </c>
      <c r="AH589">
        <v>0</v>
      </c>
      <c r="AI589">
        <v>0</v>
      </c>
      <c r="AJ589">
        <v>0</v>
      </c>
      <c r="AK589">
        <v>0</v>
      </c>
      <c r="AL589" t="s">
        <v>231</v>
      </c>
      <c r="AM589" t="s">
        <v>232</v>
      </c>
      <c r="AN589" t="s">
        <v>233</v>
      </c>
      <c r="AO589" t="s">
        <v>7889</v>
      </c>
      <c r="AP589" t="s">
        <v>7890</v>
      </c>
      <c r="AQ589" t="s">
        <v>74</v>
      </c>
      <c r="AR589" t="s">
        <v>7891</v>
      </c>
      <c r="AS589" t="s">
        <v>7892</v>
      </c>
      <c r="AT589" t="s">
        <v>5386</v>
      </c>
      <c r="AU589">
        <v>2022</v>
      </c>
      <c r="AV589">
        <v>57</v>
      </c>
      <c r="AW589" t="s">
        <v>74</v>
      </c>
      <c r="AX589" t="s">
        <v>74</v>
      </c>
      <c r="AY589">
        <v>1</v>
      </c>
      <c r="AZ589" t="s">
        <v>74</v>
      </c>
      <c r="BA589" t="s">
        <v>74</v>
      </c>
      <c r="BB589" t="s">
        <v>74</v>
      </c>
      <c r="BC589" t="s">
        <v>74</v>
      </c>
      <c r="BD589" t="s">
        <v>74</v>
      </c>
      <c r="BE589" t="s">
        <v>74</v>
      </c>
      <c r="BF589" t="s">
        <v>74</v>
      </c>
      <c r="BG589" t="s">
        <v>74</v>
      </c>
      <c r="BH589" t="s">
        <v>74</v>
      </c>
      <c r="BI589">
        <v>1</v>
      </c>
      <c r="BJ589" t="s">
        <v>1379</v>
      </c>
      <c r="BK589" t="s">
        <v>100</v>
      </c>
      <c r="BL589" t="s">
        <v>1379</v>
      </c>
      <c r="BM589" t="s">
        <v>11685</v>
      </c>
      <c r="BN589" t="s">
        <v>74</v>
      </c>
      <c r="BO589" t="s">
        <v>74</v>
      </c>
      <c r="BP589" t="s">
        <v>74</v>
      </c>
      <c r="BQ589" t="s">
        <v>74</v>
      </c>
      <c r="BR589" t="s">
        <v>103</v>
      </c>
      <c r="BS589" t="s">
        <v>11732</v>
      </c>
      <c r="BT589" t="str">
        <f>HYPERLINK("https%3A%2F%2Fwww.webofscience.com%2Fwos%2Fwoscc%2Ffull-record%2FWOS:000834630400360","View Full Record in Web of Science")</f>
        <v>View Full Record in Web of Science</v>
      </c>
    </row>
    <row r="590" spans="1:72" x14ac:dyDescent="0.15">
      <c r="A590" t="s">
        <v>72</v>
      </c>
      <c r="B590" t="s">
        <v>11733</v>
      </c>
      <c r="C590" t="s">
        <v>74</v>
      </c>
      <c r="D590" t="s">
        <v>74</v>
      </c>
      <c r="E590" t="s">
        <v>74</v>
      </c>
      <c r="F590" t="s">
        <v>11734</v>
      </c>
      <c r="G590" t="s">
        <v>74</v>
      </c>
      <c r="H590" t="s">
        <v>74</v>
      </c>
      <c r="I590" t="s">
        <v>11735</v>
      </c>
      <c r="J590" t="s">
        <v>7877</v>
      </c>
      <c r="K590" t="s">
        <v>74</v>
      </c>
      <c r="L590" t="s">
        <v>74</v>
      </c>
      <c r="M590" t="s">
        <v>78</v>
      </c>
      <c r="N590" t="s">
        <v>52</v>
      </c>
      <c r="O590" t="s">
        <v>11674</v>
      </c>
      <c r="P590" t="s">
        <v>11675</v>
      </c>
      <c r="Q590" t="s">
        <v>11676</v>
      </c>
      <c r="R590" t="s">
        <v>74</v>
      </c>
      <c r="S590" t="s">
        <v>74</v>
      </c>
      <c r="T590" t="s">
        <v>74</v>
      </c>
      <c r="U590" t="s">
        <v>11736</v>
      </c>
      <c r="V590" t="s">
        <v>74</v>
      </c>
      <c r="W590" t="s">
        <v>74</v>
      </c>
      <c r="X590" t="s">
        <v>74</v>
      </c>
      <c r="Y590" t="s">
        <v>74</v>
      </c>
      <c r="Z590" t="s">
        <v>11737</v>
      </c>
      <c r="AA590" t="s">
        <v>74</v>
      </c>
      <c r="AB590" t="s">
        <v>74</v>
      </c>
      <c r="AC590" t="s">
        <v>74</v>
      </c>
      <c r="AD590" t="s">
        <v>74</v>
      </c>
      <c r="AE590" t="s">
        <v>74</v>
      </c>
      <c r="AF590" t="s">
        <v>74</v>
      </c>
      <c r="AG590">
        <v>10</v>
      </c>
      <c r="AH590">
        <v>0</v>
      </c>
      <c r="AI590">
        <v>0</v>
      </c>
      <c r="AJ590">
        <v>0</v>
      </c>
      <c r="AK590">
        <v>0</v>
      </c>
      <c r="AL590" t="s">
        <v>231</v>
      </c>
      <c r="AM590" t="s">
        <v>232</v>
      </c>
      <c r="AN590" t="s">
        <v>233</v>
      </c>
      <c r="AO590" t="s">
        <v>7889</v>
      </c>
      <c r="AP590" t="s">
        <v>7890</v>
      </c>
      <c r="AQ590" t="s">
        <v>74</v>
      </c>
      <c r="AR590" t="s">
        <v>7891</v>
      </c>
      <c r="AS590" t="s">
        <v>7892</v>
      </c>
      <c r="AT590" t="s">
        <v>5386</v>
      </c>
      <c r="AU590">
        <v>2022</v>
      </c>
      <c r="AV590">
        <v>57</v>
      </c>
      <c r="AW590" t="s">
        <v>74</v>
      </c>
      <c r="AX590" t="s">
        <v>74</v>
      </c>
      <c r="AY590">
        <v>1</v>
      </c>
      <c r="AZ590" t="s">
        <v>74</v>
      </c>
      <c r="BA590" t="s">
        <v>74</v>
      </c>
      <c r="BB590" t="s">
        <v>74</v>
      </c>
      <c r="BC590" t="s">
        <v>74</v>
      </c>
      <c r="BD590" t="s">
        <v>74</v>
      </c>
      <c r="BE590" t="s">
        <v>74</v>
      </c>
      <c r="BF590" t="s">
        <v>74</v>
      </c>
      <c r="BG590" t="s">
        <v>74</v>
      </c>
      <c r="BH590" t="s">
        <v>74</v>
      </c>
      <c r="BI590">
        <v>1</v>
      </c>
      <c r="BJ590" t="s">
        <v>1379</v>
      </c>
      <c r="BK590" t="s">
        <v>11684</v>
      </c>
      <c r="BL590" t="s">
        <v>1379</v>
      </c>
      <c r="BM590" t="s">
        <v>11685</v>
      </c>
      <c r="BN590" t="s">
        <v>74</v>
      </c>
      <c r="BO590" t="s">
        <v>74</v>
      </c>
      <c r="BP590" t="s">
        <v>74</v>
      </c>
      <c r="BQ590" t="s">
        <v>74</v>
      </c>
      <c r="BR590" t="s">
        <v>103</v>
      </c>
      <c r="BS590" t="s">
        <v>11738</v>
      </c>
      <c r="BT590" t="str">
        <f>HYPERLINK("https%3A%2F%2Fwww.webofscience.com%2Fwos%2Fwoscc%2Ffull-record%2FWOS:000834630400403","View Full Record in Web of Science")</f>
        <v>View Full Record in Web of Science</v>
      </c>
    </row>
    <row r="591" spans="1:72" x14ac:dyDescent="0.15">
      <c r="A591" t="s">
        <v>72</v>
      </c>
      <c r="B591" t="s">
        <v>11739</v>
      </c>
      <c r="C591" t="s">
        <v>74</v>
      </c>
      <c r="D591" t="s">
        <v>74</v>
      </c>
      <c r="E591" t="s">
        <v>74</v>
      </c>
      <c r="F591" t="s">
        <v>11740</v>
      </c>
      <c r="G591" t="s">
        <v>74</v>
      </c>
      <c r="H591" t="s">
        <v>74</v>
      </c>
      <c r="I591" t="s">
        <v>11741</v>
      </c>
      <c r="J591" t="s">
        <v>7877</v>
      </c>
      <c r="K591" t="s">
        <v>74</v>
      </c>
      <c r="L591" t="s">
        <v>74</v>
      </c>
      <c r="M591" t="s">
        <v>78</v>
      </c>
      <c r="N591" t="s">
        <v>52</v>
      </c>
      <c r="O591" t="s">
        <v>74</v>
      </c>
      <c r="P591" t="s">
        <v>74</v>
      </c>
      <c r="Q591" t="s">
        <v>74</v>
      </c>
      <c r="R591" t="s">
        <v>74</v>
      </c>
      <c r="S591" t="s">
        <v>74</v>
      </c>
      <c r="T591" t="s">
        <v>74</v>
      </c>
      <c r="U591" t="s">
        <v>74</v>
      </c>
      <c r="V591" t="s">
        <v>74</v>
      </c>
      <c r="W591" t="s">
        <v>74</v>
      </c>
      <c r="X591" t="s">
        <v>74</v>
      </c>
      <c r="Y591" t="s">
        <v>74</v>
      </c>
      <c r="Z591" t="s">
        <v>11742</v>
      </c>
      <c r="AA591" t="s">
        <v>74</v>
      </c>
      <c r="AB591" t="s">
        <v>74</v>
      </c>
      <c r="AC591" t="s">
        <v>11743</v>
      </c>
      <c r="AD591" t="s">
        <v>11744</v>
      </c>
      <c r="AE591" t="s">
        <v>11745</v>
      </c>
      <c r="AF591" t="s">
        <v>74</v>
      </c>
      <c r="AG591">
        <v>11</v>
      </c>
      <c r="AH591">
        <v>0</v>
      </c>
      <c r="AI591">
        <v>0</v>
      </c>
      <c r="AJ591">
        <v>0</v>
      </c>
      <c r="AK591">
        <v>0</v>
      </c>
      <c r="AL591" t="s">
        <v>231</v>
      </c>
      <c r="AM591" t="s">
        <v>232</v>
      </c>
      <c r="AN591" t="s">
        <v>233</v>
      </c>
      <c r="AO591" t="s">
        <v>7889</v>
      </c>
      <c r="AP591" t="s">
        <v>7890</v>
      </c>
      <c r="AQ591" t="s">
        <v>74</v>
      </c>
      <c r="AR591" t="s">
        <v>7891</v>
      </c>
      <c r="AS591" t="s">
        <v>7892</v>
      </c>
      <c r="AT591" t="s">
        <v>5386</v>
      </c>
      <c r="AU591">
        <v>2022</v>
      </c>
      <c r="AV591">
        <v>57</v>
      </c>
      <c r="AW591" t="s">
        <v>74</v>
      </c>
      <c r="AX591" t="s">
        <v>74</v>
      </c>
      <c r="AY591">
        <v>1</v>
      </c>
      <c r="AZ591" t="s">
        <v>74</v>
      </c>
      <c r="BA591" t="s">
        <v>74</v>
      </c>
      <c r="BB591" t="s">
        <v>74</v>
      </c>
      <c r="BC591" t="s">
        <v>74</v>
      </c>
      <c r="BD591" t="s">
        <v>74</v>
      </c>
      <c r="BE591" t="s">
        <v>74</v>
      </c>
      <c r="BF591" t="s">
        <v>74</v>
      </c>
      <c r="BG591" t="s">
        <v>74</v>
      </c>
      <c r="BH591" t="s">
        <v>74</v>
      </c>
      <c r="BI591">
        <v>1</v>
      </c>
      <c r="BJ591" t="s">
        <v>1379</v>
      </c>
      <c r="BK591" t="s">
        <v>100</v>
      </c>
      <c r="BL591" t="s">
        <v>1379</v>
      </c>
      <c r="BM591" t="s">
        <v>11685</v>
      </c>
      <c r="BN591" t="s">
        <v>74</v>
      </c>
      <c r="BO591" t="s">
        <v>74</v>
      </c>
      <c r="BP591" t="s">
        <v>74</v>
      </c>
      <c r="BQ591" t="s">
        <v>74</v>
      </c>
      <c r="BR591" t="s">
        <v>103</v>
      </c>
      <c r="BS591" t="s">
        <v>11746</v>
      </c>
      <c r="BT591" t="str">
        <f>HYPERLINK("https%3A%2F%2Fwww.webofscience.com%2Fwos%2Fwoscc%2Ffull-record%2FWOS:000834630400405","View Full Record in Web of Science")</f>
        <v>View Full Record in Web of Science</v>
      </c>
    </row>
    <row r="592" spans="1:72" x14ac:dyDescent="0.15">
      <c r="A592" t="s">
        <v>72</v>
      </c>
      <c r="B592" t="s">
        <v>11747</v>
      </c>
      <c r="C592" t="s">
        <v>74</v>
      </c>
      <c r="D592" t="s">
        <v>74</v>
      </c>
      <c r="E592" t="s">
        <v>74</v>
      </c>
      <c r="F592" t="s">
        <v>11748</v>
      </c>
      <c r="G592" t="s">
        <v>74</v>
      </c>
      <c r="H592" t="s">
        <v>74</v>
      </c>
      <c r="I592" t="s">
        <v>11749</v>
      </c>
      <c r="J592" t="s">
        <v>7877</v>
      </c>
      <c r="K592" t="s">
        <v>74</v>
      </c>
      <c r="L592" t="s">
        <v>74</v>
      </c>
      <c r="M592" t="s">
        <v>78</v>
      </c>
      <c r="N592" t="s">
        <v>52</v>
      </c>
      <c r="O592" t="s">
        <v>74</v>
      </c>
      <c r="P592" t="s">
        <v>74</v>
      </c>
      <c r="Q592" t="s">
        <v>74</v>
      </c>
      <c r="R592" t="s">
        <v>74</v>
      </c>
      <c r="S592" t="s">
        <v>74</v>
      </c>
      <c r="T592" t="s">
        <v>74</v>
      </c>
      <c r="U592" t="s">
        <v>74</v>
      </c>
      <c r="V592" t="s">
        <v>74</v>
      </c>
      <c r="W592" t="s">
        <v>74</v>
      </c>
      <c r="X592" t="s">
        <v>74</v>
      </c>
      <c r="Y592" t="s">
        <v>74</v>
      </c>
      <c r="Z592" t="s">
        <v>11750</v>
      </c>
      <c r="AA592" t="s">
        <v>74</v>
      </c>
      <c r="AB592" t="s">
        <v>74</v>
      </c>
      <c r="AC592" t="s">
        <v>74</v>
      </c>
      <c r="AD592" t="s">
        <v>74</v>
      </c>
      <c r="AE592" t="s">
        <v>74</v>
      </c>
      <c r="AF592" t="s">
        <v>74</v>
      </c>
      <c r="AG592">
        <v>4</v>
      </c>
      <c r="AH592">
        <v>0</v>
      </c>
      <c r="AI592">
        <v>0</v>
      </c>
      <c r="AJ592">
        <v>0</v>
      </c>
      <c r="AK592">
        <v>0</v>
      </c>
      <c r="AL592" t="s">
        <v>231</v>
      </c>
      <c r="AM592" t="s">
        <v>232</v>
      </c>
      <c r="AN592" t="s">
        <v>233</v>
      </c>
      <c r="AO592" t="s">
        <v>7889</v>
      </c>
      <c r="AP592" t="s">
        <v>7890</v>
      </c>
      <c r="AQ592" t="s">
        <v>74</v>
      </c>
      <c r="AR592" t="s">
        <v>7891</v>
      </c>
      <c r="AS592" t="s">
        <v>7892</v>
      </c>
      <c r="AT592" t="s">
        <v>5386</v>
      </c>
      <c r="AU592">
        <v>2022</v>
      </c>
      <c r="AV592">
        <v>57</v>
      </c>
      <c r="AW592" t="s">
        <v>74</v>
      </c>
      <c r="AX592" t="s">
        <v>74</v>
      </c>
      <c r="AY592">
        <v>1</v>
      </c>
      <c r="AZ592" t="s">
        <v>74</v>
      </c>
      <c r="BA592" t="s">
        <v>74</v>
      </c>
      <c r="BB592" t="s">
        <v>74</v>
      </c>
      <c r="BC592" t="s">
        <v>74</v>
      </c>
      <c r="BD592" t="s">
        <v>74</v>
      </c>
      <c r="BE592" t="s">
        <v>74</v>
      </c>
      <c r="BF592" t="s">
        <v>74</v>
      </c>
      <c r="BG592" t="s">
        <v>74</v>
      </c>
      <c r="BH592" t="s">
        <v>74</v>
      </c>
      <c r="BI592">
        <v>1</v>
      </c>
      <c r="BJ592" t="s">
        <v>1379</v>
      </c>
      <c r="BK592" t="s">
        <v>100</v>
      </c>
      <c r="BL592" t="s">
        <v>1379</v>
      </c>
      <c r="BM592" t="s">
        <v>11685</v>
      </c>
      <c r="BN592" t="s">
        <v>74</v>
      </c>
      <c r="BO592" t="s">
        <v>74</v>
      </c>
      <c r="BP592" t="s">
        <v>74</v>
      </c>
      <c r="BQ592" t="s">
        <v>74</v>
      </c>
      <c r="BR592" t="s">
        <v>103</v>
      </c>
      <c r="BS592" t="s">
        <v>11751</v>
      </c>
      <c r="BT592" t="str">
        <f>HYPERLINK("https%3A%2F%2Fwww.webofscience.com%2Fwos%2Fwoscc%2Ffull-record%2FWOS:000834630400416","View Full Record in Web of Science")</f>
        <v>View Full Record in Web of Science</v>
      </c>
    </row>
    <row r="593" spans="1:72" x14ac:dyDescent="0.15">
      <c r="A593" t="s">
        <v>72</v>
      </c>
      <c r="B593" t="s">
        <v>11752</v>
      </c>
      <c r="C593" t="s">
        <v>74</v>
      </c>
      <c r="D593" t="s">
        <v>74</v>
      </c>
      <c r="E593" t="s">
        <v>74</v>
      </c>
      <c r="F593" t="s">
        <v>11753</v>
      </c>
      <c r="G593" t="s">
        <v>74</v>
      </c>
      <c r="H593" t="s">
        <v>74</v>
      </c>
      <c r="I593" t="s">
        <v>11754</v>
      </c>
      <c r="J593" t="s">
        <v>7877</v>
      </c>
      <c r="K593" t="s">
        <v>74</v>
      </c>
      <c r="L593" t="s">
        <v>74</v>
      </c>
      <c r="M593" t="s">
        <v>78</v>
      </c>
      <c r="N593" t="s">
        <v>52</v>
      </c>
      <c r="O593" t="s">
        <v>11674</v>
      </c>
      <c r="P593" t="s">
        <v>11675</v>
      </c>
      <c r="Q593" t="s">
        <v>11676</v>
      </c>
      <c r="R593" t="s">
        <v>74</v>
      </c>
      <c r="S593" t="s">
        <v>74</v>
      </c>
      <c r="T593" t="s">
        <v>74</v>
      </c>
      <c r="U593" t="s">
        <v>74</v>
      </c>
      <c r="V593" t="s">
        <v>74</v>
      </c>
      <c r="W593" t="s">
        <v>11755</v>
      </c>
      <c r="X593" t="s">
        <v>11756</v>
      </c>
      <c r="Y593" t="s">
        <v>74</v>
      </c>
      <c r="Z593" t="s">
        <v>11757</v>
      </c>
      <c r="AA593" t="s">
        <v>11758</v>
      </c>
      <c r="AB593" t="s">
        <v>11759</v>
      </c>
      <c r="AC593" t="s">
        <v>74</v>
      </c>
      <c r="AD593" t="s">
        <v>74</v>
      </c>
      <c r="AE593" t="s">
        <v>74</v>
      </c>
      <c r="AF593" t="s">
        <v>74</v>
      </c>
      <c r="AG593">
        <v>1</v>
      </c>
      <c r="AH593">
        <v>0</v>
      </c>
      <c r="AI593">
        <v>0</v>
      </c>
      <c r="AJ593">
        <v>0</v>
      </c>
      <c r="AK593">
        <v>0</v>
      </c>
      <c r="AL593" t="s">
        <v>231</v>
      </c>
      <c r="AM593" t="s">
        <v>232</v>
      </c>
      <c r="AN593" t="s">
        <v>233</v>
      </c>
      <c r="AO593" t="s">
        <v>7889</v>
      </c>
      <c r="AP593" t="s">
        <v>7890</v>
      </c>
      <c r="AQ593" t="s">
        <v>74</v>
      </c>
      <c r="AR593" t="s">
        <v>7891</v>
      </c>
      <c r="AS593" t="s">
        <v>7892</v>
      </c>
      <c r="AT593" t="s">
        <v>5386</v>
      </c>
      <c r="AU593">
        <v>2022</v>
      </c>
      <c r="AV593">
        <v>57</v>
      </c>
      <c r="AW593" t="s">
        <v>74</v>
      </c>
      <c r="AX593" t="s">
        <v>74</v>
      </c>
      <c r="AY593">
        <v>1</v>
      </c>
      <c r="AZ593" t="s">
        <v>74</v>
      </c>
      <c r="BA593" t="s">
        <v>74</v>
      </c>
      <c r="BB593" t="s">
        <v>74</v>
      </c>
      <c r="BC593" t="s">
        <v>74</v>
      </c>
      <c r="BD593" t="s">
        <v>74</v>
      </c>
      <c r="BE593" t="s">
        <v>74</v>
      </c>
      <c r="BF593" t="s">
        <v>74</v>
      </c>
      <c r="BG593" t="s">
        <v>74</v>
      </c>
      <c r="BH593" t="s">
        <v>74</v>
      </c>
      <c r="BI593">
        <v>1</v>
      </c>
      <c r="BJ593" t="s">
        <v>1379</v>
      </c>
      <c r="BK593" t="s">
        <v>11684</v>
      </c>
      <c r="BL593" t="s">
        <v>1379</v>
      </c>
      <c r="BM593" t="s">
        <v>11685</v>
      </c>
      <c r="BN593" t="s">
        <v>74</v>
      </c>
      <c r="BO593" t="s">
        <v>74</v>
      </c>
      <c r="BP593" t="s">
        <v>74</v>
      </c>
      <c r="BQ593" t="s">
        <v>74</v>
      </c>
      <c r="BR593" t="s">
        <v>103</v>
      </c>
      <c r="BS593" t="s">
        <v>11760</v>
      </c>
      <c r="BT593" t="str">
        <f>HYPERLINK("https%3A%2F%2Fwww.webofscience.com%2Fwos%2Fwoscc%2Ffull-record%2FWOS:000834630400473","View Full Record in Web of Science")</f>
        <v>View Full Record in Web of Science</v>
      </c>
    </row>
    <row r="594" spans="1:72" x14ac:dyDescent="0.15">
      <c r="A594" t="s">
        <v>72</v>
      </c>
      <c r="B594" t="s">
        <v>11761</v>
      </c>
      <c r="C594" t="s">
        <v>74</v>
      </c>
      <c r="D594" t="s">
        <v>74</v>
      </c>
      <c r="E594" t="s">
        <v>74</v>
      </c>
      <c r="F594" t="s">
        <v>11762</v>
      </c>
      <c r="G594" t="s">
        <v>74</v>
      </c>
      <c r="H594" t="s">
        <v>74</v>
      </c>
      <c r="I594" t="s">
        <v>11763</v>
      </c>
      <c r="J594" t="s">
        <v>137</v>
      </c>
      <c r="K594" t="s">
        <v>74</v>
      </c>
      <c r="L594" t="s">
        <v>74</v>
      </c>
      <c r="M594" t="s">
        <v>78</v>
      </c>
      <c r="N594" t="s">
        <v>79</v>
      </c>
      <c r="O594" t="s">
        <v>74</v>
      </c>
      <c r="P594" t="s">
        <v>74</v>
      </c>
      <c r="Q594" t="s">
        <v>74</v>
      </c>
      <c r="R594" t="s">
        <v>74</v>
      </c>
      <c r="S594" t="s">
        <v>74</v>
      </c>
      <c r="T594" t="s">
        <v>74</v>
      </c>
      <c r="U594" t="s">
        <v>11764</v>
      </c>
      <c r="V594" t="s">
        <v>11765</v>
      </c>
      <c r="W594" t="s">
        <v>11766</v>
      </c>
      <c r="X594" t="s">
        <v>11767</v>
      </c>
      <c r="Y594" t="s">
        <v>11768</v>
      </c>
      <c r="Z594" t="s">
        <v>11769</v>
      </c>
      <c r="AA594" t="s">
        <v>11770</v>
      </c>
      <c r="AB594" t="s">
        <v>11771</v>
      </c>
      <c r="AC594" t="s">
        <v>11772</v>
      </c>
      <c r="AD594" t="s">
        <v>11773</v>
      </c>
      <c r="AE594" t="s">
        <v>11774</v>
      </c>
      <c r="AF594" t="s">
        <v>74</v>
      </c>
      <c r="AG594">
        <v>108</v>
      </c>
      <c r="AH594">
        <v>10</v>
      </c>
      <c r="AI594">
        <v>12</v>
      </c>
      <c r="AJ594">
        <v>7</v>
      </c>
      <c r="AK594">
        <v>22</v>
      </c>
      <c r="AL594" t="s">
        <v>149</v>
      </c>
      <c r="AM594" t="s">
        <v>150</v>
      </c>
      <c r="AN594" t="s">
        <v>151</v>
      </c>
      <c r="AO594" t="s">
        <v>74</v>
      </c>
      <c r="AP594" t="s">
        <v>152</v>
      </c>
      <c r="AQ594" t="s">
        <v>74</v>
      </c>
      <c r="AR594" t="s">
        <v>153</v>
      </c>
      <c r="AS594" t="s">
        <v>154</v>
      </c>
      <c r="AT594" t="s">
        <v>11575</v>
      </c>
      <c r="AU594">
        <v>2022</v>
      </c>
      <c r="AV594">
        <v>13</v>
      </c>
      <c r="AW594">
        <v>1</v>
      </c>
      <c r="AX594" t="s">
        <v>74</v>
      </c>
      <c r="AY594" t="s">
        <v>74</v>
      </c>
      <c r="AZ594" t="s">
        <v>74</v>
      </c>
      <c r="BA594" t="s">
        <v>74</v>
      </c>
      <c r="BB594" t="s">
        <v>74</v>
      </c>
      <c r="BC594" t="s">
        <v>74</v>
      </c>
      <c r="BD594">
        <v>4437</v>
      </c>
      <c r="BE594" t="s">
        <v>11775</v>
      </c>
      <c r="BF594" t="str">
        <f>HYPERLINK("http://dx.doi.org/10.1038/s41467-022-31903-2","http://dx.doi.org/10.1038/s41467-022-31903-2")</f>
        <v>http://dx.doi.org/10.1038/s41467-022-31903-2</v>
      </c>
      <c r="BG594" t="s">
        <v>74</v>
      </c>
      <c r="BH594" t="s">
        <v>74</v>
      </c>
      <c r="BI594">
        <v>18</v>
      </c>
      <c r="BJ594" t="s">
        <v>156</v>
      </c>
      <c r="BK594" t="s">
        <v>100</v>
      </c>
      <c r="BL594" t="s">
        <v>157</v>
      </c>
      <c r="BM594" t="s">
        <v>11776</v>
      </c>
      <c r="BN594">
        <v>35915061</v>
      </c>
      <c r="BO594" t="s">
        <v>159</v>
      </c>
      <c r="BP594" t="s">
        <v>74</v>
      </c>
      <c r="BQ594" t="s">
        <v>74</v>
      </c>
      <c r="BR594" t="s">
        <v>103</v>
      </c>
      <c r="BS594" t="s">
        <v>11777</v>
      </c>
      <c r="BT594" t="str">
        <f>HYPERLINK("https%3A%2F%2Fwww.webofscience.com%2Fwos%2Fwoscc%2Ffull-record%2FWOS:000836428700009","View Full Record in Web of Science")</f>
        <v>View Full Record in Web of Science</v>
      </c>
    </row>
    <row r="595" spans="1:72" x14ac:dyDescent="0.15">
      <c r="A595" t="s">
        <v>72</v>
      </c>
      <c r="B595" t="s">
        <v>11778</v>
      </c>
      <c r="C595" t="s">
        <v>74</v>
      </c>
      <c r="D595" t="s">
        <v>74</v>
      </c>
      <c r="E595" t="s">
        <v>74</v>
      </c>
      <c r="F595" t="s">
        <v>11779</v>
      </c>
      <c r="G595" t="s">
        <v>74</v>
      </c>
      <c r="H595" t="s">
        <v>74</v>
      </c>
      <c r="I595" t="s">
        <v>11780</v>
      </c>
      <c r="J595" t="s">
        <v>6396</v>
      </c>
      <c r="K595" t="s">
        <v>74</v>
      </c>
      <c r="L595" t="s">
        <v>74</v>
      </c>
      <c r="M595" t="s">
        <v>78</v>
      </c>
      <c r="N595" t="s">
        <v>79</v>
      </c>
      <c r="O595" t="s">
        <v>74</v>
      </c>
      <c r="P595" t="s">
        <v>74</v>
      </c>
      <c r="Q595" t="s">
        <v>74</v>
      </c>
      <c r="R595" t="s">
        <v>74</v>
      </c>
      <c r="S595" t="s">
        <v>74</v>
      </c>
      <c r="T595" t="s">
        <v>11781</v>
      </c>
      <c r="U595" t="s">
        <v>11782</v>
      </c>
      <c r="V595" t="s">
        <v>11783</v>
      </c>
      <c r="W595" t="s">
        <v>11784</v>
      </c>
      <c r="X595" t="s">
        <v>11785</v>
      </c>
      <c r="Y595" t="s">
        <v>11786</v>
      </c>
      <c r="Z595" t="s">
        <v>11787</v>
      </c>
      <c r="AA595" t="s">
        <v>11788</v>
      </c>
      <c r="AB595" t="s">
        <v>11789</v>
      </c>
      <c r="AC595" t="s">
        <v>11790</v>
      </c>
      <c r="AD595" t="s">
        <v>11791</v>
      </c>
      <c r="AE595" t="s">
        <v>11792</v>
      </c>
      <c r="AF595" t="s">
        <v>74</v>
      </c>
      <c r="AG595">
        <v>60</v>
      </c>
      <c r="AH595">
        <v>1</v>
      </c>
      <c r="AI595">
        <v>2</v>
      </c>
      <c r="AJ595">
        <v>4</v>
      </c>
      <c r="AK595">
        <v>24</v>
      </c>
      <c r="AL595" t="s">
        <v>946</v>
      </c>
      <c r="AM595" t="s">
        <v>207</v>
      </c>
      <c r="AN595" t="s">
        <v>947</v>
      </c>
      <c r="AO595" t="s">
        <v>6408</v>
      </c>
      <c r="AP595" t="s">
        <v>6409</v>
      </c>
      <c r="AQ595" t="s">
        <v>74</v>
      </c>
      <c r="AR595" t="s">
        <v>6410</v>
      </c>
      <c r="AS595" t="s">
        <v>6411</v>
      </c>
      <c r="AT595" t="s">
        <v>5386</v>
      </c>
      <c r="AU595">
        <v>2022</v>
      </c>
      <c r="AV595">
        <v>36</v>
      </c>
      <c r="AW595">
        <v>8</v>
      </c>
      <c r="AX595" t="s">
        <v>74</v>
      </c>
      <c r="AY595" t="s">
        <v>74</v>
      </c>
      <c r="AZ595" t="s">
        <v>74</v>
      </c>
      <c r="BA595" t="s">
        <v>74</v>
      </c>
      <c r="BB595" t="s">
        <v>74</v>
      </c>
      <c r="BC595" t="s">
        <v>74</v>
      </c>
      <c r="BD595" t="s">
        <v>11793</v>
      </c>
      <c r="BE595" t="s">
        <v>11794</v>
      </c>
      <c r="BF595" t="str">
        <f>HYPERLINK("http://dx.doi.org/10.1029/2021GB007223","http://dx.doi.org/10.1029/2021GB007223")</f>
        <v>http://dx.doi.org/10.1029/2021GB007223</v>
      </c>
      <c r="BG595" t="s">
        <v>74</v>
      </c>
      <c r="BH595" t="s">
        <v>74</v>
      </c>
      <c r="BI595">
        <v>18</v>
      </c>
      <c r="BJ595" t="s">
        <v>1010</v>
      </c>
      <c r="BK595" t="s">
        <v>100</v>
      </c>
      <c r="BL595" t="s">
        <v>1011</v>
      </c>
      <c r="BM595" t="s">
        <v>11795</v>
      </c>
      <c r="BN595" t="s">
        <v>74</v>
      </c>
      <c r="BO595" t="s">
        <v>74</v>
      </c>
      <c r="BP595" t="s">
        <v>74</v>
      </c>
      <c r="BQ595" t="s">
        <v>74</v>
      </c>
      <c r="BR595" t="s">
        <v>103</v>
      </c>
      <c r="BS595" t="s">
        <v>11796</v>
      </c>
      <c r="BT595" t="str">
        <f>HYPERLINK("https%3A%2F%2Fwww.webofscience.com%2Fwos%2Fwoscc%2Ffull-record%2FWOS:000841310500001","View Full Record in Web of Science")</f>
        <v>View Full Record in Web of Science</v>
      </c>
    </row>
    <row r="596" spans="1:72" x14ac:dyDescent="0.15">
      <c r="A596" t="s">
        <v>72</v>
      </c>
      <c r="B596" t="s">
        <v>11797</v>
      </c>
      <c r="C596" t="s">
        <v>74</v>
      </c>
      <c r="D596" t="s">
        <v>74</v>
      </c>
      <c r="E596" t="s">
        <v>74</v>
      </c>
      <c r="F596" t="s">
        <v>11798</v>
      </c>
      <c r="G596" t="s">
        <v>74</v>
      </c>
      <c r="H596" t="s">
        <v>74</v>
      </c>
      <c r="I596" t="s">
        <v>11799</v>
      </c>
      <c r="J596" t="s">
        <v>910</v>
      </c>
      <c r="K596" t="s">
        <v>74</v>
      </c>
      <c r="L596" t="s">
        <v>74</v>
      </c>
      <c r="M596" t="s">
        <v>78</v>
      </c>
      <c r="N596" t="s">
        <v>79</v>
      </c>
      <c r="O596" t="s">
        <v>74</v>
      </c>
      <c r="P596" t="s">
        <v>74</v>
      </c>
      <c r="Q596" t="s">
        <v>74</v>
      </c>
      <c r="R596" t="s">
        <v>74</v>
      </c>
      <c r="S596" t="s">
        <v>74</v>
      </c>
      <c r="T596" t="s">
        <v>11800</v>
      </c>
      <c r="U596" t="s">
        <v>11801</v>
      </c>
      <c r="V596" t="s">
        <v>11802</v>
      </c>
      <c r="W596" t="s">
        <v>11803</v>
      </c>
      <c r="X596" t="s">
        <v>11804</v>
      </c>
      <c r="Y596" t="s">
        <v>11805</v>
      </c>
      <c r="Z596" t="s">
        <v>11806</v>
      </c>
      <c r="AA596" t="s">
        <v>74</v>
      </c>
      <c r="AB596" t="s">
        <v>74</v>
      </c>
      <c r="AC596" t="s">
        <v>11807</v>
      </c>
      <c r="AD596" t="s">
        <v>11808</v>
      </c>
      <c r="AE596" t="s">
        <v>11809</v>
      </c>
      <c r="AF596" t="s">
        <v>74</v>
      </c>
      <c r="AG596">
        <v>60</v>
      </c>
      <c r="AH596">
        <v>2</v>
      </c>
      <c r="AI596">
        <v>3</v>
      </c>
      <c r="AJ596">
        <v>11</v>
      </c>
      <c r="AK596">
        <v>25</v>
      </c>
      <c r="AL596" t="s">
        <v>754</v>
      </c>
      <c r="AM596" t="s">
        <v>755</v>
      </c>
      <c r="AN596" t="s">
        <v>756</v>
      </c>
      <c r="AO596" t="s">
        <v>74</v>
      </c>
      <c r="AP596" t="s">
        <v>922</v>
      </c>
      <c r="AQ596" t="s">
        <v>74</v>
      </c>
      <c r="AR596" t="s">
        <v>923</v>
      </c>
      <c r="AS596" t="s">
        <v>924</v>
      </c>
      <c r="AT596" t="s">
        <v>5386</v>
      </c>
      <c r="AU596">
        <v>2022</v>
      </c>
      <c r="AV596">
        <v>14</v>
      </c>
      <c r="AW596">
        <v>15</v>
      </c>
      <c r="AX596" t="s">
        <v>74</v>
      </c>
      <c r="AY596" t="s">
        <v>74</v>
      </c>
      <c r="AZ596" t="s">
        <v>74</v>
      </c>
      <c r="BA596" t="s">
        <v>74</v>
      </c>
      <c r="BB596" t="s">
        <v>74</v>
      </c>
      <c r="BC596" t="s">
        <v>74</v>
      </c>
      <c r="BD596">
        <v>2368</v>
      </c>
      <c r="BE596" t="s">
        <v>11810</v>
      </c>
      <c r="BF596" t="str">
        <f>HYPERLINK("http://dx.doi.org/10.3390/w14152368","http://dx.doi.org/10.3390/w14152368")</f>
        <v>http://dx.doi.org/10.3390/w14152368</v>
      </c>
      <c r="BG596" t="s">
        <v>74</v>
      </c>
      <c r="BH596" t="s">
        <v>74</v>
      </c>
      <c r="BI596">
        <v>18</v>
      </c>
      <c r="BJ596" t="s">
        <v>926</v>
      </c>
      <c r="BK596" t="s">
        <v>100</v>
      </c>
      <c r="BL596" t="s">
        <v>927</v>
      </c>
      <c r="BM596" t="s">
        <v>11811</v>
      </c>
      <c r="BN596" t="s">
        <v>74</v>
      </c>
      <c r="BO596" t="s">
        <v>266</v>
      </c>
      <c r="BP596" t="s">
        <v>74</v>
      </c>
      <c r="BQ596" t="s">
        <v>74</v>
      </c>
      <c r="BR596" t="s">
        <v>103</v>
      </c>
      <c r="BS596" t="s">
        <v>11812</v>
      </c>
      <c r="BT596" t="str">
        <f>HYPERLINK("https%3A%2F%2Fwww.webofscience.com%2Fwos%2Fwoscc%2Ffull-record%2FWOS:000839087500001","View Full Record in Web of Science")</f>
        <v>View Full Record in Web of Science</v>
      </c>
    </row>
    <row r="597" spans="1:72" x14ac:dyDescent="0.15">
      <c r="A597" t="s">
        <v>72</v>
      </c>
      <c r="B597" t="s">
        <v>11813</v>
      </c>
      <c r="C597" t="s">
        <v>74</v>
      </c>
      <c r="D597" t="s">
        <v>74</v>
      </c>
      <c r="E597" t="s">
        <v>74</v>
      </c>
      <c r="F597" t="s">
        <v>11814</v>
      </c>
      <c r="G597" t="s">
        <v>74</v>
      </c>
      <c r="H597" t="s">
        <v>74</v>
      </c>
      <c r="I597" t="s">
        <v>11815</v>
      </c>
      <c r="J597" t="s">
        <v>6880</v>
      </c>
      <c r="K597" t="s">
        <v>74</v>
      </c>
      <c r="L597" t="s">
        <v>74</v>
      </c>
      <c r="M597" t="s">
        <v>78</v>
      </c>
      <c r="N597" t="s">
        <v>79</v>
      </c>
      <c r="O597" t="s">
        <v>74</v>
      </c>
      <c r="P597" t="s">
        <v>74</v>
      </c>
      <c r="Q597" t="s">
        <v>74</v>
      </c>
      <c r="R597" t="s">
        <v>74</v>
      </c>
      <c r="S597" t="s">
        <v>74</v>
      </c>
      <c r="T597" t="s">
        <v>11816</v>
      </c>
      <c r="U597" t="s">
        <v>11817</v>
      </c>
      <c r="V597" t="s">
        <v>11818</v>
      </c>
      <c r="W597" t="s">
        <v>11819</v>
      </c>
      <c r="X597" t="s">
        <v>11820</v>
      </c>
      <c r="Y597" t="s">
        <v>11821</v>
      </c>
      <c r="Z597" t="s">
        <v>11822</v>
      </c>
      <c r="AA597" t="s">
        <v>11823</v>
      </c>
      <c r="AB597" t="s">
        <v>11824</v>
      </c>
      <c r="AC597" t="s">
        <v>11825</v>
      </c>
      <c r="AD597" t="s">
        <v>11826</v>
      </c>
      <c r="AE597" t="s">
        <v>11827</v>
      </c>
      <c r="AF597" t="s">
        <v>74</v>
      </c>
      <c r="AG597">
        <v>64</v>
      </c>
      <c r="AH597">
        <v>2</v>
      </c>
      <c r="AI597">
        <v>2</v>
      </c>
      <c r="AJ597">
        <v>4</v>
      </c>
      <c r="AK597">
        <v>20</v>
      </c>
      <c r="AL597" t="s">
        <v>946</v>
      </c>
      <c r="AM597" t="s">
        <v>207</v>
      </c>
      <c r="AN597" t="s">
        <v>947</v>
      </c>
      <c r="AO597" t="s">
        <v>6892</v>
      </c>
      <c r="AP597" t="s">
        <v>6893</v>
      </c>
      <c r="AQ597" t="s">
        <v>74</v>
      </c>
      <c r="AR597" t="s">
        <v>6894</v>
      </c>
      <c r="AS597" t="s">
        <v>6895</v>
      </c>
      <c r="AT597" t="s">
        <v>5386</v>
      </c>
      <c r="AU597">
        <v>2022</v>
      </c>
      <c r="AV597">
        <v>127</v>
      </c>
      <c r="AW597">
        <v>8</v>
      </c>
      <c r="AX597" t="s">
        <v>74</v>
      </c>
      <c r="AY597" t="s">
        <v>74</v>
      </c>
      <c r="AZ597" t="s">
        <v>74</v>
      </c>
      <c r="BA597" t="s">
        <v>74</v>
      </c>
      <c r="BB597" t="s">
        <v>74</v>
      </c>
      <c r="BC597" t="s">
        <v>74</v>
      </c>
      <c r="BD597" t="s">
        <v>11828</v>
      </c>
      <c r="BE597" t="s">
        <v>11829</v>
      </c>
      <c r="BF597" t="str">
        <f>HYPERLINK("http://dx.doi.org/10.1029/2022JB024497","http://dx.doi.org/10.1029/2022JB024497")</f>
        <v>http://dx.doi.org/10.1029/2022JB024497</v>
      </c>
      <c r="BG597" t="s">
        <v>74</v>
      </c>
      <c r="BH597" t="s">
        <v>74</v>
      </c>
      <c r="BI597">
        <v>26</v>
      </c>
      <c r="BJ597" t="s">
        <v>1379</v>
      </c>
      <c r="BK597" t="s">
        <v>100</v>
      </c>
      <c r="BL597" t="s">
        <v>1379</v>
      </c>
      <c r="BM597" t="s">
        <v>11830</v>
      </c>
      <c r="BN597" t="s">
        <v>74</v>
      </c>
      <c r="BO597" t="s">
        <v>2401</v>
      </c>
      <c r="BP597" t="s">
        <v>74</v>
      </c>
      <c r="BQ597" t="s">
        <v>74</v>
      </c>
      <c r="BR597" t="s">
        <v>103</v>
      </c>
      <c r="BS597" t="s">
        <v>11831</v>
      </c>
      <c r="BT597" t="str">
        <f>HYPERLINK("https%3A%2F%2Fwww.webofscience.com%2Fwos%2Fwoscc%2Ffull-record%2FWOS:000839048200001","View Full Record in Web of Science")</f>
        <v>View Full Record in Web of Science</v>
      </c>
    </row>
    <row r="598" spans="1:72" x14ac:dyDescent="0.15">
      <c r="A598" t="s">
        <v>72</v>
      </c>
      <c r="B598" t="s">
        <v>11832</v>
      </c>
      <c r="C598" t="s">
        <v>74</v>
      </c>
      <c r="D598" t="s">
        <v>74</v>
      </c>
      <c r="E598" t="s">
        <v>74</v>
      </c>
      <c r="F598" t="s">
        <v>11833</v>
      </c>
      <c r="G598" t="s">
        <v>74</v>
      </c>
      <c r="H598" t="s">
        <v>74</v>
      </c>
      <c r="I598" t="s">
        <v>11834</v>
      </c>
      <c r="J598" t="s">
        <v>11835</v>
      </c>
      <c r="K598" t="s">
        <v>74</v>
      </c>
      <c r="L598" t="s">
        <v>74</v>
      </c>
      <c r="M598" t="s">
        <v>78</v>
      </c>
      <c r="N598" t="s">
        <v>79</v>
      </c>
      <c r="O598" t="s">
        <v>74</v>
      </c>
      <c r="P598" t="s">
        <v>74</v>
      </c>
      <c r="Q598" t="s">
        <v>74</v>
      </c>
      <c r="R598" t="s">
        <v>74</v>
      </c>
      <c r="S598" t="s">
        <v>74</v>
      </c>
      <c r="T598" t="s">
        <v>11836</v>
      </c>
      <c r="U598" t="s">
        <v>11837</v>
      </c>
      <c r="V598" t="s">
        <v>11838</v>
      </c>
      <c r="W598" t="s">
        <v>11839</v>
      </c>
      <c r="X598" t="s">
        <v>1725</v>
      </c>
      <c r="Y598" t="s">
        <v>11840</v>
      </c>
      <c r="Z598" t="s">
        <v>11841</v>
      </c>
      <c r="AA598" t="s">
        <v>11842</v>
      </c>
      <c r="AB598" t="s">
        <v>11843</v>
      </c>
      <c r="AC598" t="s">
        <v>11844</v>
      </c>
      <c r="AD598" t="s">
        <v>11844</v>
      </c>
      <c r="AE598" t="s">
        <v>11845</v>
      </c>
      <c r="AF598" t="s">
        <v>74</v>
      </c>
      <c r="AG598">
        <v>33</v>
      </c>
      <c r="AH598">
        <v>0</v>
      </c>
      <c r="AI598">
        <v>0</v>
      </c>
      <c r="AJ598">
        <v>1</v>
      </c>
      <c r="AK598">
        <v>3</v>
      </c>
      <c r="AL598" t="s">
        <v>754</v>
      </c>
      <c r="AM598" t="s">
        <v>755</v>
      </c>
      <c r="AN598" t="s">
        <v>756</v>
      </c>
      <c r="AO598" t="s">
        <v>74</v>
      </c>
      <c r="AP598" t="s">
        <v>11846</v>
      </c>
      <c r="AQ598" t="s">
        <v>74</v>
      </c>
      <c r="AR598" t="s">
        <v>11847</v>
      </c>
      <c r="AS598" t="s">
        <v>11848</v>
      </c>
      <c r="AT598" t="s">
        <v>5386</v>
      </c>
      <c r="AU598">
        <v>2022</v>
      </c>
      <c r="AV598">
        <v>14</v>
      </c>
      <c r="AW598">
        <v>15</v>
      </c>
      <c r="AX598" t="s">
        <v>74</v>
      </c>
      <c r="AY598" t="s">
        <v>74</v>
      </c>
      <c r="AZ598" t="s">
        <v>74</v>
      </c>
      <c r="BA598" t="s">
        <v>74</v>
      </c>
      <c r="BB598" t="s">
        <v>74</v>
      </c>
      <c r="BC598" t="s">
        <v>74</v>
      </c>
      <c r="BD598">
        <v>9228</v>
      </c>
      <c r="BE598" t="s">
        <v>11849</v>
      </c>
      <c r="BF598" t="str">
        <f>HYPERLINK("http://dx.doi.org/10.3390/su14159228","http://dx.doi.org/10.3390/su14159228")</f>
        <v>http://dx.doi.org/10.3390/su14159228</v>
      </c>
      <c r="BG598" t="s">
        <v>74</v>
      </c>
      <c r="BH598" t="s">
        <v>74</v>
      </c>
      <c r="BI598">
        <v>9</v>
      </c>
      <c r="BJ598" t="s">
        <v>8849</v>
      </c>
      <c r="BK598" t="s">
        <v>2332</v>
      </c>
      <c r="BL598" t="s">
        <v>8850</v>
      </c>
      <c r="BM598" t="s">
        <v>11850</v>
      </c>
      <c r="BN598" t="s">
        <v>74</v>
      </c>
      <c r="BO598" t="s">
        <v>266</v>
      </c>
      <c r="BP598" t="s">
        <v>74</v>
      </c>
      <c r="BQ598" t="s">
        <v>74</v>
      </c>
      <c r="BR598" t="s">
        <v>103</v>
      </c>
      <c r="BS598" t="s">
        <v>11851</v>
      </c>
      <c r="BT598" t="str">
        <f>HYPERLINK("https%3A%2F%2Fwww.webofscience.com%2Fwos%2Fwoscc%2Ffull-record%2FWOS:000840164700001","View Full Record in Web of Science")</f>
        <v>View Full Record in Web of Science</v>
      </c>
    </row>
    <row r="599" spans="1:72" x14ac:dyDescent="0.15">
      <c r="A599" t="s">
        <v>72</v>
      </c>
      <c r="B599" t="s">
        <v>11852</v>
      </c>
      <c r="C599" t="s">
        <v>74</v>
      </c>
      <c r="D599" t="s">
        <v>74</v>
      </c>
      <c r="E599" t="s">
        <v>74</v>
      </c>
      <c r="F599" t="s">
        <v>11853</v>
      </c>
      <c r="G599" t="s">
        <v>74</v>
      </c>
      <c r="H599" t="s">
        <v>74</v>
      </c>
      <c r="I599" t="s">
        <v>11854</v>
      </c>
      <c r="J599" t="s">
        <v>933</v>
      </c>
      <c r="K599" t="s">
        <v>74</v>
      </c>
      <c r="L599" t="s">
        <v>74</v>
      </c>
      <c r="M599" t="s">
        <v>78</v>
      </c>
      <c r="N599" t="s">
        <v>79</v>
      </c>
      <c r="O599" t="s">
        <v>74</v>
      </c>
      <c r="P599" t="s">
        <v>74</v>
      </c>
      <c r="Q599" t="s">
        <v>74</v>
      </c>
      <c r="R599" t="s">
        <v>74</v>
      </c>
      <c r="S599" t="s">
        <v>74</v>
      </c>
      <c r="T599" t="s">
        <v>11855</v>
      </c>
      <c r="U599" t="s">
        <v>11856</v>
      </c>
      <c r="V599" t="s">
        <v>11857</v>
      </c>
      <c r="W599" t="s">
        <v>11858</v>
      </c>
      <c r="X599" t="s">
        <v>11859</v>
      </c>
      <c r="Y599" t="s">
        <v>11860</v>
      </c>
      <c r="Z599" t="s">
        <v>11861</v>
      </c>
      <c r="AA599" t="s">
        <v>74</v>
      </c>
      <c r="AB599" t="s">
        <v>11862</v>
      </c>
      <c r="AC599" t="s">
        <v>11863</v>
      </c>
      <c r="AD599" t="s">
        <v>11864</v>
      </c>
      <c r="AE599" t="s">
        <v>11865</v>
      </c>
      <c r="AF599" t="s">
        <v>74</v>
      </c>
      <c r="AG599">
        <v>53</v>
      </c>
      <c r="AH599">
        <v>3</v>
      </c>
      <c r="AI599">
        <v>3</v>
      </c>
      <c r="AJ599">
        <v>0</v>
      </c>
      <c r="AK599">
        <v>2</v>
      </c>
      <c r="AL599" t="s">
        <v>946</v>
      </c>
      <c r="AM599" t="s">
        <v>207</v>
      </c>
      <c r="AN599" t="s">
        <v>947</v>
      </c>
      <c r="AO599" t="s">
        <v>948</v>
      </c>
      <c r="AP599" t="s">
        <v>949</v>
      </c>
      <c r="AQ599" t="s">
        <v>74</v>
      </c>
      <c r="AR599" t="s">
        <v>950</v>
      </c>
      <c r="AS599" t="s">
        <v>951</v>
      </c>
      <c r="AT599" t="s">
        <v>5386</v>
      </c>
      <c r="AU599">
        <v>2022</v>
      </c>
      <c r="AV599">
        <v>127</v>
      </c>
      <c r="AW599">
        <v>8</v>
      </c>
      <c r="AX599" t="s">
        <v>74</v>
      </c>
      <c r="AY599" t="s">
        <v>74</v>
      </c>
      <c r="AZ599" t="s">
        <v>74</v>
      </c>
      <c r="BA599" t="s">
        <v>74</v>
      </c>
      <c r="BB599" t="s">
        <v>74</v>
      </c>
      <c r="BC599" t="s">
        <v>74</v>
      </c>
      <c r="BD599" t="s">
        <v>11866</v>
      </c>
      <c r="BE599" t="s">
        <v>11867</v>
      </c>
      <c r="BF599" t="str">
        <f>HYPERLINK("http://dx.doi.org/10.1029/2022JA030401","http://dx.doi.org/10.1029/2022JA030401")</f>
        <v>http://dx.doi.org/10.1029/2022JA030401</v>
      </c>
      <c r="BG599" t="s">
        <v>74</v>
      </c>
      <c r="BH599" t="s">
        <v>74</v>
      </c>
      <c r="BI599">
        <v>12</v>
      </c>
      <c r="BJ599" t="s">
        <v>954</v>
      </c>
      <c r="BK599" t="s">
        <v>100</v>
      </c>
      <c r="BL599" t="s">
        <v>954</v>
      </c>
      <c r="BM599" t="s">
        <v>11868</v>
      </c>
      <c r="BN599" t="s">
        <v>74</v>
      </c>
      <c r="BO599" t="s">
        <v>74</v>
      </c>
      <c r="BP599" t="s">
        <v>74</v>
      </c>
      <c r="BQ599" t="s">
        <v>74</v>
      </c>
      <c r="BR599" t="s">
        <v>103</v>
      </c>
      <c r="BS599" t="s">
        <v>11869</v>
      </c>
      <c r="BT599" t="str">
        <f>HYPERLINK("https%3A%2F%2Fwww.webofscience.com%2Fwos%2Fwoscc%2Ffull-record%2FWOS:000838192400001","View Full Record in Web of Science")</f>
        <v>View Full Record in Web of Science</v>
      </c>
    </row>
    <row r="600" spans="1:72" x14ac:dyDescent="0.15">
      <c r="A600" t="s">
        <v>72</v>
      </c>
      <c r="B600" t="s">
        <v>11870</v>
      </c>
      <c r="C600" t="s">
        <v>74</v>
      </c>
      <c r="D600" t="s">
        <v>74</v>
      </c>
      <c r="E600" t="s">
        <v>74</v>
      </c>
      <c r="F600" t="s">
        <v>11871</v>
      </c>
      <c r="G600" t="s">
        <v>74</v>
      </c>
      <c r="H600" t="s">
        <v>74</v>
      </c>
      <c r="I600" t="s">
        <v>11872</v>
      </c>
      <c r="J600" t="s">
        <v>11873</v>
      </c>
      <c r="K600" t="s">
        <v>74</v>
      </c>
      <c r="L600" t="s">
        <v>74</v>
      </c>
      <c r="M600" t="s">
        <v>78</v>
      </c>
      <c r="N600" t="s">
        <v>79</v>
      </c>
      <c r="O600" t="s">
        <v>74</v>
      </c>
      <c r="P600" t="s">
        <v>74</v>
      </c>
      <c r="Q600" t="s">
        <v>74</v>
      </c>
      <c r="R600" t="s">
        <v>74</v>
      </c>
      <c r="S600" t="s">
        <v>74</v>
      </c>
      <c r="T600" t="s">
        <v>11874</v>
      </c>
      <c r="U600" t="s">
        <v>11875</v>
      </c>
      <c r="V600" t="s">
        <v>11876</v>
      </c>
      <c r="W600" t="s">
        <v>11877</v>
      </c>
      <c r="X600" t="s">
        <v>11878</v>
      </c>
      <c r="Y600" t="s">
        <v>11879</v>
      </c>
      <c r="Z600" t="s">
        <v>11880</v>
      </c>
      <c r="AA600" t="s">
        <v>11881</v>
      </c>
      <c r="AB600" t="s">
        <v>11882</v>
      </c>
      <c r="AC600" t="s">
        <v>11883</v>
      </c>
      <c r="AD600" t="s">
        <v>11884</v>
      </c>
      <c r="AE600" t="s">
        <v>11885</v>
      </c>
      <c r="AF600" t="s">
        <v>74</v>
      </c>
      <c r="AG600">
        <v>57</v>
      </c>
      <c r="AH600">
        <v>9</v>
      </c>
      <c r="AI600">
        <v>9</v>
      </c>
      <c r="AJ600">
        <v>12</v>
      </c>
      <c r="AK600">
        <v>58</v>
      </c>
      <c r="AL600" t="s">
        <v>501</v>
      </c>
      <c r="AM600" t="s">
        <v>502</v>
      </c>
      <c r="AN600" t="s">
        <v>503</v>
      </c>
      <c r="AO600" t="s">
        <v>11886</v>
      </c>
      <c r="AP600" t="s">
        <v>11887</v>
      </c>
      <c r="AQ600" t="s">
        <v>74</v>
      </c>
      <c r="AR600" t="s">
        <v>11888</v>
      </c>
      <c r="AS600" t="s">
        <v>11889</v>
      </c>
      <c r="AT600" t="s">
        <v>428</v>
      </c>
      <c r="AU600">
        <v>2022</v>
      </c>
      <c r="AV600">
        <v>85</v>
      </c>
      <c r="AW600" t="s">
        <v>74</v>
      </c>
      <c r="AX600" t="s">
        <v>74</v>
      </c>
      <c r="AY600" t="s">
        <v>74</v>
      </c>
      <c r="AZ600" t="s">
        <v>74</v>
      </c>
      <c r="BA600" t="s">
        <v>74</v>
      </c>
      <c r="BB600" t="s">
        <v>74</v>
      </c>
      <c r="BC600" t="s">
        <v>74</v>
      </c>
      <c r="BD600">
        <v>104053</v>
      </c>
      <c r="BE600" t="s">
        <v>11890</v>
      </c>
      <c r="BF600" t="str">
        <f>HYPERLINK("http://dx.doi.org/10.1016/j.scs.2022.104053","http://dx.doi.org/10.1016/j.scs.2022.104053")</f>
        <v>http://dx.doi.org/10.1016/j.scs.2022.104053</v>
      </c>
      <c r="BG600" t="s">
        <v>74</v>
      </c>
      <c r="BH600" t="s">
        <v>7628</v>
      </c>
      <c r="BI600">
        <v>14</v>
      </c>
      <c r="BJ600" t="s">
        <v>11891</v>
      </c>
      <c r="BK600" t="s">
        <v>100</v>
      </c>
      <c r="BL600" t="s">
        <v>11892</v>
      </c>
      <c r="BM600" t="s">
        <v>11893</v>
      </c>
      <c r="BN600" t="s">
        <v>74</v>
      </c>
      <c r="BO600" t="s">
        <v>74</v>
      </c>
      <c r="BP600" t="s">
        <v>74</v>
      </c>
      <c r="BQ600" t="s">
        <v>74</v>
      </c>
      <c r="BR600" t="s">
        <v>103</v>
      </c>
      <c r="BS600" t="s">
        <v>11894</v>
      </c>
      <c r="BT600" t="str">
        <f>HYPERLINK("https%3A%2F%2Fwww.webofscience.com%2Fwos%2Fwoscc%2Ffull-record%2FWOS:000838158100003","View Full Record in Web of Science")</f>
        <v>View Full Record in Web of Science</v>
      </c>
    </row>
    <row r="601" spans="1:72" x14ac:dyDescent="0.15">
      <c r="A601" t="s">
        <v>72</v>
      </c>
      <c r="B601" t="s">
        <v>11895</v>
      </c>
      <c r="C601" t="s">
        <v>74</v>
      </c>
      <c r="D601" t="s">
        <v>74</v>
      </c>
      <c r="E601" t="s">
        <v>74</v>
      </c>
      <c r="F601" t="s">
        <v>11896</v>
      </c>
      <c r="G601" t="s">
        <v>74</v>
      </c>
      <c r="H601" t="s">
        <v>74</v>
      </c>
      <c r="I601" t="s">
        <v>11897</v>
      </c>
      <c r="J601" t="s">
        <v>6346</v>
      </c>
      <c r="K601" t="s">
        <v>74</v>
      </c>
      <c r="L601" t="s">
        <v>74</v>
      </c>
      <c r="M601" t="s">
        <v>78</v>
      </c>
      <c r="N601" t="s">
        <v>79</v>
      </c>
      <c r="O601" t="s">
        <v>74</v>
      </c>
      <c r="P601" t="s">
        <v>74</v>
      </c>
      <c r="Q601" t="s">
        <v>74</v>
      </c>
      <c r="R601" t="s">
        <v>74</v>
      </c>
      <c r="S601" t="s">
        <v>74</v>
      </c>
      <c r="T601" t="s">
        <v>74</v>
      </c>
      <c r="U601" t="s">
        <v>11898</v>
      </c>
      <c r="V601" t="s">
        <v>11899</v>
      </c>
      <c r="W601" t="s">
        <v>11900</v>
      </c>
      <c r="X601" t="s">
        <v>11901</v>
      </c>
      <c r="Y601" t="s">
        <v>11902</v>
      </c>
      <c r="Z601" t="s">
        <v>11903</v>
      </c>
      <c r="AA601" t="s">
        <v>11904</v>
      </c>
      <c r="AB601" t="s">
        <v>11905</v>
      </c>
      <c r="AC601" t="s">
        <v>11906</v>
      </c>
      <c r="AD601" t="s">
        <v>11907</v>
      </c>
      <c r="AE601" t="s">
        <v>11908</v>
      </c>
      <c r="AF601" t="s">
        <v>74</v>
      </c>
      <c r="AG601">
        <v>55</v>
      </c>
      <c r="AH601">
        <v>0</v>
      </c>
      <c r="AI601">
        <v>0</v>
      </c>
      <c r="AJ601">
        <v>2</v>
      </c>
      <c r="AK601">
        <v>6</v>
      </c>
      <c r="AL601" t="s">
        <v>946</v>
      </c>
      <c r="AM601" t="s">
        <v>207</v>
      </c>
      <c r="AN601" t="s">
        <v>947</v>
      </c>
      <c r="AO601" t="s">
        <v>6358</v>
      </c>
      <c r="AP601" t="s">
        <v>6359</v>
      </c>
      <c r="AQ601" t="s">
        <v>74</v>
      </c>
      <c r="AR601" t="s">
        <v>6360</v>
      </c>
      <c r="AS601" t="s">
        <v>6361</v>
      </c>
      <c r="AT601" t="s">
        <v>5386</v>
      </c>
      <c r="AU601">
        <v>2022</v>
      </c>
      <c r="AV601">
        <v>37</v>
      </c>
      <c r="AW601">
        <v>8</v>
      </c>
      <c r="AX601" t="s">
        <v>74</v>
      </c>
      <c r="AY601" t="s">
        <v>74</v>
      </c>
      <c r="AZ601" t="s">
        <v>74</v>
      </c>
      <c r="BA601" t="s">
        <v>74</v>
      </c>
      <c r="BB601" t="s">
        <v>74</v>
      </c>
      <c r="BC601" t="s">
        <v>74</v>
      </c>
      <c r="BD601" t="s">
        <v>11909</v>
      </c>
      <c r="BE601" t="s">
        <v>11910</v>
      </c>
      <c r="BF601" t="str">
        <f>HYPERLINK("http://dx.doi.org/10.1029/2022PA004428","http://dx.doi.org/10.1029/2022PA004428")</f>
        <v>http://dx.doi.org/10.1029/2022PA004428</v>
      </c>
      <c r="BG601" t="s">
        <v>74</v>
      </c>
      <c r="BH601" t="s">
        <v>74</v>
      </c>
      <c r="BI601">
        <v>12</v>
      </c>
      <c r="BJ601" t="s">
        <v>6364</v>
      </c>
      <c r="BK601" t="s">
        <v>100</v>
      </c>
      <c r="BL601" t="s">
        <v>6365</v>
      </c>
      <c r="BM601" t="s">
        <v>11911</v>
      </c>
      <c r="BN601" t="s">
        <v>74</v>
      </c>
      <c r="BO601" t="s">
        <v>74</v>
      </c>
      <c r="BP601" t="s">
        <v>74</v>
      </c>
      <c r="BQ601" t="s">
        <v>74</v>
      </c>
      <c r="BR601" t="s">
        <v>103</v>
      </c>
      <c r="BS601" t="s">
        <v>11912</v>
      </c>
      <c r="BT601" t="str">
        <f>HYPERLINK("https%3A%2F%2Fwww.webofscience.com%2Fwos%2Fwoscc%2Ffull-record%2FWOS:000837053900001","View Full Record in Web of Science")</f>
        <v>View Full Record in Web of Science</v>
      </c>
    </row>
    <row r="602" spans="1:72" x14ac:dyDescent="0.15">
      <c r="A602" t="s">
        <v>72</v>
      </c>
      <c r="B602" t="s">
        <v>11913</v>
      </c>
      <c r="C602" t="s">
        <v>74</v>
      </c>
      <c r="D602" t="s">
        <v>74</v>
      </c>
      <c r="E602" t="s">
        <v>74</v>
      </c>
      <c r="F602" t="s">
        <v>11914</v>
      </c>
      <c r="G602" t="s">
        <v>74</v>
      </c>
      <c r="H602" t="s">
        <v>74</v>
      </c>
      <c r="I602" t="s">
        <v>11915</v>
      </c>
      <c r="J602" t="s">
        <v>11916</v>
      </c>
      <c r="K602" t="s">
        <v>74</v>
      </c>
      <c r="L602" t="s">
        <v>74</v>
      </c>
      <c r="M602" t="s">
        <v>78</v>
      </c>
      <c r="N602" t="s">
        <v>79</v>
      </c>
      <c r="O602" t="s">
        <v>74</v>
      </c>
      <c r="P602" t="s">
        <v>74</v>
      </c>
      <c r="Q602" t="s">
        <v>74</v>
      </c>
      <c r="R602" t="s">
        <v>74</v>
      </c>
      <c r="S602" t="s">
        <v>74</v>
      </c>
      <c r="T602" t="s">
        <v>11917</v>
      </c>
      <c r="U602" t="s">
        <v>11918</v>
      </c>
      <c r="V602" t="s">
        <v>11919</v>
      </c>
      <c r="W602" t="s">
        <v>11920</v>
      </c>
      <c r="X602" t="s">
        <v>11921</v>
      </c>
      <c r="Y602" t="s">
        <v>11922</v>
      </c>
      <c r="Z602" t="s">
        <v>11923</v>
      </c>
      <c r="AA602" t="s">
        <v>74</v>
      </c>
      <c r="AB602" t="s">
        <v>11924</v>
      </c>
      <c r="AC602" t="s">
        <v>11925</v>
      </c>
      <c r="AD602" t="s">
        <v>11925</v>
      </c>
      <c r="AE602" t="s">
        <v>11926</v>
      </c>
      <c r="AF602" t="s">
        <v>74</v>
      </c>
      <c r="AG602">
        <v>54</v>
      </c>
      <c r="AH602">
        <v>0</v>
      </c>
      <c r="AI602">
        <v>0</v>
      </c>
      <c r="AJ602">
        <v>1</v>
      </c>
      <c r="AK602">
        <v>7</v>
      </c>
      <c r="AL602" t="s">
        <v>11927</v>
      </c>
      <c r="AM602" t="s">
        <v>2774</v>
      </c>
      <c r="AN602" t="s">
        <v>11928</v>
      </c>
      <c r="AO602" t="s">
        <v>11929</v>
      </c>
      <c r="AP602" t="s">
        <v>11930</v>
      </c>
      <c r="AQ602" t="s">
        <v>74</v>
      </c>
      <c r="AR602" t="s">
        <v>11916</v>
      </c>
      <c r="AS602" t="s">
        <v>11931</v>
      </c>
      <c r="AT602" t="s">
        <v>2281</v>
      </c>
      <c r="AU602">
        <v>2022</v>
      </c>
      <c r="AV602">
        <v>32</v>
      </c>
      <c r="AW602">
        <v>11</v>
      </c>
      <c r="AX602" t="s">
        <v>74</v>
      </c>
      <c r="AY602" t="s">
        <v>74</v>
      </c>
      <c r="AZ602" t="s">
        <v>74</v>
      </c>
      <c r="BA602" t="s">
        <v>74</v>
      </c>
      <c r="BB602">
        <v>1184</v>
      </c>
      <c r="BC602">
        <v>1192</v>
      </c>
      <c r="BD602" t="s">
        <v>74</v>
      </c>
      <c r="BE602" t="s">
        <v>11932</v>
      </c>
      <c r="BF602" t="str">
        <f>HYPERLINK("http://dx.doi.org/10.1177/09596836221114292","http://dx.doi.org/10.1177/09596836221114292")</f>
        <v>http://dx.doi.org/10.1177/09596836221114292</v>
      </c>
      <c r="BG602" t="s">
        <v>74</v>
      </c>
      <c r="BH602" t="s">
        <v>7628</v>
      </c>
      <c r="BI602">
        <v>9</v>
      </c>
      <c r="BJ602" t="s">
        <v>354</v>
      </c>
      <c r="BK602" t="s">
        <v>100</v>
      </c>
      <c r="BL602" t="s">
        <v>241</v>
      </c>
      <c r="BM602" t="s">
        <v>11933</v>
      </c>
      <c r="BN602" t="s">
        <v>74</v>
      </c>
      <c r="BO602" t="s">
        <v>74</v>
      </c>
      <c r="BP602" t="s">
        <v>74</v>
      </c>
      <c r="BQ602" t="s">
        <v>74</v>
      </c>
      <c r="BR602" t="s">
        <v>103</v>
      </c>
      <c r="BS602" t="s">
        <v>11934</v>
      </c>
      <c r="BT602" t="str">
        <f>HYPERLINK("https%3A%2F%2Fwww.webofscience.com%2Fwos%2Fwoscc%2Ffull-record%2FWOS:000835458900001","View Full Record in Web of Science")</f>
        <v>View Full Record in Web of Science</v>
      </c>
    </row>
    <row r="603" spans="1:72" x14ac:dyDescent="0.15">
      <c r="A603" t="s">
        <v>72</v>
      </c>
      <c r="B603" t="s">
        <v>11935</v>
      </c>
      <c r="C603" t="s">
        <v>74</v>
      </c>
      <c r="D603" t="s">
        <v>74</v>
      </c>
      <c r="E603" t="s">
        <v>74</v>
      </c>
      <c r="F603" t="s">
        <v>11936</v>
      </c>
      <c r="G603" t="s">
        <v>74</v>
      </c>
      <c r="H603" t="s">
        <v>74</v>
      </c>
      <c r="I603" t="s">
        <v>11937</v>
      </c>
      <c r="J603" t="s">
        <v>5674</v>
      </c>
      <c r="K603" t="s">
        <v>74</v>
      </c>
      <c r="L603" t="s">
        <v>74</v>
      </c>
      <c r="M603" t="s">
        <v>78</v>
      </c>
      <c r="N603" t="s">
        <v>79</v>
      </c>
      <c r="O603" t="s">
        <v>74</v>
      </c>
      <c r="P603" t="s">
        <v>74</v>
      </c>
      <c r="Q603" t="s">
        <v>74</v>
      </c>
      <c r="R603" t="s">
        <v>74</v>
      </c>
      <c r="S603" t="s">
        <v>74</v>
      </c>
      <c r="T603" t="s">
        <v>11938</v>
      </c>
      <c r="U603" t="s">
        <v>11939</v>
      </c>
      <c r="V603" t="s">
        <v>11940</v>
      </c>
      <c r="W603" t="s">
        <v>11941</v>
      </c>
      <c r="X603" t="s">
        <v>11942</v>
      </c>
      <c r="Y603" t="s">
        <v>11943</v>
      </c>
      <c r="Z603" t="s">
        <v>11944</v>
      </c>
      <c r="AA603" t="s">
        <v>11945</v>
      </c>
      <c r="AB603" t="s">
        <v>74</v>
      </c>
      <c r="AC603" t="s">
        <v>11946</v>
      </c>
      <c r="AD603" t="s">
        <v>11947</v>
      </c>
      <c r="AE603" t="s">
        <v>11948</v>
      </c>
      <c r="AF603" t="s">
        <v>74</v>
      </c>
      <c r="AG603">
        <v>86</v>
      </c>
      <c r="AH603">
        <v>20</v>
      </c>
      <c r="AI603">
        <v>21</v>
      </c>
      <c r="AJ603">
        <v>41</v>
      </c>
      <c r="AK603">
        <v>151</v>
      </c>
      <c r="AL603" t="s">
        <v>501</v>
      </c>
      <c r="AM603" t="s">
        <v>502</v>
      </c>
      <c r="AN603" t="s">
        <v>503</v>
      </c>
      <c r="AO603" t="s">
        <v>5687</v>
      </c>
      <c r="AP603" t="s">
        <v>5688</v>
      </c>
      <c r="AQ603" t="s">
        <v>74</v>
      </c>
      <c r="AR603" t="s">
        <v>5689</v>
      </c>
      <c r="AS603" t="s">
        <v>5690</v>
      </c>
      <c r="AT603" t="s">
        <v>11949</v>
      </c>
      <c r="AU603">
        <v>2022</v>
      </c>
      <c r="AV603">
        <v>439</v>
      </c>
      <c r="AW603" t="s">
        <v>74</v>
      </c>
      <c r="AX603" t="s">
        <v>74</v>
      </c>
      <c r="AY603" t="s">
        <v>74</v>
      </c>
      <c r="AZ603" t="s">
        <v>74</v>
      </c>
      <c r="BA603" t="s">
        <v>74</v>
      </c>
      <c r="BB603" t="s">
        <v>74</v>
      </c>
      <c r="BC603" t="s">
        <v>74</v>
      </c>
      <c r="BD603">
        <v>129656</v>
      </c>
      <c r="BE603" t="s">
        <v>11950</v>
      </c>
      <c r="BF603" t="str">
        <f>HYPERLINK("http://dx.doi.org/10.1016/j.jhazmat.2022.129656","http://dx.doi.org/10.1016/j.jhazmat.2022.129656")</f>
        <v>http://dx.doi.org/10.1016/j.jhazmat.2022.129656</v>
      </c>
      <c r="BG603" t="s">
        <v>74</v>
      </c>
      <c r="BH603" t="s">
        <v>7628</v>
      </c>
      <c r="BI603">
        <v>12</v>
      </c>
      <c r="BJ603" t="s">
        <v>5693</v>
      </c>
      <c r="BK603" t="s">
        <v>100</v>
      </c>
      <c r="BL603" t="s">
        <v>5694</v>
      </c>
      <c r="BM603" t="s">
        <v>11951</v>
      </c>
      <c r="BN603">
        <v>36104922</v>
      </c>
      <c r="BO603" t="s">
        <v>74</v>
      </c>
      <c r="BP603" t="s">
        <v>74</v>
      </c>
      <c r="BQ603" t="s">
        <v>74</v>
      </c>
      <c r="BR603" t="s">
        <v>103</v>
      </c>
      <c r="BS603" t="s">
        <v>11952</v>
      </c>
      <c r="BT603" t="str">
        <f>HYPERLINK("https%3A%2F%2Fwww.webofscience.com%2Fwos%2Fwoscc%2Ffull-record%2FWOS:000835668000001","View Full Record in Web of Science")</f>
        <v>View Full Record in Web of Science</v>
      </c>
    </row>
    <row r="604" spans="1:72" x14ac:dyDescent="0.15">
      <c r="A604" t="s">
        <v>72</v>
      </c>
      <c r="B604" t="s">
        <v>11953</v>
      </c>
      <c r="C604" t="s">
        <v>74</v>
      </c>
      <c r="D604" t="s">
        <v>74</v>
      </c>
      <c r="E604" t="s">
        <v>74</v>
      </c>
      <c r="F604" t="s">
        <v>11954</v>
      </c>
      <c r="G604" t="s">
        <v>74</v>
      </c>
      <c r="H604" t="s">
        <v>74</v>
      </c>
      <c r="I604" t="s">
        <v>11955</v>
      </c>
      <c r="J604" t="s">
        <v>11956</v>
      </c>
      <c r="K604" t="s">
        <v>74</v>
      </c>
      <c r="L604" t="s">
        <v>74</v>
      </c>
      <c r="M604" t="s">
        <v>78</v>
      </c>
      <c r="N604" t="s">
        <v>2873</v>
      </c>
      <c r="O604" t="s">
        <v>74</v>
      </c>
      <c r="P604" t="s">
        <v>74</v>
      </c>
      <c r="Q604" t="s">
        <v>74</v>
      </c>
      <c r="R604" t="s">
        <v>74</v>
      </c>
      <c r="S604" t="s">
        <v>74</v>
      </c>
      <c r="T604" t="s">
        <v>74</v>
      </c>
      <c r="U604" t="s">
        <v>74</v>
      </c>
      <c r="V604" t="s">
        <v>74</v>
      </c>
      <c r="W604" t="s">
        <v>11957</v>
      </c>
      <c r="X604" t="s">
        <v>11958</v>
      </c>
      <c r="Y604" t="s">
        <v>11959</v>
      </c>
      <c r="Z604" t="s">
        <v>11960</v>
      </c>
      <c r="AA604" t="s">
        <v>74</v>
      </c>
      <c r="AB604" t="s">
        <v>74</v>
      </c>
      <c r="AC604" t="s">
        <v>74</v>
      </c>
      <c r="AD604" t="s">
        <v>74</v>
      </c>
      <c r="AE604" t="s">
        <v>74</v>
      </c>
      <c r="AF604" t="s">
        <v>74</v>
      </c>
      <c r="AG604">
        <v>1</v>
      </c>
      <c r="AH604">
        <v>0</v>
      </c>
      <c r="AI604">
        <v>0</v>
      </c>
      <c r="AJ604">
        <v>1</v>
      </c>
      <c r="AK604">
        <v>1</v>
      </c>
      <c r="AL604" t="s">
        <v>178</v>
      </c>
      <c r="AM604" t="s">
        <v>450</v>
      </c>
      <c r="AN604" t="s">
        <v>668</v>
      </c>
      <c r="AO604" t="s">
        <v>11961</v>
      </c>
      <c r="AP604" t="s">
        <v>11962</v>
      </c>
      <c r="AQ604" t="s">
        <v>74</v>
      </c>
      <c r="AR604" t="s">
        <v>11963</v>
      </c>
      <c r="AS604" t="s">
        <v>11964</v>
      </c>
      <c r="AT604" t="s">
        <v>11575</v>
      </c>
      <c r="AU604">
        <v>2022</v>
      </c>
      <c r="AV604">
        <v>82</v>
      </c>
      <c r="AW604">
        <v>8</v>
      </c>
      <c r="AX604" t="s">
        <v>74</v>
      </c>
      <c r="AY604" t="s">
        <v>74</v>
      </c>
      <c r="AZ604" t="s">
        <v>74</v>
      </c>
      <c r="BA604" t="s">
        <v>74</v>
      </c>
      <c r="BB604" t="s">
        <v>74</v>
      </c>
      <c r="BC604" t="s">
        <v>74</v>
      </c>
      <c r="BD604">
        <v>660</v>
      </c>
      <c r="BE604" t="s">
        <v>11965</v>
      </c>
      <c r="BF604" t="str">
        <f>HYPERLINK("http://dx.doi.org/10.1140/epjc/s10052-022-10602-8","http://dx.doi.org/10.1140/epjc/s10052-022-10602-8")</f>
        <v>http://dx.doi.org/10.1140/epjc/s10052-022-10602-8</v>
      </c>
      <c r="BG604" t="s">
        <v>74</v>
      </c>
      <c r="BH604" t="s">
        <v>74</v>
      </c>
      <c r="BI604">
        <v>2</v>
      </c>
      <c r="BJ604" t="s">
        <v>11966</v>
      </c>
      <c r="BK604" t="s">
        <v>100</v>
      </c>
      <c r="BL604" t="s">
        <v>7855</v>
      </c>
      <c r="BM604" t="s">
        <v>11967</v>
      </c>
      <c r="BN604" t="s">
        <v>74</v>
      </c>
      <c r="BO604" t="s">
        <v>266</v>
      </c>
      <c r="BP604" t="s">
        <v>74</v>
      </c>
      <c r="BQ604" t="s">
        <v>74</v>
      </c>
      <c r="BR604" t="s">
        <v>103</v>
      </c>
      <c r="BS604" t="s">
        <v>11968</v>
      </c>
      <c r="BT604" t="str">
        <f>HYPERLINK("https%3A%2F%2Fwww.webofscience.com%2Fwos%2Fwoscc%2Ffull-record%2FWOS:000834808700001","View Full Record in Web of Science")</f>
        <v>View Full Record in Web of Science</v>
      </c>
    </row>
    <row r="605" spans="1:72" x14ac:dyDescent="0.15">
      <c r="A605" t="s">
        <v>72</v>
      </c>
      <c r="B605" t="s">
        <v>11969</v>
      </c>
      <c r="C605" t="s">
        <v>74</v>
      </c>
      <c r="D605" t="s">
        <v>74</v>
      </c>
      <c r="E605" t="s">
        <v>74</v>
      </c>
      <c r="F605" t="s">
        <v>11970</v>
      </c>
      <c r="G605" t="s">
        <v>74</v>
      </c>
      <c r="H605" t="s">
        <v>74</v>
      </c>
      <c r="I605" t="s">
        <v>11971</v>
      </c>
      <c r="J605" t="s">
        <v>3770</v>
      </c>
      <c r="K605" t="s">
        <v>74</v>
      </c>
      <c r="L605" t="s">
        <v>74</v>
      </c>
      <c r="M605" t="s">
        <v>78</v>
      </c>
      <c r="N605" t="s">
        <v>79</v>
      </c>
      <c r="O605" t="s">
        <v>74</v>
      </c>
      <c r="P605" t="s">
        <v>74</v>
      </c>
      <c r="Q605" t="s">
        <v>74</v>
      </c>
      <c r="R605" t="s">
        <v>74</v>
      </c>
      <c r="S605" t="s">
        <v>74</v>
      </c>
      <c r="T605" t="s">
        <v>11972</v>
      </c>
      <c r="U605" t="s">
        <v>11973</v>
      </c>
      <c r="V605" t="s">
        <v>11974</v>
      </c>
      <c r="W605" t="s">
        <v>11975</v>
      </c>
      <c r="X605" t="s">
        <v>11976</v>
      </c>
      <c r="Y605" t="s">
        <v>11977</v>
      </c>
      <c r="Z605" t="s">
        <v>11978</v>
      </c>
      <c r="AA605" t="s">
        <v>11979</v>
      </c>
      <c r="AB605" t="s">
        <v>11980</v>
      </c>
      <c r="AC605" t="s">
        <v>11981</v>
      </c>
      <c r="AD605" t="s">
        <v>11981</v>
      </c>
      <c r="AE605" t="s">
        <v>11982</v>
      </c>
      <c r="AF605" t="s">
        <v>74</v>
      </c>
      <c r="AG605">
        <v>69</v>
      </c>
      <c r="AH605">
        <v>5</v>
      </c>
      <c r="AI605">
        <v>5</v>
      </c>
      <c r="AJ605">
        <v>2</v>
      </c>
      <c r="AK605">
        <v>14</v>
      </c>
      <c r="AL605" t="s">
        <v>2249</v>
      </c>
      <c r="AM605" t="s">
        <v>90</v>
      </c>
      <c r="AN605" t="s">
        <v>2250</v>
      </c>
      <c r="AO605" t="s">
        <v>3780</v>
      </c>
      <c r="AP605" t="s">
        <v>3781</v>
      </c>
      <c r="AQ605" t="s">
        <v>74</v>
      </c>
      <c r="AR605" t="s">
        <v>3782</v>
      </c>
      <c r="AS605" t="s">
        <v>3783</v>
      </c>
      <c r="AT605" t="s">
        <v>5386</v>
      </c>
      <c r="AU605">
        <v>2022</v>
      </c>
      <c r="AV605">
        <v>272</v>
      </c>
      <c r="AW605" t="s">
        <v>74</v>
      </c>
      <c r="AX605" t="s">
        <v>74</v>
      </c>
      <c r="AY605" t="s">
        <v>74</v>
      </c>
      <c r="AZ605" t="s">
        <v>74</v>
      </c>
      <c r="BA605" t="s">
        <v>74</v>
      </c>
      <c r="BB605" t="s">
        <v>74</v>
      </c>
      <c r="BC605" t="s">
        <v>74</v>
      </c>
      <c r="BD605">
        <v>109630</v>
      </c>
      <c r="BE605" t="s">
        <v>11983</v>
      </c>
      <c r="BF605" t="str">
        <f>HYPERLINK("http://dx.doi.org/10.1016/j.biocon.2022.109630","http://dx.doi.org/10.1016/j.biocon.2022.109630")</f>
        <v>http://dx.doi.org/10.1016/j.biocon.2022.109630</v>
      </c>
      <c r="BG605" t="s">
        <v>74</v>
      </c>
      <c r="BH605" t="s">
        <v>74</v>
      </c>
      <c r="BI605">
        <v>11</v>
      </c>
      <c r="BJ605" t="s">
        <v>3785</v>
      </c>
      <c r="BK605" t="s">
        <v>100</v>
      </c>
      <c r="BL605" t="s">
        <v>1170</v>
      </c>
      <c r="BM605" t="s">
        <v>11984</v>
      </c>
      <c r="BN605" t="s">
        <v>74</v>
      </c>
      <c r="BO605" t="s">
        <v>11985</v>
      </c>
      <c r="BP605" t="s">
        <v>74</v>
      </c>
      <c r="BQ605" t="s">
        <v>74</v>
      </c>
      <c r="BR605" t="s">
        <v>103</v>
      </c>
      <c r="BS605" t="s">
        <v>11986</v>
      </c>
      <c r="BT605" t="str">
        <f>HYPERLINK("https%3A%2F%2Fwww.webofscience.com%2Fwos%2Fwoscc%2Ffull-record%2FWOS:000823090300008","View Full Record in Web of Science")</f>
        <v>View Full Record in Web of Science</v>
      </c>
    </row>
    <row r="606" spans="1:72" x14ac:dyDescent="0.15">
      <c r="A606" t="s">
        <v>72</v>
      </c>
      <c r="B606" t="s">
        <v>11987</v>
      </c>
      <c r="C606" t="s">
        <v>74</v>
      </c>
      <c r="D606" t="s">
        <v>74</v>
      </c>
      <c r="E606" t="s">
        <v>74</v>
      </c>
      <c r="F606" t="s">
        <v>11988</v>
      </c>
      <c r="G606" t="s">
        <v>74</v>
      </c>
      <c r="H606" t="s">
        <v>74</v>
      </c>
      <c r="I606" t="s">
        <v>11989</v>
      </c>
      <c r="J606" t="s">
        <v>2448</v>
      </c>
      <c r="K606" t="s">
        <v>74</v>
      </c>
      <c r="L606" t="s">
        <v>74</v>
      </c>
      <c r="M606" t="s">
        <v>78</v>
      </c>
      <c r="N606" t="s">
        <v>79</v>
      </c>
      <c r="O606" t="s">
        <v>74</v>
      </c>
      <c r="P606" t="s">
        <v>74</v>
      </c>
      <c r="Q606" t="s">
        <v>74</v>
      </c>
      <c r="R606" t="s">
        <v>74</v>
      </c>
      <c r="S606" t="s">
        <v>74</v>
      </c>
      <c r="T606" t="s">
        <v>74</v>
      </c>
      <c r="U606" t="s">
        <v>11990</v>
      </c>
      <c r="V606" t="s">
        <v>11991</v>
      </c>
      <c r="W606" t="s">
        <v>11992</v>
      </c>
      <c r="X606" t="s">
        <v>11993</v>
      </c>
      <c r="Y606" t="s">
        <v>11994</v>
      </c>
      <c r="Z606" t="s">
        <v>11995</v>
      </c>
      <c r="AA606" t="s">
        <v>11996</v>
      </c>
      <c r="AB606" t="s">
        <v>11997</v>
      </c>
      <c r="AC606" t="s">
        <v>11998</v>
      </c>
      <c r="AD606" t="s">
        <v>11999</v>
      </c>
      <c r="AE606" t="s">
        <v>12000</v>
      </c>
      <c r="AF606" t="s">
        <v>74</v>
      </c>
      <c r="AG606">
        <v>73</v>
      </c>
      <c r="AH606">
        <v>15</v>
      </c>
      <c r="AI606">
        <v>15</v>
      </c>
      <c r="AJ606">
        <v>15</v>
      </c>
      <c r="AK606">
        <v>49</v>
      </c>
      <c r="AL606" t="s">
        <v>2460</v>
      </c>
      <c r="AM606" t="s">
        <v>2461</v>
      </c>
      <c r="AN606" t="s">
        <v>2462</v>
      </c>
      <c r="AO606" t="s">
        <v>2463</v>
      </c>
      <c r="AP606" t="s">
        <v>2464</v>
      </c>
      <c r="AQ606" t="s">
        <v>74</v>
      </c>
      <c r="AR606" t="s">
        <v>2448</v>
      </c>
      <c r="AS606" t="s">
        <v>2465</v>
      </c>
      <c r="AT606" t="s">
        <v>11575</v>
      </c>
      <c r="AU606">
        <v>2022</v>
      </c>
      <c r="AV606">
        <v>19</v>
      </c>
      <c r="AW606">
        <v>15</v>
      </c>
      <c r="AX606" t="s">
        <v>74</v>
      </c>
      <c r="AY606" t="s">
        <v>74</v>
      </c>
      <c r="AZ606" t="s">
        <v>74</v>
      </c>
      <c r="BA606" t="s">
        <v>74</v>
      </c>
      <c r="BB606">
        <v>3537</v>
      </c>
      <c r="BC606">
        <v>3557</v>
      </c>
      <c r="BD606" t="s">
        <v>74</v>
      </c>
      <c r="BE606" t="s">
        <v>12001</v>
      </c>
      <c r="BF606" t="str">
        <f>HYPERLINK("http://dx.doi.org/10.5194/bg-19-3537-2022","http://dx.doi.org/10.5194/bg-19-3537-2022")</f>
        <v>http://dx.doi.org/10.5194/bg-19-3537-2022</v>
      </c>
      <c r="BG606" t="s">
        <v>74</v>
      </c>
      <c r="BH606" t="s">
        <v>74</v>
      </c>
      <c r="BI606">
        <v>21</v>
      </c>
      <c r="BJ606" t="s">
        <v>2467</v>
      </c>
      <c r="BK606" t="s">
        <v>100</v>
      </c>
      <c r="BL606" t="s">
        <v>1219</v>
      </c>
      <c r="BM606" t="s">
        <v>12002</v>
      </c>
      <c r="BN606" t="s">
        <v>74</v>
      </c>
      <c r="BO606" t="s">
        <v>3262</v>
      </c>
      <c r="BP606" t="s">
        <v>74</v>
      </c>
      <c r="BQ606" t="s">
        <v>74</v>
      </c>
      <c r="BR606" t="s">
        <v>103</v>
      </c>
      <c r="BS606" t="s">
        <v>12003</v>
      </c>
      <c r="BT606" t="str">
        <f>HYPERLINK("https%3A%2F%2Fwww.webofscience.com%2Fwos%2Fwoscc%2Ffull-record%2FWOS:000834259400001","View Full Record in Web of Science")</f>
        <v>View Full Record in Web of Science</v>
      </c>
    </row>
    <row r="607" spans="1:72" x14ac:dyDescent="0.15">
      <c r="A607" t="s">
        <v>72</v>
      </c>
      <c r="B607" t="s">
        <v>12004</v>
      </c>
      <c r="C607" t="s">
        <v>74</v>
      </c>
      <c r="D607" t="s">
        <v>74</v>
      </c>
      <c r="E607" t="s">
        <v>74</v>
      </c>
      <c r="F607" t="s">
        <v>12005</v>
      </c>
      <c r="G607" t="s">
        <v>74</v>
      </c>
      <c r="H607" t="s">
        <v>74</v>
      </c>
      <c r="I607" t="s">
        <v>12006</v>
      </c>
      <c r="J607" t="s">
        <v>12007</v>
      </c>
      <c r="K607" t="s">
        <v>74</v>
      </c>
      <c r="L607" t="s">
        <v>74</v>
      </c>
      <c r="M607" t="s">
        <v>78</v>
      </c>
      <c r="N607" t="s">
        <v>79</v>
      </c>
      <c r="O607" t="s">
        <v>74</v>
      </c>
      <c r="P607" t="s">
        <v>74</v>
      </c>
      <c r="Q607" t="s">
        <v>74</v>
      </c>
      <c r="R607" t="s">
        <v>74</v>
      </c>
      <c r="S607" t="s">
        <v>74</v>
      </c>
      <c r="T607" t="s">
        <v>12008</v>
      </c>
      <c r="U607" t="s">
        <v>12009</v>
      </c>
      <c r="V607" t="s">
        <v>12010</v>
      </c>
      <c r="W607" t="s">
        <v>12011</v>
      </c>
      <c r="X607" t="s">
        <v>12012</v>
      </c>
      <c r="Y607" t="s">
        <v>12013</v>
      </c>
      <c r="Z607" t="s">
        <v>12014</v>
      </c>
      <c r="AA607" t="s">
        <v>74</v>
      </c>
      <c r="AB607" t="s">
        <v>12015</v>
      </c>
      <c r="AC607" t="s">
        <v>12016</v>
      </c>
      <c r="AD607" t="s">
        <v>12017</v>
      </c>
      <c r="AE607" t="s">
        <v>12018</v>
      </c>
      <c r="AF607" t="s">
        <v>74</v>
      </c>
      <c r="AG607">
        <v>48</v>
      </c>
      <c r="AH607">
        <v>1</v>
      </c>
      <c r="AI607">
        <v>1</v>
      </c>
      <c r="AJ607">
        <v>1</v>
      </c>
      <c r="AK607">
        <v>1</v>
      </c>
      <c r="AL607" t="s">
        <v>12019</v>
      </c>
      <c r="AM607" t="s">
        <v>12020</v>
      </c>
      <c r="AN607" t="s">
        <v>12021</v>
      </c>
      <c r="AO607" t="s">
        <v>12022</v>
      </c>
      <c r="AP607" t="s">
        <v>12023</v>
      </c>
      <c r="AQ607" t="s">
        <v>74</v>
      </c>
      <c r="AR607" t="s">
        <v>12024</v>
      </c>
      <c r="AS607" t="s">
        <v>12025</v>
      </c>
      <c r="AT607" t="s">
        <v>5386</v>
      </c>
      <c r="AU607">
        <v>2022</v>
      </c>
      <c r="AV607">
        <v>323</v>
      </c>
      <c r="AW607">
        <v>2</v>
      </c>
      <c r="AX607" t="s">
        <v>74</v>
      </c>
      <c r="AY607" t="s">
        <v>74</v>
      </c>
      <c r="AZ607" t="s">
        <v>74</v>
      </c>
      <c r="BA607" t="s">
        <v>74</v>
      </c>
      <c r="BB607" t="s">
        <v>12026</v>
      </c>
      <c r="BC607" t="s">
        <v>12027</v>
      </c>
      <c r="BD607" t="s">
        <v>74</v>
      </c>
      <c r="BE607" t="s">
        <v>12028</v>
      </c>
      <c r="BF607" t="str">
        <f>HYPERLINK("http://dx.doi.org/10.1152/ajpregu.00069.2022","http://dx.doi.org/10.1152/ajpregu.00069.2022")</f>
        <v>http://dx.doi.org/10.1152/ajpregu.00069.2022</v>
      </c>
      <c r="BG607" t="s">
        <v>74</v>
      </c>
      <c r="BH607" t="s">
        <v>74</v>
      </c>
      <c r="BI607">
        <v>12</v>
      </c>
      <c r="BJ607" t="s">
        <v>12029</v>
      </c>
      <c r="BK607" t="s">
        <v>100</v>
      </c>
      <c r="BL607" t="s">
        <v>12029</v>
      </c>
      <c r="BM607" t="s">
        <v>12030</v>
      </c>
      <c r="BN607">
        <v>35639858</v>
      </c>
      <c r="BO607" t="s">
        <v>2512</v>
      </c>
      <c r="BP607" t="s">
        <v>74</v>
      </c>
      <c r="BQ607" t="s">
        <v>74</v>
      </c>
      <c r="BR607" t="s">
        <v>103</v>
      </c>
      <c r="BS607" t="s">
        <v>12031</v>
      </c>
      <c r="BT607" t="str">
        <f>HYPERLINK("https%3A%2F%2Fwww.webofscience.com%2Fwos%2Fwoscc%2Ffull-record%2FWOS:000863511800003","View Full Record in Web of Science")</f>
        <v>View Full Record in Web of Science</v>
      </c>
    </row>
    <row r="608" spans="1:72" x14ac:dyDescent="0.15">
      <c r="A608" t="s">
        <v>72</v>
      </c>
      <c r="B608" t="s">
        <v>12032</v>
      </c>
      <c r="C608" t="s">
        <v>74</v>
      </c>
      <c r="D608" t="s">
        <v>74</v>
      </c>
      <c r="E608" t="s">
        <v>74</v>
      </c>
      <c r="F608" t="s">
        <v>12033</v>
      </c>
      <c r="G608" t="s">
        <v>74</v>
      </c>
      <c r="H608" t="s">
        <v>74</v>
      </c>
      <c r="I608" t="s">
        <v>12034</v>
      </c>
      <c r="J608" t="s">
        <v>12035</v>
      </c>
      <c r="K608" t="s">
        <v>74</v>
      </c>
      <c r="L608" t="s">
        <v>74</v>
      </c>
      <c r="M608" t="s">
        <v>78</v>
      </c>
      <c r="N608" t="s">
        <v>79</v>
      </c>
      <c r="O608" t="s">
        <v>74</v>
      </c>
      <c r="P608" t="s">
        <v>74</v>
      </c>
      <c r="Q608" t="s">
        <v>74</v>
      </c>
      <c r="R608" t="s">
        <v>74</v>
      </c>
      <c r="S608" t="s">
        <v>74</v>
      </c>
      <c r="T608" t="s">
        <v>12036</v>
      </c>
      <c r="U608" t="s">
        <v>12037</v>
      </c>
      <c r="V608" t="s">
        <v>12038</v>
      </c>
      <c r="W608" t="s">
        <v>12039</v>
      </c>
      <c r="X608" t="s">
        <v>12040</v>
      </c>
      <c r="Y608" t="s">
        <v>12041</v>
      </c>
      <c r="Z608" t="s">
        <v>12042</v>
      </c>
      <c r="AA608" t="s">
        <v>12043</v>
      </c>
      <c r="AB608" t="s">
        <v>12044</v>
      </c>
      <c r="AC608" t="s">
        <v>12045</v>
      </c>
      <c r="AD608" t="s">
        <v>12046</v>
      </c>
      <c r="AE608" t="s">
        <v>12047</v>
      </c>
      <c r="AF608" t="s">
        <v>74</v>
      </c>
      <c r="AG608">
        <v>35</v>
      </c>
      <c r="AH608">
        <v>0</v>
      </c>
      <c r="AI608">
        <v>0</v>
      </c>
      <c r="AJ608">
        <v>3</v>
      </c>
      <c r="AK608">
        <v>16</v>
      </c>
      <c r="AL608" t="s">
        <v>12048</v>
      </c>
      <c r="AM608" t="s">
        <v>2060</v>
      </c>
      <c r="AN608" t="s">
        <v>12049</v>
      </c>
      <c r="AO608" t="s">
        <v>12050</v>
      </c>
      <c r="AP608" t="s">
        <v>12051</v>
      </c>
      <c r="AQ608" t="s">
        <v>74</v>
      </c>
      <c r="AR608" t="s">
        <v>12052</v>
      </c>
      <c r="AS608" t="s">
        <v>12053</v>
      </c>
      <c r="AT608" t="s">
        <v>5386</v>
      </c>
      <c r="AU608">
        <v>2022</v>
      </c>
      <c r="AV608">
        <v>100</v>
      </c>
      <c r="AW608">
        <v>4</v>
      </c>
      <c r="AX608" t="s">
        <v>74</v>
      </c>
      <c r="AY608" t="s">
        <v>74</v>
      </c>
      <c r="AZ608" t="s">
        <v>74</v>
      </c>
      <c r="BA608" t="s">
        <v>74</v>
      </c>
      <c r="BB608">
        <v>687</v>
      </c>
      <c r="BC608">
        <v>705</v>
      </c>
      <c r="BD608" t="s">
        <v>74</v>
      </c>
      <c r="BE608" t="s">
        <v>12054</v>
      </c>
      <c r="BF608" t="str">
        <f>HYPERLINK("http://dx.doi.org/10.2151/jmsj.2022-036","http://dx.doi.org/10.2151/jmsj.2022-036")</f>
        <v>http://dx.doi.org/10.2151/jmsj.2022-036</v>
      </c>
      <c r="BG608" t="s">
        <v>74</v>
      </c>
      <c r="BH608" t="s">
        <v>74</v>
      </c>
      <c r="BI608">
        <v>19</v>
      </c>
      <c r="BJ608" t="s">
        <v>457</v>
      </c>
      <c r="BK608" t="s">
        <v>100</v>
      </c>
      <c r="BL608" t="s">
        <v>457</v>
      </c>
      <c r="BM608" t="s">
        <v>12055</v>
      </c>
      <c r="BN608" t="s">
        <v>74</v>
      </c>
      <c r="BO608" t="s">
        <v>266</v>
      </c>
      <c r="BP608" t="s">
        <v>74</v>
      </c>
      <c r="BQ608" t="s">
        <v>74</v>
      </c>
      <c r="BR608" t="s">
        <v>103</v>
      </c>
      <c r="BS608" t="s">
        <v>12056</v>
      </c>
      <c r="BT608" t="str">
        <f>HYPERLINK("https%3A%2F%2Fwww.webofscience.com%2Fwos%2Fwoscc%2Ffull-record%2FWOS:000829506000001","View Full Record in Web of Science")</f>
        <v>View Full Record in Web of Science</v>
      </c>
    </row>
    <row r="609" spans="1:72" x14ac:dyDescent="0.15">
      <c r="A609" t="s">
        <v>72</v>
      </c>
      <c r="B609" t="s">
        <v>12057</v>
      </c>
      <c r="C609" t="s">
        <v>74</v>
      </c>
      <c r="D609" t="s">
        <v>74</v>
      </c>
      <c r="E609" t="s">
        <v>74</v>
      </c>
      <c r="F609" t="s">
        <v>12058</v>
      </c>
      <c r="G609" t="s">
        <v>74</v>
      </c>
      <c r="H609" t="s">
        <v>74</v>
      </c>
      <c r="I609" t="s">
        <v>12059</v>
      </c>
      <c r="J609" t="s">
        <v>12060</v>
      </c>
      <c r="K609" t="s">
        <v>74</v>
      </c>
      <c r="L609" t="s">
        <v>74</v>
      </c>
      <c r="M609" t="s">
        <v>78</v>
      </c>
      <c r="N609" t="s">
        <v>79</v>
      </c>
      <c r="O609" t="s">
        <v>74</v>
      </c>
      <c r="P609" t="s">
        <v>74</v>
      </c>
      <c r="Q609" t="s">
        <v>74</v>
      </c>
      <c r="R609" t="s">
        <v>74</v>
      </c>
      <c r="S609" t="s">
        <v>74</v>
      </c>
      <c r="T609" t="s">
        <v>74</v>
      </c>
      <c r="U609" t="s">
        <v>12061</v>
      </c>
      <c r="V609" t="s">
        <v>12062</v>
      </c>
      <c r="W609" t="s">
        <v>12063</v>
      </c>
      <c r="X609" t="s">
        <v>12064</v>
      </c>
      <c r="Y609" t="s">
        <v>12065</v>
      </c>
      <c r="Z609" t="s">
        <v>12066</v>
      </c>
      <c r="AA609" t="s">
        <v>74</v>
      </c>
      <c r="AB609" t="s">
        <v>74</v>
      </c>
      <c r="AC609" t="s">
        <v>74</v>
      </c>
      <c r="AD609" t="s">
        <v>74</v>
      </c>
      <c r="AE609" t="s">
        <v>74</v>
      </c>
      <c r="AF609" t="s">
        <v>74</v>
      </c>
      <c r="AG609">
        <v>57</v>
      </c>
      <c r="AH609">
        <v>0</v>
      </c>
      <c r="AI609">
        <v>1</v>
      </c>
      <c r="AJ609">
        <v>0</v>
      </c>
      <c r="AK609">
        <v>0</v>
      </c>
      <c r="AL609" t="s">
        <v>577</v>
      </c>
      <c r="AM609" t="s">
        <v>450</v>
      </c>
      <c r="AN609" t="s">
        <v>578</v>
      </c>
      <c r="AO609" t="s">
        <v>12067</v>
      </c>
      <c r="AP609" t="s">
        <v>12068</v>
      </c>
      <c r="AQ609" t="s">
        <v>74</v>
      </c>
      <c r="AR609" t="s">
        <v>12069</v>
      </c>
      <c r="AS609" t="s">
        <v>12070</v>
      </c>
      <c r="AT609" t="s">
        <v>5386</v>
      </c>
      <c r="AU609">
        <v>2022</v>
      </c>
      <c r="AV609">
        <v>60</v>
      </c>
      <c r="AW609">
        <v>4</v>
      </c>
      <c r="AX609" t="s">
        <v>74</v>
      </c>
      <c r="AY609" t="s">
        <v>74</v>
      </c>
      <c r="AZ609" t="s">
        <v>74</v>
      </c>
      <c r="BA609" t="s">
        <v>74</v>
      </c>
      <c r="BB609">
        <v>297</v>
      </c>
      <c r="BC609">
        <v>312</v>
      </c>
      <c r="BD609" t="s">
        <v>74</v>
      </c>
      <c r="BE609" t="s">
        <v>12071</v>
      </c>
      <c r="BF609" t="str">
        <f>HYPERLINK("http://dx.doi.org/10.1134/S0010952522030078","http://dx.doi.org/10.1134/S0010952522030078")</f>
        <v>http://dx.doi.org/10.1134/S0010952522030078</v>
      </c>
      <c r="BG609" t="s">
        <v>74</v>
      </c>
      <c r="BH609" t="s">
        <v>74</v>
      </c>
      <c r="BI609">
        <v>16</v>
      </c>
      <c r="BJ609" t="s">
        <v>12072</v>
      </c>
      <c r="BK609" t="s">
        <v>100</v>
      </c>
      <c r="BL609" t="s">
        <v>12073</v>
      </c>
      <c r="BM609" t="s">
        <v>12074</v>
      </c>
      <c r="BN609" t="s">
        <v>74</v>
      </c>
      <c r="BO609" t="s">
        <v>74</v>
      </c>
      <c r="BP609" t="s">
        <v>74</v>
      </c>
      <c r="BQ609" t="s">
        <v>74</v>
      </c>
      <c r="BR609" t="s">
        <v>103</v>
      </c>
      <c r="BS609" t="s">
        <v>12075</v>
      </c>
      <c r="BT609" t="str">
        <f>HYPERLINK("https%3A%2F%2Fwww.webofscience.com%2Fwos%2Fwoscc%2Ffull-record%2FWOS:000828571200006","View Full Record in Web of Science")</f>
        <v>View Full Record in Web of Science</v>
      </c>
    </row>
    <row r="610" spans="1:72" x14ac:dyDescent="0.15">
      <c r="A610" t="s">
        <v>72</v>
      </c>
      <c r="B610" t="s">
        <v>12076</v>
      </c>
      <c r="C610" t="s">
        <v>74</v>
      </c>
      <c r="D610" t="s">
        <v>74</v>
      </c>
      <c r="E610" t="s">
        <v>74</v>
      </c>
      <c r="F610" t="s">
        <v>12077</v>
      </c>
      <c r="G610" t="s">
        <v>74</v>
      </c>
      <c r="H610" t="s">
        <v>74</v>
      </c>
      <c r="I610" t="s">
        <v>12078</v>
      </c>
      <c r="J610" t="s">
        <v>1839</v>
      </c>
      <c r="K610" t="s">
        <v>74</v>
      </c>
      <c r="L610" t="s">
        <v>74</v>
      </c>
      <c r="M610" t="s">
        <v>78</v>
      </c>
      <c r="N610" t="s">
        <v>79</v>
      </c>
      <c r="O610" t="s">
        <v>74</v>
      </c>
      <c r="P610" t="s">
        <v>74</v>
      </c>
      <c r="Q610" t="s">
        <v>74</v>
      </c>
      <c r="R610" t="s">
        <v>74</v>
      </c>
      <c r="S610" t="s">
        <v>74</v>
      </c>
      <c r="T610" t="s">
        <v>12079</v>
      </c>
      <c r="U610" t="s">
        <v>12080</v>
      </c>
      <c r="V610" t="s">
        <v>12081</v>
      </c>
      <c r="W610" t="s">
        <v>12082</v>
      </c>
      <c r="X610" t="s">
        <v>12083</v>
      </c>
      <c r="Y610" t="s">
        <v>12084</v>
      </c>
      <c r="Z610" t="s">
        <v>12085</v>
      </c>
      <c r="AA610" t="s">
        <v>74</v>
      </c>
      <c r="AB610" t="s">
        <v>12086</v>
      </c>
      <c r="AC610" t="s">
        <v>12087</v>
      </c>
      <c r="AD610" t="s">
        <v>12088</v>
      </c>
      <c r="AE610" t="s">
        <v>12089</v>
      </c>
      <c r="AF610" t="s">
        <v>74</v>
      </c>
      <c r="AG610">
        <v>75</v>
      </c>
      <c r="AH610">
        <v>1</v>
      </c>
      <c r="AI610">
        <v>1</v>
      </c>
      <c r="AJ610">
        <v>1</v>
      </c>
      <c r="AK610">
        <v>8</v>
      </c>
      <c r="AL610" t="s">
        <v>1065</v>
      </c>
      <c r="AM610" t="s">
        <v>1066</v>
      </c>
      <c r="AN610" t="s">
        <v>1067</v>
      </c>
      <c r="AO610" t="s">
        <v>1851</v>
      </c>
      <c r="AP610" t="s">
        <v>1852</v>
      </c>
      <c r="AQ610" t="s">
        <v>74</v>
      </c>
      <c r="AR610" t="s">
        <v>1853</v>
      </c>
      <c r="AS610" t="s">
        <v>1854</v>
      </c>
      <c r="AT610" t="s">
        <v>11575</v>
      </c>
      <c r="AU610">
        <v>2022</v>
      </c>
      <c r="AV610">
        <v>35</v>
      </c>
      <c r="AW610">
        <v>15</v>
      </c>
      <c r="AX610" t="s">
        <v>74</v>
      </c>
      <c r="AY610" t="s">
        <v>74</v>
      </c>
      <c r="AZ610" t="s">
        <v>74</v>
      </c>
      <c r="BA610" t="s">
        <v>74</v>
      </c>
      <c r="BB610">
        <v>4885</v>
      </c>
      <c r="BC610">
        <v>4904</v>
      </c>
      <c r="BD610" t="s">
        <v>74</v>
      </c>
      <c r="BE610" t="s">
        <v>12090</v>
      </c>
      <c r="BF610" t="str">
        <f>HYPERLINK("http://dx.doi.org/10.1175/JCLI-D-21-0793.1","http://dx.doi.org/10.1175/JCLI-D-21-0793.1")</f>
        <v>http://dx.doi.org/10.1175/JCLI-D-21-0793.1</v>
      </c>
      <c r="BG610" t="s">
        <v>74</v>
      </c>
      <c r="BH610" t="s">
        <v>74</v>
      </c>
      <c r="BI610">
        <v>20</v>
      </c>
      <c r="BJ610" t="s">
        <v>457</v>
      </c>
      <c r="BK610" t="s">
        <v>100</v>
      </c>
      <c r="BL610" t="s">
        <v>457</v>
      </c>
      <c r="BM610" t="s">
        <v>12091</v>
      </c>
      <c r="BN610" t="s">
        <v>74</v>
      </c>
      <c r="BO610" t="s">
        <v>12092</v>
      </c>
      <c r="BP610" t="s">
        <v>74</v>
      </c>
      <c r="BQ610" t="s">
        <v>74</v>
      </c>
      <c r="BR610" t="s">
        <v>103</v>
      </c>
      <c r="BS610" t="s">
        <v>12093</v>
      </c>
      <c r="BT610" t="str">
        <f>HYPERLINK("https%3A%2F%2Fwww.webofscience.com%2Fwos%2Fwoscc%2Ffull-record%2FWOS:000828206000001","View Full Record in Web of Science")</f>
        <v>View Full Record in Web of Science</v>
      </c>
    </row>
    <row r="611" spans="1:72" x14ac:dyDescent="0.15">
      <c r="A611" t="s">
        <v>72</v>
      </c>
      <c r="B611" t="s">
        <v>12094</v>
      </c>
      <c r="C611" t="s">
        <v>74</v>
      </c>
      <c r="D611" t="s">
        <v>74</v>
      </c>
      <c r="E611" t="s">
        <v>74</v>
      </c>
      <c r="F611" t="s">
        <v>12095</v>
      </c>
      <c r="G611" t="s">
        <v>74</v>
      </c>
      <c r="H611" t="s">
        <v>74</v>
      </c>
      <c r="I611" t="s">
        <v>12096</v>
      </c>
      <c r="J611" t="s">
        <v>1839</v>
      </c>
      <c r="K611" t="s">
        <v>74</v>
      </c>
      <c r="L611" t="s">
        <v>74</v>
      </c>
      <c r="M611" t="s">
        <v>78</v>
      </c>
      <c r="N611" t="s">
        <v>79</v>
      </c>
      <c r="O611" t="s">
        <v>74</v>
      </c>
      <c r="P611" t="s">
        <v>74</v>
      </c>
      <c r="Q611" t="s">
        <v>74</v>
      </c>
      <c r="R611" t="s">
        <v>74</v>
      </c>
      <c r="S611" t="s">
        <v>74</v>
      </c>
      <c r="T611" t="s">
        <v>12097</v>
      </c>
      <c r="U611" t="s">
        <v>12098</v>
      </c>
      <c r="V611" t="s">
        <v>12099</v>
      </c>
      <c r="W611" t="s">
        <v>12100</v>
      </c>
      <c r="X611" t="s">
        <v>12101</v>
      </c>
      <c r="Y611" t="s">
        <v>12102</v>
      </c>
      <c r="Z611" t="s">
        <v>12103</v>
      </c>
      <c r="AA611" t="s">
        <v>12104</v>
      </c>
      <c r="AB611" t="s">
        <v>12105</v>
      </c>
      <c r="AC611" t="s">
        <v>12106</v>
      </c>
      <c r="AD611" t="s">
        <v>12107</v>
      </c>
      <c r="AE611" t="s">
        <v>12108</v>
      </c>
      <c r="AF611" t="s">
        <v>74</v>
      </c>
      <c r="AG611">
        <v>30</v>
      </c>
      <c r="AH611">
        <v>13</v>
      </c>
      <c r="AI611">
        <v>13</v>
      </c>
      <c r="AJ611">
        <v>2</v>
      </c>
      <c r="AK611">
        <v>12</v>
      </c>
      <c r="AL611" t="s">
        <v>1065</v>
      </c>
      <c r="AM611" t="s">
        <v>1066</v>
      </c>
      <c r="AN611" t="s">
        <v>1067</v>
      </c>
      <c r="AO611" t="s">
        <v>1851</v>
      </c>
      <c r="AP611" t="s">
        <v>1852</v>
      </c>
      <c r="AQ611" t="s">
        <v>74</v>
      </c>
      <c r="AR611" t="s">
        <v>1853</v>
      </c>
      <c r="AS611" t="s">
        <v>1854</v>
      </c>
      <c r="AT611" t="s">
        <v>11575</v>
      </c>
      <c r="AU611">
        <v>2022</v>
      </c>
      <c r="AV611">
        <v>35</v>
      </c>
      <c r="AW611">
        <v>15</v>
      </c>
      <c r="AX611" t="s">
        <v>74</v>
      </c>
      <c r="AY611" t="s">
        <v>74</v>
      </c>
      <c r="AZ611" t="s">
        <v>74</v>
      </c>
      <c r="BA611" t="s">
        <v>74</v>
      </c>
      <c r="BB611">
        <v>5137</v>
      </c>
      <c r="BC611">
        <v>5149</v>
      </c>
      <c r="BD611" t="s">
        <v>74</v>
      </c>
      <c r="BE611" t="s">
        <v>12109</v>
      </c>
      <c r="BF611" t="str">
        <f>HYPERLINK("http://dx.doi.org/10.1175/JCLI-D-21-0927.1","http://dx.doi.org/10.1175/JCLI-D-21-0927.1")</f>
        <v>http://dx.doi.org/10.1175/JCLI-D-21-0927.1</v>
      </c>
      <c r="BG611" t="s">
        <v>74</v>
      </c>
      <c r="BH611" t="s">
        <v>74</v>
      </c>
      <c r="BI611">
        <v>13</v>
      </c>
      <c r="BJ611" t="s">
        <v>457</v>
      </c>
      <c r="BK611" t="s">
        <v>100</v>
      </c>
      <c r="BL611" t="s">
        <v>457</v>
      </c>
      <c r="BM611" t="s">
        <v>12091</v>
      </c>
      <c r="BN611" t="s">
        <v>74</v>
      </c>
      <c r="BO611" t="s">
        <v>74</v>
      </c>
      <c r="BP611" t="s">
        <v>74</v>
      </c>
      <c r="BQ611" t="s">
        <v>74</v>
      </c>
      <c r="BR611" t="s">
        <v>103</v>
      </c>
      <c r="BS611" t="s">
        <v>12110</v>
      </c>
      <c r="BT611" t="str">
        <f>HYPERLINK("https%3A%2F%2Fwww.webofscience.com%2Fwos%2Fwoscc%2Ffull-record%2FWOS:000828206000015","View Full Record in Web of Science")</f>
        <v>View Full Record in Web of Science</v>
      </c>
    </row>
    <row r="612" spans="1:72" x14ac:dyDescent="0.15">
      <c r="A612" t="s">
        <v>72</v>
      </c>
      <c r="B612" t="s">
        <v>12111</v>
      </c>
      <c r="C612" t="s">
        <v>74</v>
      </c>
      <c r="D612" t="s">
        <v>74</v>
      </c>
      <c r="E612" t="s">
        <v>74</v>
      </c>
      <c r="F612" t="s">
        <v>12112</v>
      </c>
      <c r="G612" t="s">
        <v>74</v>
      </c>
      <c r="H612" t="s">
        <v>74</v>
      </c>
      <c r="I612" t="s">
        <v>12113</v>
      </c>
      <c r="J612" t="s">
        <v>6840</v>
      </c>
      <c r="K612" t="s">
        <v>74</v>
      </c>
      <c r="L612" t="s">
        <v>74</v>
      </c>
      <c r="M612" t="s">
        <v>78</v>
      </c>
      <c r="N612" t="s">
        <v>79</v>
      </c>
      <c r="O612" t="s">
        <v>74</v>
      </c>
      <c r="P612" t="s">
        <v>74</v>
      </c>
      <c r="Q612" t="s">
        <v>74</v>
      </c>
      <c r="R612" t="s">
        <v>74</v>
      </c>
      <c r="S612" t="s">
        <v>74</v>
      </c>
      <c r="T612" t="s">
        <v>12114</v>
      </c>
      <c r="U612" t="s">
        <v>12115</v>
      </c>
      <c r="V612" t="s">
        <v>12116</v>
      </c>
      <c r="W612" t="s">
        <v>12117</v>
      </c>
      <c r="X612" t="s">
        <v>12118</v>
      </c>
      <c r="Y612" t="s">
        <v>12119</v>
      </c>
      <c r="Z612" t="s">
        <v>12120</v>
      </c>
      <c r="AA612" t="s">
        <v>12121</v>
      </c>
      <c r="AB612" t="s">
        <v>12122</v>
      </c>
      <c r="AC612" t="s">
        <v>12123</v>
      </c>
      <c r="AD612" t="s">
        <v>12124</v>
      </c>
      <c r="AE612" t="s">
        <v>12125</v>
      </c>
      <c r="AF612" t="s">
        <v>74</v>
      </c>
      <c r="AG612">
        <v>37</v>
      </c>
      <c r="AH612">
        <v>4</v>
      </c>
      <c r="AI612">
        <v>4</v>
      </c>
      <c r="AJ612">
        <v>3</v>
      </c>
      <c r="AK612">
        <v>15</v>
      </c>
      <c r="AL612" t="s">
        <v>1626</v>
      </c>
      <c r="AM612" t="s">
        <v>1627</v>
      </c>
      <c r="AN612" t="s">
        <v>1628</v>
      </c>
      <c r="AO612" t="s">
        <v>6853</v>
      </c>
      <c r="AP612" t="s">
        <v>74</v>
      </c>
      <c r="AQ612" t="s">
        <v>74</v>
      </c>
      <c r="AR612" t="s">
        <v>6854</v>
      </c>
      <c r="AS612" t="s">
        <v>6855</v>
      </c>
      <c r="AT612" t="s">
        <v>11575</v>
      </c>
      <c r="AU612">
        <v>2022</v>
      </c>
      <c r="AV612">
        <v>17</v>
      </c>
      <c r="AW612">
        <v>8</v>
      </c>
      <c r="AX612" t="s">
        <v>74</v>
      </c>
      <c r="AY612" t="s">
        <v>74</v>
      </c>
      <c r="AZ612" t="s">
        <v>74</v>
      </c>
      <c r="BA612" t="s">
        <v>74</v>
      </c>
      <c r="BB612" t="s">
        <v>74</v>
      </c>
      <c r="BC612" t="s">
        <v>74</v>
      </c>
      <c r="BD612">
        <v>84008</v>
      </c>
      <c r="BE612" t="s">
        <v>12126</v>
      </c>
      <c r="BF612" t="str">
        <f>HYPERLINK("http://dx.doi.org/10.1088/1748-9326/ac7d66","http://dx.doi.org/10.1088/1748-9326/ac7d66")</f>
        <v>http://dx.doi.org/10.1088/1748-9326/ac7d66</v>
      </c>
      <c r="BG612" t="s">
        <v>74</v>
      </c>
      <c r="BH612" t="s">
        <v>74</v>
      </c>
      <c r="BI612">
        <v>12</v>
      </c>
      <c r="BJ612" t="s">
        <v>1129</v>
      </c>
      <c r="BK612" t="s">
        <v>100</v>
      </c>
      <c r="BL612" t="s">
        <v>1130</v>
      </c>
      <c r="BM612" t="s">
        <v>12127</v>
      </c>
      <c r="BN612" t="s">
        <v>74</v>
      </c>
      <c r="BO612" t="s">
        <v>266</v>
      </c>
      <c r="BP612" t="s">
        <v>74</v>
      </c>
      <c r="BQ612" t="s">
        <v>74</v>
      </c>
      <c r="BR612" t="s">
        <v>103</v>
      </c>
      <c r="BS612" t="s">
        <v>12128</v>
      </c>
      <c r="BT612" t="str">
        <f>HYPERLINK("https%3A%2F%2Fwww.webofscience.com%2Fwos%2Fwoscc%2Ffull-record%2FWOS:000827243700001","View Full Record in Web of Science")</f>
        <v>View Full Record in Web of Science</v>
      </c>
    </row>
    <row r="613" spans="1:72" x14ac:dyDescent="0.15">
      <c r="A613" t="s">
        <v>72</v>
      </c>
      <c r="B613" t="s">
        <v>12129</v>
      </c>
      <c r="C613" t="s">
        <v>74</v>
      </c>
      <c r="D613" t="s">
        <v>74</v>
      </c>
      <c r="E613" t="s">
        <v>74</v>
      </c>
      <c r="F613" t="s">
        <v>12130</v>
      </c>
      <c r="G613" t="s">
        <v>74</v>
      </c>
      <c r="H613" t="s">
        <v>74</v>
      </c>
      <c r="I613" t="s">
        <v>12131</v>
      </c>
      <c r="J613" t="s">
        <v>12132</v>
      </c>
      <c r="K613" t="s">
        <v>74</v>
      </c>
      <c r="L613" t="s">
        <v>74</v>
      </c>
      <c r="M613" t="s">
        <v>78</v>
      </c>
      <c r="N613" t="s">
        <v>79</v>
      </c>
      <c r="O613" t="s">
        <v>74</v>
      </c>
      <c r="P613" t="s">
        <v>74</v>
      </c>
      <c r="Q613" t="s">
        <v>74</v>
      </c>
      <c r="R613" t="s">
        <v>74</v>
      </c>
      <c r="S613" t="s">
        <v>74</v>
      </c>
      <c r="T613" t="s">
        <v>12133</v>
      </c>
      <c r="U613" t="s">
        <v>12134</v>
      </c>
      <c r="V613" t="s">
        <v>12135</v>
      </c>
      <c r="W613" t="s">
        <v>12136</v>
      </c>
      <c r="X613" t="s">
        <v>12137</v>
      </c>
      <c r="Y613" t="s">
        <v>12138</v>
      </c>
      <c r="Z613" t="s">
        <v>12139</v>
      </c>
      <c r="AA613" t="s">
        <v>12140</v>
      </c>
      <c r="AB613" t="s">
        <v>12141</v>
      </c>
      <c r="AC613" t="s">
        <v>12142</v>
      </c>
      <c r="AD613" t="s">
        <v>12143</v>
      </c>
      <c r="AE613" t="s">
        <v>12144</v>
      </c>
      <c r="AF613" t="s">
        <v>74</v>
      </c>
      <c r="AG613">
        <v>124</v>
      </c>
      <c r="AH613">
        <v>7</v>
      </c>
      <c r="AI613">
        <v>7</v>
      </c>
      <c r="AJ613">
        <v>3</v>
      </c>
      <c r="AK613">
        <v>15</v>
      </c>
      <c r="AL613" t="s">
        <v>946</v>
      </c>
      <c r="AM613" t="s">
        <v>207</v>
      </c>
      <c r="AN613" t="s">
        <v>947</v>
      </c>
      <c r="AO613" t="s">
        <v>74</v>
      </c>
      <c r="AP613" t="s">
        <v>12145</v>
      </c>
      <c r="AQ613" t="s">
        <v>74</v>
      </c>
      <c r="AR613" t="s">
        <v>12146</v>
      </c>
      <c r="AS613" t="s">
        <v>12147</v>
      </c>
      <c r="AT613" t="s">
        <v>5386</v>
      </c>
      <c r="AU613">
        <v>2022</v>
      </c>
      <c r="AV613">
        <v>3</v>
      </c>
      <c r="AW613">
        <v>4</v>
      </c>
      <c r="AX613" t="s">
        <v>74</v>
      </c>
      <c r="AY613" t="s">
        <v>74</v>
      </c>
      <c r="AZ613" t="s">
        <v>74</v>
      </c>
      <c r="BA613" t="s">
        <v>74</v>
      </c>
      <c r="BB613" t="s">
        <v>74</v>
      </c>
      <c r="BC613" t="s">
        <v>74</v>
      </c>
      <c r="BD613" t="s">
        <v>12148</v>
      </c>
      <c r="BE613" t="s">
        <v>12149</v>
      </c>
      <c r="BF613" t="str">
        <f>HYPERLINK("http://dx.doi.org/10.1029/2021AV000610","http://dx.doi.org/10.1029/2021AV000610")</f>
        <v>http://dx.doi.org/10.1029/2021AV000610</v>
      </c>
      <c r="BG613" t="s">
        <v>74</v>
      </c>
      <c r="BH613" t="s">
        <v>74</v>
      </c>
      <c r="BI613">
        <v>19</v>
      </c>
      <c r="BJ613" t="s">
        <v>129</v>
      </c>
      <c r="BK613" t="s">
        <v>100</v>
      </c>
      <c r="BL613" t="s">
        <v>130</v>
      </c>
      <c r="BM613" t="s">
        <v>12150</v>
      </c>
      <c r="BN613" t="s">
        <v>74</v>
      </c>
      <c r="BO613" t="s">
        <v>132</v>
      </c>
      <c r="BP613" t="s">
        <v>74</v>
      </c>
      <c r="BQ613" t="s">
        <v>74</v>
      </c>
      <c r="BR613" t="s">
        <v>103</v>
      </c>
      <c r="BS613" t="s">
        <v>12151</v>
      </c>
      <c r="BT613" t="str">
        <f>HYPERLINK("https%3A%2F%2Fwww.webofscience.com%2Fwos%2Fwoscc%2Ffull-record%2FWOS:000823100100001","View Full Record in Web of Science")</f>
        <v>View Full Record in Web of Science</v>
      </c>
    </row>
    <row r="614" spans="1:72" x14ac:dyDescent="0.15">
      <c r="A614" t="s">
        <v>72</v>
      </c>
      <c r="B614" t="s">
        <v>12152</v>
      </c>
      <c r="C614" t="s">
        <v>74</v>
      </c>
      <c r="D614" t="s">
        <v>74</v>
      </c>
      <c r="E614" t="s">
        <v>74</v>
      </c>
      <c r="F614" t="s">
        <v>12153</v>
      </c>
      <c r="G614" t="s">
        <v>74</v>
      </c>
      <c r="H614" t="s">
        <v>74</v>
      </c>
      <c r="I614" t="s">
        <v>12154</v>
      </c>
      <c r="J614" t="s">
        <v>12155</v>
      </c>
      <c r="K614" t="s">
        <v>74</v>
      </c>
      <c r="L614" t="s">
        <v>74</v>
      </c>
      <c r="M614" t="s">
        <v>78</v>
      </c>
      <c r="N614" t="s">
        <v>79</v>
      </c>
      <c r="O614" t="s">
        <v>74</v>
      </c>
      <c r="P614" t="s">
        <v>74</v>
      </c>
      <c r="Q614" t="s">
        <v>74</v>
      </c>
      <c r="R614" t="s">
        <v>74</v>
      </c>
      <c r="S614" t="s">
        <v>74</v>
      </c>
      <c r="T614" t="s">
        <v>12156</v>
      </c>
      <c r="U614" t="s">
        <v>12157</v>
      </c>
      <c r="V614" t="s">
        <v>12158</v>
      </c>
      <c r="W614" t="s">
        <v>12159</v>
      </c>
      <c r="X614" t="s">
        <v>12160</v>
      </c>
      <c r="Y614" t="s">
        <v>12161</v>
      </c>
      <c r="Z614" t="s">
        <v>12162</v>
      </c>
      <c r="AA614" t="s">
        <v>12163</v>
      </c>
      <c r="AB614" t="s">
        <v>74</v>
      </c>
      <c r="AC614" t="s">
        <v>12164</v>
      </c>
      <c r="AD614" t="s">
        <v>12165</v>
      </c>
      <c r="AE614" t="s">
        <v>12166</v>
      </c>
      <c r="AF614" t="s">
        <v>74</v>
      </c>
      <c r="AG614">
        <v>48</v>
      </c>
      <c r="AH614">
        <v>2</v>
      </c>
      <c r="AI614">
        <v>2</v>
      </c>
      <c r="AJ614">
        <v>2</v>
      </c>
      <c r="AK614">
        <v>8</v>
      </c>
      <c r="AL614" t="s">
        <v>178</v>
      </c>
      <c r="AM614" t="s">
        <v>450</v>
      </c>
      <c r="AN614" t="s">
        <v>668</v>
      </c>
      <c r="AO614" t="s">
        <v>12167</v>
      </c>
      <c r="AP614" t="s">
        <v>12168</v>
      </c>
      <c r="AQ614" t="s">
        <v>74</v>
      </c>
      <c r="AR614" t="s">
        <v>12169</v>
      </c>
      <c r="AS614" t="s">
        <v>12170</v>
      </c>
      <c r="AT614" t="s">
        <v>5386</v>
      </c>
      <c r="AU614">
        <v>2022</v>
      </c>
      <c r="AV614">
        <v>204</v>
      </c>
      <c r="AW614">
        <v>8</v>
      </c>
      <c r="AX614" t="s">
        <v>74</v>
      </c>
      <c r="AY614" t="s">
        <v>74</v>
      </c>
      <c r="AZ614" t="s">
        <v>74</v>
      </c>
      <c r="BA614" t="s">
        <v>74</v>
      </c>
      <c r="BB614" t="s">
        <v>74</v>
      </c>
      <c r="BC614" t="s">
        <v>74</v>
      </c>
      <c r="BD614">
        <v>476</v>
      </c>
      <c r="BE614" t="s">
        <v>12171</v>
      </c>
      <c r="BF614" t="str">
        <f>HYPERLINK("http://dx.doi.org/10.1007/s00203-022-03093-4","http://dx.doi.org/10.1007/s00203-022-03093-4")</f>
        <v>http://dx.doi.org/10.1007/s00203-022-03093-4</v>
      </c>
      <c r="BG614" t="s">
        <v>74</v>
      </c>
      <c r="BH614" t="s">
        <v>74</v>
      </c>
      <c r="BI614">
        <v>10</v>
      </c>
      <c r="BJ614" t="s">
        <v>214</v>
      </c>
      <c r="BK614" t="s">
        <v>100</v>
      </c>
      <c r="BL614" t="s">
        <v>214</v>
      </c>
      <c r="BM614" t="s">
        <v>12172</v>
      </c>
      <c r="BN614">
        <v>35829937</v>
      </c>
      <c r="BO614" t="s">
        <v>74</v>
      </c>
      <c r="BP614" t="s">
        <v>74</v>
      </c>
      <c r="BQ614" t="s">
        <v>74</v>
      </c>
      <c r="BR614" t="s">
        <v>103</v>
      </c>
      <c r="BS614" t="s">
        <v>12173</v>
      </c>
      <c r="BT614" t="str">
        <f>HYPERLINK("https%3A%2F%2Fwww.webofscience.com%2Fwos%2Fwoscc%2Ffull-record%2FWOS:000824635600007","View Full Record in Web of Science")</f>
        <v>View Full Record in Web of Science</v>
      </c>
    </row>
    <row r="615" spans="1:72" x14ac:dyDescent="0.15">
      <c r="A615" t="s">
        <v>72</v>
      </c>
      <c r="B615" t="s">
        <v>12174</v>
      </c>
      <c r="C615" t="s">
        <v>74</v>
      </c>
      <c r="D615" t="s">
        <v>74</v>
      </c>
      <c r="E615" t="s">
        <v>74</v>
      </c>
      <c r="F615" t="s">
        <v>12175</v>
      </c>
      <c r="G615" t="s">
        <v>74</v>
      </c>
      <c r="H615" t="s">
        <v>74</v>
      </c>
      <c r="I615" t="s">
        <v>12176</v>
      </c>
      <c r="J615" t="s">
        <v>12177</v>
      </c>
      <c r="K615" t="s">
        <v>74</v>
      </c>
      <c r="L615" t="s">
        <v>74</v>
      </c>
      <c r="M615" t="s">
        <v>78</v>
      </c>
      <c r="N615" t="s">
        <v>79</v>
      </c>
      <c r="O615" t="s">
        <v>74</v>
      </c>
      <c r="P615" t="s">
        <v>74</v>
      </c>
      <c r="Q615" t="s">
        <v>74</v>
      </c>
      <c r="R615" t="s">
        <v>74</v>
      </c>
      <c r="S615" t="s">
        <v>74</v>
      </c>
      <c r="T615" t="s">
        <v>12178</v>
      </c>
      <c r="U615" t="s">
        <v>12179</v>
      </c>
      <c r="V615" t="s">
        <v>12180</v>
      </c>
      <c r="W615" t="s">
        <v>12181</v>
      </c>
      <c r="X615" t="s">
        <v>12182</v>
      </c>
      <c r="Y615" t="s">
        <v>12183</v>
      </c>
      <c r="Z615" t="s">
        <v>10282</v>
      </c>
      <c r="AA615" t="s">
        <v>74</v>
      </c>
      <c r="AB615" t="s">
        <v>12184</v>
      </c>
      <c r="AC615" t="s">
        <v>12185</v>
      </c>
      <c r="AD615" t="s">
        <v>12186</v>
      </c>
      <c r="AE615" t="s">
        <v>12187</v>
      </c>
      <c r="AF615" t="s">
        <v>74</v>
      </c>
      <c r="AG615">
        <v>159</v>
      </c>
      <c r="AH615">
        <v>4</v>
      </c>
      <c r="AI615">
        <v>4</v>
      </c>
      <c r="AJ615">
        <v>2</v>
      </c>
      <c r="AK615">
        <v>14</v>
      </c>
      <c r="AL615" t="s">
        <v>4315</v>
      </c>
      <c r="AM615" t="s">
        <v>2060</v>
      </c>
      <c r="AN615" t="s">
        <v>4316</v>
      </c>
      <c r="AO615" t="s">
        <v>12188</v>
      </c>
      <c r="AP615" t="s">
        <v>12189</v>
      </c>
      <c r="AQ615" t="s">
        <v>74</v>
      </c>
      <c r="AR615" t="s">
        <v>12177</v>
      </c>
      <c r="AS615" t="s">
        <v>12190</v>
      </c>
      <c r="AT615" t="s">
        <v>5386</v>
      </c>
      <c r="AU615">
        <v>2022</v>
      </c>
      <c r="AV615">
        <v>26</v>
      </c>
      <c r="AW615">
        <v>2</v>
      </c>
      <c r="AX615" t="s">
        <v>74</v>
      </c>
      <c r="AY615" t="s">
        <v>74</v>
      </c>
      <c r="AZ615" t="s">
        <v>74</v>
      </c>
      <c r="BA615" t="s">
        <v>74</v>
      </c>
      <c r="BB615" t="s">
        <v>74</v>
      </c>
      <c r="BC615" t="s">
        <v>74</v>
      </c>
      <c r="BD615">
        <v>24</v>
      </c>
      <c r="BE615" t="s">
        <v>12191</v>
      </c>
      <c r="BF615" t="str">
        <f>HYPERLINK("http://dx.doi.org/10.1007/s00792-022-01271-2","http://dx.doi.org/10.1007/s00792-022-01271-2")</f>
        <v>http://dx.doi.org/10.1007/s00792-022-01271-2</v>
      </c>
      <c r="BG615" t="s">
        <v>74</v>
      </c>
      <c r="BH615" t="s">
        <v>74</v>
      </c>
      <c r="BI615">
        <v>25</v>
      </c>
      <c r="BJ615" t="s">
        <v>12192</v>
      </c>
      <c r="BK615" t="s">
        <v>100</v>
      </c>
      <c r="BL615" t="s">
        <v>12192</v>
      </c>
      <c r="BM615" t="s">
        <v>12193</v>
      </c>
      <c r="BN615">
        <v>35829965</v>
      </c>
      <c r="BO615" t="s">
        <v>1341</v>
      </c>
      <c r="BP615" t="s">
        <v>74</v>
      </c>
      <c r="BQ615" t="s">
        <v>74</v>
      </c>
      <c r="BR615" t="s">
        <v>103</v>
      </c>
      <c r="BS615" t="s">
        <v>12194</v>
      </c>
      <c r="BT615" t="str">
        <f>HYPERLINK("https%3A%2F%2Fwww.webofscience.com%2Fwos%2Fwoscc%2Ffull-record%2FWOS:000824679300001","View Full Record in Web of Science")</f>
        <v>View Full Record in Web of Science</v>
      </c>
    </row>
    <row r="616" spans="1:72" x14ac:dyDescent="0.15">
      <c r="A616" t="s">
        <v>72</v>
      </c>
      <c r="B616" t="s">
        <v>12195</v>
      </c>
      <c r="C616" t="s">
        <v>74</v>
      </c>
      <c r="D616" t="s">
        <v>74</v>
      </c>
      <c r="E616" t="s">
        <v>74</v>
      </c>
      <c r="F616" t="s">
        <v>12196</v>
      </c>
      <c r="G616" t="s">
        <v>74</v>
      </c>
      <c r="H616" t="s">
        <v>74</v>
      </c>
      <c r="I616" t="s">
        <v>12197</v>
      </c>
      <c r="J616" t="s">
        <v>12132</v>
      </c>
      <c r="K616" t="s">
        <v>74</v>
      </c>
      <c r="L616" t="s">
        <v>74</v>
      </c>
      <c r="M616" t="s">
        <v>78</v>
      </c>
      <c r="N616" t="s">
        <v>79</v>
      </c>
      <c r="O616" t="s">
        <v>74</v>
      </c>
      <c r="P616" t="s">
        <v>74</v>
      </c>
      <c r="Q616" t="s">
        <v>74</v>
      </c>
      <c r="R616" t="s">
        <v>74</v>
      </c>
      <c r="S616" t="s">
        <v>74</v>
      </c>
      <c r="T616" t="s">
        <v>12198</v>
      </c>
      <c r="U616" t="s">
        <v>12199</v>
      </c>
      <c r="V616" t="s">
        <v>12200</v>
      </c>
      <c r="W616" t="s">
        <v>12201</v>
      </c>
      <c r="X616" t="s">
        <v>12202</v>
      </c>
      <c r="Y616" t="s">
        <v>12203</v>
      </c>
      <c r="Z616" t="s">
        <v>12204</v>
      </c>
      <c r="AA616" t="s">
        <v>12205</v>
      </c>
      <c r="AB616" t="s">
        <v>12206</v>
      </c>
      <c r="AC616" t="s">
        <v>12207</v>
      </c>
      <c r="AD616" t="s">
        <v>12208</v>
      </c>
      <c r="AE616" t="s">
        <v>12209</v>
      </c>
      <c r="AF616" t="s">
        <v>74</v>
      </c>
      <c r="AG616">
        <v>68</v>
      </c>
      <c r="AH616">
        <v>7</v>
      </c>
      <c r="AI616">
        <v>7</v>
      </c>
      <c r="AJ616">
        <v>1</v>
      </c>
      <c r="AK616">
        <v>11</v>
      </c>
      <c r="AL616" t="s">
        <v>946</v>
      </c>
      <c r="AM616" t="s">
        <v>207</v>
      </c>
      <c r="AN616" t="s">
        <v>947</v>
      </c>
      <c r="AO616" t="s">
        <v>74</v>
      </c>
      <c r="AP616" t="s">
        <v>12145</v>
      </c>
      <c r="AQ616" t="s">
        <v>74</v>
      </c>
      <c r="AR616" t="s">
        <v>12146</v>
      </c>
      <c r="AS616" t="s">
        <v>12147</v>
      </c>
      <c r="AT616" t="s">
        <v>5386</v>
      </c>
      <c r="AU616">
        <v>2022</v>
      </c>
      <c r="AV616">
        <v>3</v>
      </c>
      <c r="AW616">
        <v>4</v>
      </c>
      <c r="AX616" t="s">
        <v>74</v>
      </c>
      <c r="AY616" t="s">
        <v>74</v>
      </c>
      <c r="AZ616" t="s">
        <v>74</v>
      </c>
      <c r="BA616" t="s">
        <v>74</v>
      </c>
      <c r="BB616" t="s">
        <v>74</v>
      </c>
      <c r="BC616" t="s">
        <v>74</v>
      </c>
      <c r="BD616" t="s">
        <v>12210</v>
      </c>
      <c r="BE616" t="s">
        <v>12211</v>
      </c>
      <c r="BF616" t="str">
        <f>HYPERLINK("http://dx.doi.org/10.1029/2021AV000630","http://dx.doi.org/10.1029/2021AV000630")</f>
        <v>http://dx.doi.org/10.1029/2021AV000630</v>
      </c>
      <c r="BG616" t="s">
        <v>74</v>
      </c>
      <c r="BH616" t="s">
        <v>74</v>
      </c>
      <c r="BI616">
        <v>19</v>
      </c>
      <c r="BJ616" t="s">
        <v>129</v>
      </c>
      <c r="BK616" t="s">
        <v>100</v>
      </c>
      <c r="BL616" t="s">
        <v>130</v>
      </c>
      <c r="BM616" t="s">
        <v>12212</v>
      </c>
      <c r="BN616" t="s">
        <v>74</v>
      </c>
      <c r="BO616" t="s">
        <v>2512</v>
      </c>
      <c r="BP616" t="s">
        <v>74</v>
      </c>
      <c r="BQ616" t="s">
        <v>74</v>
      </c>
      <c r="BR616" t="s">
        <v>103</v>
      </c>
      <c r="BS616" t="s">
        <v>12213</v>
      </c>
      <c r="BT616" t="str">
        <f>HYPERLINK("https%3A%2F%2Fwww.webofscience.com%2Fwos%2Fwoscc%2Ffull-record%2FWOS:000823157700001","View Full Record in Web of Science")</f>
        <v>View Full Record in Web of Science</v>
      </c>
    </row>
    <row r="617" spans="1:72" x14ac:dyDescent="0.15">
      <c r="A617" t="s">
        <v>72</v>
      </c>
      <c r="B617" t="s">
        <v>12214</v>
      </c>
      <c r="C617" t="s">
        <v>74</v>
      </c>
      <c r="D617" t="s">
        <v>74</v>
      </c>
      <c r="E617" t="s">
        <v>74</v>
      </c>
      <c r="F617" t="s">
        <v>12215</v>
      </c>
      <c r="G617" t="s">
        <v>74</v>
      </c>
      <c r="H617" t="s">
        <v>74</v>
      </c>
      <c r="I617" t="s">
        <v>12216</v>
      </c>
      <c r="J617" t="s">
        <v>12217</v>
      </c>
      <c r="K617" t="s">
        <v>74</v>
      </c>
      <c r="L617" t="s">
        <v>74</v>
      </c>
      <c r="M617" t="s">
        <v>78</v>
      </c>
      <c r="N617" t="s">
        <v>165</v>
      </c>
      <c r="O617" t="s">
        <v>74</v>
      </c>
      <c r="P617" t="s">
        <v>74</v>
      </c>
      <c r="Q617" t="s">
        <v>74</v>
      </c>
      <c r="R617" t="s">
        <v>74</v>
      </c>
      <c r="S617" t="s">
        <v>74</v>
      </c>
      <c r="T617" t="s">
        <v>12218</v>
      </c>
      <c r="U617" t="s">
        <v>12219</v>
      </c>
      <c r="V617" t="s">
        <v>12220</v>
      </c>
      <c r="W617" t="s">
        <v>12221</v>
      </c>
      <c r="X617" t="s">
        <v>12222</v>
      </c>
      <c r="Y617" t="s">
        <v>12223</v>
      </c>
      <c r="Z617" t="s">
        <v>12224</v>
      </c>
      <c r="AA617" t="s">
        <v>12225</v>
      </c>
      <c r="AB617" t="s">
        <v>74</v>
      </c>
      <c r="AC617" t="s">
        <v>74</v>
      </c>
      <c r="AD617" t="s">
        <v>74</v>
      </c>
      <c r="AE617" t="s">
        <v>74</v>
      </c>
      <c r="AF617" t="s">
        <v>74</v>
      </c>
      <c r="AG617">
        <v>135</v>
      </c>
      <c r="AH617">
        <v>15</v>
      </c>
      <c r="AI617">
        <v>15</v>
      </c>
      <c r="AJ617">
        <v>43</v>
      </c>
      <c r="AK617">
        <v>160</v>
      </c>
      <c r="AL617" t="s">
        <v>12226</v>
      </c>
      <c r="AM617" t="s">
        <v>12227</v>
      </c>
      <c r="AN617" t="s">
        <v>12228</v>
      </c>
      <c r="AO617" t="s">
        <v>12229</v>
      </c>
      <c r="AP617" t="s">
        <v>12230</v>
      </c>
      <c r="AQ617" t="s">
        <v>74</v>
      </c>
      <c r="AR617" t="s">
        <v>12231</v>
      </c>
      <c r="AS617" t="s">
        <v>12232</v>
      </c>
      <c r="AT617" t="s">
        <v>5386</v>
      </c>
      <c r="AU617">
        <v>2022</v>
      </c>
      <c r="AV617">
        <v>22</v>
      </c>
      <c r="AW617">
        <v>8</v>
      </c>
      <c r="AX617" t="s">
        <v>74</v>
      </c>
      <c r="AY617" t="s">
        <v>74</v>
      </c>
      <c r="AZ617" t="s">
        <v>74</v>
      </c>
      <c r="BA617" t="s">
        <v>74</v>
      </c>
      <c r="BB617" t="s">
        <v>74</v>
      </c>
      <c r="BC617" t="s">
        <v>74</v>
      </c>
      <c r="BD617">
        <v>220148</v>
      </c>
      <c r="BE617" t="s">
        <v>12233</v>
      </c>
      <c r="BF617" t="str">
        <f>HYPERLINK("http://dx.doi.org/10.4209/aaqr.220148","http://dx.doi.org/10.4209/aaqr.220148")</f>
        <v>http://dx.doi.org/10.4209/aaqr.220148</v>
      </c>
      <c r="BG617" t="s">
        <v>74</v>
      </c>
      <c r="BH617" t="s">
        <v>74</v>
      </c>
      <c r="BI617">
        <v>29</v>
      </c>
      <c r="BJ617" t="s">
        <v>2040</v>
      </c>
      <c r="BK617" t="s">
        <v>100</v>
      </c>
      <c r="BL617" t="s">
        <v>2041</v>
      </c>
      <c r="BM617" t="s">
        <v>12234</v>
      </c>
      <c r="BN617" t="s">
        <v>74</v>
      </c>
      <c r="BO617" t="s">
        <v>266</v>
      </c>
      <c r="BP617" t="s">
        <v>74</v>
      </c>
      <c r="BQ617" t="s">
        <v>74</v>
      </c>
      <c r="BR617" t="s">
        <v>103</v>
      </c>
      <c r="BS617" t="s">
        <v>12235</v>
      </c>
      <c r="BT617" t="str">
        <f>HYPERLINK("https%3A%2F%2Fwww.webofscience.com%2Fwos%2Fwoscc%2Ffull-record%2FWOS:000813531500004","View Full Record in Web of Science")</f>
        <v>View Full Record in Web of Science</v>
      </c>
    </row>
    <row r="618" spans="1:72" x14ac:dyDescent="0.15">
      <c r="A618" t="s">
        <v>72</v>
      </c>
      <c r="B618" t="s">
        <v>12236</v>
      </c>
      <c r="C618" t="s">
        <v>74</v>
      </c>
      <c r="D618" t="s">
        <v>74</v>
      </c>
      <c r="E618" t="s">
        <v>74</v>
      </c>
      <c r="F618" t="s">
        <v>12237</v>
      </c>
      <c r="G618" t="s">
        <v>74</v>
      </c>
      <c r="H618" t="s">
        <v>74</v>
      </c>
      <c r="I618" t="s">
        <v>12238</v>
      </c>
      <c r="J618" t="s">
        <v>12239</v>
      </c>
      <c r="K618" t="s">
        <v>74</v>
      </c>
      <c r="L618" t="s">
        <v>74</v>
      </c>
      <c r="M618" t="s">
        <v>78</v>
      </c>
      <c r="N618" t="s">
        <v>165</v>
      </c>
      <c r="O618" t="s">
        <v>74</v>
      </c>
      <c r="P618" t="s">
        <v>74</v>
      </c>
      <c r="Q618" t="s">
        <v>74</v>
      </c>
      <c r="R618" t="s">
        <v>74</v>
      </c>
      <c r="S618" t="s">
        <v>74</v>
      </c>
      <c r="T618" t="s">
        <v>12240</v>
      </c>
      <c r="U618" t="s">
        <v>12241</v>
      </c>
      <c r="V618" t="s">
        <v>12242</v>
      </c>
      <c r="W618" t="s">
        <v>12243</v>
      </c>
      <c r="X618" t="s">
        <v>12244</v>
      </c>
      <c r="Y618" t="s">
        <v>12245</v>
      </c>
      <c r="Z618" t="s">
        <v>12246</v>
      </c>
      <c r="AA618" t="s">
        <v>12247</v>
      </c>
      <c r="AB618" t="s">
        <v>12248</v>
      </c>
      <c r="AC618" t="s">
        <v>12249</v>
      </c>
      <c r="AD618" t="s">
        <v>12250</v>
      </c>
      <c r="AE618" t="s">
        <v>12251</v>
      </c>
      <c r="AF618" t="s">
        <v>74</v>
      </c>
      <c r="AG618">
        <v>39</v>
      </c>
      <c r="AH618">
        <v>2</v>
      </c>
      <c r="AI618">
        <v>2</v>
      </c>
      <c r="AJ618">
        <v>2</v>
      </c>
      <c r="AK618">
        <v>7</v>
      </c>
      <c r="AL618" t="s">
        <v>178</v>
      </c>
      <c r="AM618" t="s">
        <v>179</v>
      </c>
      <c r="AN618" t="s">
        <v>180</v>
      </c>
      <c r="AO618" t="s">
        <v>12252</v>
      </c>
      <c r="AP618" t="s">
        <v>12253</v>
      </c>
      <c r="AQ618" t="s">
        <v>74</v>
      </c>
      <c r="AR618" t="s">
        <v>12254</v>
      </c>
      <c r="AS618" t="s">
        <v>12255</v>
      </c>
      <c r="AT618" t="s">
        <v>5386</v>
      </c>
      <c r="AU618">
        <v>2022</v>
      </c>
      <c r="AV618">
        <v>218</v>
      </c>
      <c r="AW618">
        <v>5</v>
      </c>
      <c r="AX618" t="s">
        <v>74</v>
      </c>
      <c r="AY618" t="s">
        <v>74</v>
      </c>
      <c r="AZ618" t="s">
        <v>74</v>
      </c>
      <c r="BA618" t="s">
        <v>74</v>
      </c>
      <c r="BB618" t="s">
        <v>74</v>
      </c>
      <c r="BC618" t="s">
        <v>74</v>
      </c>
      <c r="BD618">
        <v>39</v>
      </c>
      <c r="BE618" t="s">
        <v>12256</v>
      </c>
      <c r="BF618" t="str">
        <f>HYPERLINK("http://dx.doi.org/10.1007/s11214-022-00908-0","http://dx.doi.org/10.1007/s11214-022-00908-0")</f>
        <v>http://dx.doi.org/10.1007/s11214-022-00908-0</v>
      </c>
      <c r="BG618" t="s">
        <v>74</v>
      </c>
      <c r="BH618" t="s">
        <v>74</v>
      </c>
      <c r="BI618">
        <v>26</v>
      </c>
      <c r="BJ618" t="s">
        <v>954</v>
      </c>
      <c r="BK618" t="s">
        <v>100</v>
      </c>
      <c r="BL618" t="s">
        <v>954</v>
      </c>
      <c r="BM618" t="s">
        <v>12257</v>
      </c>
      <c r="BN618" t="s">
        <v>74</v>
      </c>
      <c r="BO618" t="s">
        <v>2512</v>
      </c>
      <c r="BP618" t="s">
        <v>74</v>
      </c>
      <c r="BQ618" t="s">
        <v>74</v>
      </c>
      <c r="BR618" t="s">
        <v>103</v>
      </c>
      <c r="BS618" t="s">
        <v>12258</v>
      </c>
      <c r="BT618" t="str">
        <f>HYPERLINK("https%3A%2F%2Fwww.webofscience.com%2Fwos%2Fwoscc%2Ffull-record%2FWOS:000814252100001","View Full Record in Web of Science")</f>
        <v>View Full Record in Web of Science</v>
      </c>
    </row>
    <row r="619" spans="1:72" x14ac:dyDescent="0.15">
      <c r="A619" t="s">
        <v>72</v>
      </c>
      <c r="B619" t="s">
        <v>12259</v>
      </c>
      <c r="C619" t="s">
        <v>74</v>
      </c>
      <c r="D619" t="s">
        <v>74</v>
      </c>
      <c r="E619" t="s">
        <v>74</v>
      </c>
      <c r="F619" t="s">
        <v>12260</v>
      </c>
      <c r="G619" t="s">
        <v>74</v>
      </c>
      <c r="H619" t="s">
        <v>74</v>
      </c>
      <c r="I619" t="s">
        <v>12261</v>
      </c>
      <c r="J619" t="s">
        <v>12177</v>
      </c>
      <c r="K619" t="s">
        <v>74</v>
      </c>
      <c r="L619" t="s">
        <v>74</v>
      </c>
      <c r="M619" t="s">
        <v>78</v>
      </c>
      <c r="N619" t="s">
        <v>79</v>
      </c>
      <c r="O619" t="s">
        <v>74</v>
      </c>
      <c r="P619" t="s">
        <v>74</v>
      </c>
      <c r="Q619" t="s">
        <v>74</v>
      </c>
      <c r="R619" t="s">
        <v>74</v>
      </c>
      <c r="S619" t="s">
        <v>74</v>
      </c>
      <c r="T619" t="s">
        <v>12262</v>
      </c>
      <c r="U619" t="s">
        <v>74</v>
      </c>
      <c r="V619" t="s">
        <v>12263</v>
      </c>
      <c r="W619" t="s">
        <v>12264</v>
      </c>
      <c r="X619" t="s">
        <v>12265</v>
      </c>
      <c r="Y619" t="s">
        <v>4262</v>
      </c>
      <c r="Z619" t="s">
        <v>4263</v>
      </c>
      <c r="AA619" t="s">
        <v>12266</v>
      </c>
      <c r="AB619" t="s">
        <v>12267</v>
      </c>
      <c r="AC619" t="s">
        <v>12268</v>
      </c>
      <c r="AD619" t="s">
        <v>12269</v>
      </c>
      <c r="AE619" t="s">
        <v>12270</v>
      </c>
      <c r="AF619" t="s">
        <v>74</v>
      </c>
      <c r="AG619">
        <v>60</v>
      </c>
      <c r="AH619">
        <v>14</v>
      </c>
      <c r="AI619">
        <v>15</v>
      </c>
      <c r="AJ619">
        <v>5</v>
      </c>
      <c r="AK619">
        <v>29</v>
      </c>
      <c r="AL619" t="s">
        <v>4315</v>
      </c>
      <c r="AM619" t="s">
        <v>2060</v>
      </c>
      <c r="AN619" t="s">
        <v>4316</v>
      </c>
      <c r="AO619" t="s">
        <v>12188</v>
      </c>
      <c r="AP619" t="s">
        <v>12189</v>
      </c>
      <c r="AQ619" t="s">
        <v>74</v>
      </c>
      <c r="AR619" t="s">
        <v>12177</v>
      </c>
      <c r="AS619" t="s">
        <v>12190</v>
      </c>
      <c r="AT619" t="s">
        <v>5386</v>
      </c>
      <c r="AU619">
        <v>2022</v>
      </c>
      <c r="AV619">
        <v>26</v>
      </c>
      <c r="AW619">
        <v>2</v>
      </c>
      <c r="AX619" t="s">
        <v>74</v>
      </c>
      <c r="AY619" t="s">
        <v>74</v>
      </c>
      <c r="AZ619" t="s">
        <v>74</v>
      </c>
      <c r="BA619" t="s">
        <v>74</v>
      </c>
      <c r="BB619" t="s">
        <v>74</v>
      </c>
      <c r="BC619" t="s">
        <v>74</v>
      </c>
      <c r="BD619">
        <v>16</v>
      </c>
      <c r="BE619" t="s">
        <v>12271</v>
      </c>
      <c r="BF619" t="str">
        <f>HYPERLINK("http://dx.doi.org/10.1007/s00792-022-01264-1","http://dx.doi.org/10.1007/s00792-022-01264-1")</f>
        <v>http://dx.doi.org/10.1007/s00792-022-01264-1</v>
      </c>
      <c r="BG619" t="s">
        <v>74</v>
      </c>
      <c r="BH619" t="s">
        <v>74</v>
      </c>
      <c r="BI619">
        <v>10</v>
      </c>
      <c r="BJ619" t="s">
        <v>12192</v>
      </c>
      <c r="BK619" t="s">
        <v>100</v>
      </c>
      <c r="BL619" t="s">
        <v>12192</v>
      </c>
      <c r="BM619" t="s">
        <v>12272</v>
      </c>
      <c r="BN619">
        <v>35499659</v>
      </c>
      <c r="BO619" t="s">
        <v>74</v>
      </c>
      <c r="BP619" t="s">
        <v>74</v>
      </c>
      <c r="BQ619" t="s">
        <v>74</v>
      </c>
      <c r="BR619" t="s">
        <v>103</v>
      </c>
      <c r="BS619" t="s">
        <v>12273</v>
      </c>
      <c r="BT619" t="str">
        <f>HYPERLINK("https%3A%2F%2Fwww.webofscience.com%2Fwos%2Fwoscc%2Ffull-record%2FWOS:000789832200001","View Full Record in Web of Science")</f>
        <v>View Full Record in Web of Science</v>
      </c>
    </row>
    <row r="620" spans="1:72" x14ac:dyDescent="0.15">
      <c r="A620" t="s">
        <v>72</v>
      </c>
      <c r="B620" t="s">
        <v>12274</v>
      </c>
      <c r="C620" t="s">
        <v>74</v>
      </c>
      <c r="D620" t="s">
        <v>74</v>
      </c>
      <c r="E620" t="s">
        <v>74</v>
      </c>
      <c r="F620" t="s">
        <v>12275</v>
      </c>
      <c r="G620" t="s">
        <v>74</v>
      </c>
      <c r="H620" t="s">
        <v>74</v>
      </c>
      <c r="I620" t="s">
        <v>12276</v>
      </c>
      <c r="J620" t="s">
        <v>12277</v>
      </c>
      <c r="K620" t="s">
        <v>74</v>
      </c>
      <c r="L620" t="s">
        <v>74</v>
      </c>
      <c r="M620" t="s">
        <v>78</v>
      </c>
      <c r="N620" t="s">
        <v>79</v>
      </c>
      <c r="O620" t="s">
        <v>74</v>
      </c>
      <c r="P620" t="s">
        <v>74</v>
      </c>
      <c r="Q620" t="s">
        <v>74</v>
      </c>
      <c r="R620" t="s">
        <v>74</v>
      </c>
      <c r="S620" t="s">
        <v>74</v>
      </c>
      <c r="T620" t="s">
        <v>74</v>
      </c>
      <c r="U620" t="s">
        <v>12278</v>
      </c>
      <c r="V620" t="s">
        <v>12279</v>
      </c>
      <c r="W620" t="s">
        <v>12280</v>
      </c>
      <c r="X620" t="s">
        <v>12281</v>
      </c>
      <c r="Y620" t="s">
        <v>12282</v>
      </c>
      <c r="Z620" t="s">
        <v>12283</v>
      </c>
      <c r="AA620" t="s">
        <v>12284</v>
      </c>
      <c r="AB620" t="s">
        <v>12285</v>
      </c>
      <c r="AC620" t="s">
        <v>12286</v>
      </c>
      <c r="AD620" t="s">
        <v>12287</v>
      </c>
      <c r="AE620" t="s">
        <v>12288</v>
      </c>
      <c r="AF620" t="s">
        <v>74</v>
      </c>
      <c r="AG620">
        <v>34</v>
      </c>
      <c r="AH620">
        <v>5</v>
      </c>
      <c r="AI620">
        <v>5</v>
      </c>
      <c r="AJ620">
        <v>2</v>
      </c>
      <c r="AK620">
        <v>6</v>
      </c>
      <c r="AL620" t="s">
        <v>5952</v>
      </c>
      <c r="AM620" t="s">
        <v>5953</v>
      </c>
      <c r="AN620" t="s">
        <v>5954</v>
      </c>
      <c r="AO620" t="s">
        <v>12289</v>
      </c>
      <c r="AP620" t="s">
        <v>12290</v>
      </c>
      <c r="AQ620" t="s">
        <v>74</v>
      </c>
      <c r="AR620" t="s">
        <v>12277</v>
      </c>
      <c r="AS620" t="s">
        <v>130</v>
      </c>
      <c r="AT620" t="s">
        <v>11575</v>
      </c>
      <c r="AU620">
        <v>2022</v>
      </c>
      <c r="AV620">
        <v>50</v>
      </c>
      <c r="AW620">
        <v>8</v>
      </c>
      <c r="AX620" t="s">
        <v>74</v>
      </c>
      <c r="AY620" t="s">
        <v>74</v>
      </c>
      <c r="AZ620" t="s">
        <v>74</v>
      </c>
      <c r="BA620" t="s">
        <v>74</v>
      </c>
      <c r="BB620">
        <v>880</v>
      </c>
      <c r="BC620">
        <v>885</v>
      </c>
      <c r="BD620" t="s">
        <v>74</v>
      </c>
      <c r="BE620" t="s">
        <v>12291</v>
      </c>
      <c r="BF620" t="str">
        <f>HYPERLINK("http://dx.doi.org/10.1130/G49805.1","http://dx.doi.org/10.1130/G49805.1")</f>
        <v>http://dx.doi.org/10.1130/G49805.1</v>
      </c>
      <c r="BG620" t="s">
        <v>74</v>
      </c>
      <c r="BH620" t="s">
        <v>74</v>
      </c>
      <c r="BI620">
        <v>6</v>
      </c>
      <c r="BJ620" t="s">
        <v>130</v>
      </c>
      <c r="BK620" t="s">
        <v>100</v>
      </c>
      <c r="BL620" t="s">
        <v>130</v>
      </c>
      <c r="BM620" t="s">
        <v>12292</v>
      </c>
      <c r="BN620" t="s">
        <v>74</v>
      </c>
      <c r="BO620" t="s">
        <v>3327</v>
      </c>
      <c r="BP620" t="s">
        <v>74</v>
      </c>
      <c r="BQ620" t="s">
        <v>74</v>
      </c>
      <c r="BR620" t="s">
        <v>103</v>
      </c>
      <c r="BS620" t="s">
        <v>12293</v>
      </c>
      <c r="BT620" t="str">
        <f>HYPERLINK("https%3A%2F%2Fwww.webofscience.com%2Fwos%2Fwoscc%2Ffull-record%2FWOS:000836943800002","View Full Record in Web of Science")</f>
        <v>View Full Record in Web of Science</v>
      </c>
    </row>
    <row r="621" spans="1:72" x14ac:dyDescent="0.15">
      <c r="A621" t="s">
        <v>72</v>
      </c>
      <c r="B621" t="s">
        <v>12294</v>
      </c>
      <c r="C621" t="s">
        <v>74</v>
      </c>
      <c r="D621" t="s">
        <v>74</v>
      </c>
      <c r="E621" t="s">
        <v>74</v>
      </c>
      <c r="F621" t="s">
        <v>12295</v>
      </c>
      <c r="G621" t="s">
        <v>74</v>
      </c>
      <c r="H621" t="s">
        <v>74</v>
      </c>
      <c r="I621" t="s">
        <v>12296</v>
      </c>
      <c r="J621" t="s">
        <v>12277</v>
      </c>
      <c r="K621" t="s">
        <v>74</v>
      </c>
      <c r="L621" t="s">
        <v>74</v>
      </c>
      <c r="M621" t="s">
        <v>78</v>
      </c>
      <c r="N621" t="s">
        <v>79</v>
      </c>
      <c r="O621" t="s">
        <v>74</v>
      </c>
      <c r="P621" t="s">
        <v>74</v>
      </c>
      <c r="Q621" t="s">
        <v>74</v>
      </c>
      <c r="R621" t="s">
        <v>74</v>
      </c>
      <c r="S621" t="s">
        <v>74</v>
      </c>
      <c r="T621" t="s">
        <v>74</v>
      </c>
      <c r="U621" t="s">
        <v>12297</v>
      </c>
      <c r="V621" t="s">
        <v>12298</v>
      </c>
      <c r="W621" t="s">
        <v>12299</v>
      </c>
      <c r="X621" t="s">
        <v>7602</v>
      </c>
      <c r="Y621" t="s">
        <v>12300</v>
      </c>
      <c r="Z621" t="s">
        <v>74</v>
      </c>
      <c r="AA621" t="s">
        <v>12301</v>
      </c>
      <c r="AB621" t="s">
        <v>12302</v>
      </c>
      <c r="AC621" t="s">
        <v>12303</v>
      </c>
      <c r="AD621" t="s">
        <v>12304</v>
      </c>
      <c r="AE621" t="s">
        <v>12305</v>
      </c>
      <c r="AF621" t="s">
        <v>74</v>
      </c>
      <c r="AG621">
        <v>36</v>
      </c>
      <c r="AH621">
        <v>5</v>
      </c>
      <c r="AI621">
        <v>5</v>
      </c>
      <c r="AJ621">
        <v>3</v>
      </c>
      <c r="AK621">
        <v>13</v>
      </c>
      <c r="AL621" t="s">
        <v>5952</v>
      </c>
      <c r="AM621" t="s">
        <v>5953</v>
      </c>
      <c r="AN621" t="s">
        <v>5954</v>
      </c>
      <c r="AO621" t="s">
        <v>12289</v>
      </c>
      <c r="AP621" t="s">
        <v>12290</v>
      </c>
      <c r="AQ621" t="s">
        <v>74</v>
      </c>
      <c r="AR621" t="s">
        <v>12277</v>
      </c>
      <c r="AS621" t="s">
        <v>130</v>
      </c>
      <c r="AT621" t="s">
        <v>11575</v>
      </c>
      <c r="AU621">
        <v>2022</v>
      </c>
      <c r="AV621">
        <v>50</v>
      </c>
      <c r="AW621">
        <v>8</v>
      </c>
      <c r="AX621" t="s">
        <v>74</v>
      </c>
      <c r="AY621" t="s">
        <v>74</v>
      </c>
      <c r="AZ621" t="s">
        <v>74</v>
      </c>
      <c r="BA621" t="s">
        <v>74</v>
      </c>
      <c r="BB621">
        <v>934</v>
      </c>
      <c r="BC621">
        <v>938</v>
      </c>
      <c r="BD621" t="s">
        <v>74</v>
      </c>
      <c r="BE621" t="s">
        <v>12306</v>
      </c>
      <c r="BF621" t="str">
        <f>HYPERLINK("http://dx.doi.org/10.1130/G49956.1","http://dx.doi.org/10.1130/G49956.1")</f>
        <v>http://dx.doi.org/10.1130/G49956.1</v>
      </c>
      <c r="BG621" t="s">
        <v>74</v>
      </c>
      <c r="BH621" t="s">
        <v>74</v>
      </c>
      <c r="BI621">
        <v>5</v>
      </c>
      <c r="BJ621" t="s">
        <v>130</v>
      </c>
      <c r="BK621" t="s">
        <v>100</v>
      </c>
      <c r="BL621" t="s">
        <v>130</v>
      </c>
      <c r="BM621" t="s">
        <v>12292</v>
      </c>
      <c r="BN621" t="s">
        <v>74</v>
      </c>
      <c r="BO621" t="s">
        <v>3327</v>
      </c>
      <c r="BP621" t="s">
        <v>74</v>
      </c>
      <c r="BQ621" t="s">
        <v>74</v>
      </c>
      <c r="BR621" t="s">
        <v>103</v>
      </c>
      <c r="BS621" t="s">
        <v>12307</v>
      </c>
      <c r="BT621" t="str">
        <f>HYPERLINK("https%3A%2F%2Fwww.webofscience.com%2Fwos%2Fwoscc%2Ffull-record%2FWOS:000836943800006","View Full Record in Web of Science")</f>
        <v>View Full Record in Web of Science</v>
      </c>
    </row>
    <row r="622" spans="1:72" x14ac:dyDescent="0.15">
      <c r="A622" t="s">
        <v>72</v>
      </c>
      <c r="B622" t="s">
        <v>12308</v>
      </c>
      <c r="C622" t="s">
        <v>74</v>
      </c>
      <c r="D622" t="s">
        <v>74</v>
      </c>
      <c r="E622" t="s">
        <v>74</v>
      </c>
      <c r="F622" t="s">
        <v>12309</v>
      </c>
      <c r="G622" t="s">
        <v>74</v>
      </c>
      <c r="H622" t="s">
        <v>74</v>
      </c>
      <c r="I622" t="s">
        <v>12310</v>
      </c>
      <c r="J622" t="s">
        <v>12311</v>
      </c>
      <c r="K622" t="s">
        <v>74</v>
      </c>
      <c r="L622" t="s">
        <v>74</v>
      </c>
      <c r="M622" t="s">
        <v>78</v>
      </c>
      <c r="N622" t="s">
        <v>79</v>
      </c>
      <c r="O622" t="s">
        <v>74</v>
      </c>
      <c r="P622" t="s">
        <v>74</v>
      </c>
      <c r="Q622" t="s">
        <v>74</v>
      </c>
      <c r="R622" t="s">
        <v>74</v>
      </c>
      <c r="S622" t="s">
        <v>74</v>
      </c>
      <c r="T622" t="s">
        <v>74</v>
      </c>
      <c r="U622" t="s">
        <v>12312</v>
      </c>
      <c r="V622" t="s">
        <v>12313</v>
      </c>
      <c r="W622" t="s">
        <v>12314</v>
      </c>
      <c r="X622" t="s">
        <v>12315</v>
      </c>
      <c r="Y622" t="s">
        <v>12316</v>
      </c>
      <c r="Z622" t="s">
        <v>12317</v>
      </c>
      <c r="AA622" t="s">
        <v>12318</v>
      </c>
      <c r="AB622" t="s">
        <v>12319</v>
      </c>
      <c r="AC622" t="s">
        <v>12320</v>
      </c>
      <c r="AD622" t="s">
        <v>12321</v>
      </c>
      <c r="AE622" t="s">
        <v>12322</v>
      </c>
      <c r="AF622" t="s">
        <v>74</v>
      </c>
      <c r="AG622">
        <v>123</v>
      </c>
      <c r="AH622">
        <v>8</v>
      </c>
      <c r="AI622">
        <v>9</v>
      </c>
      <c r="AJ622">
        <v>12</v>
      </c>
      <c r="AK622">
        <v>45</v>
      </c>
      <c r="AL622" t="s">
        <v>2876</v>
      </c>
      <c r="AM622" t="s">
        <v>346</v>
      </c>
      <c r="AN622" t="s">
        <v>2877</v>
      </c>
      <c r="AO622" t="s">
        <v>74</v>
      </c>
      <c r="AP622" t="s">
        <v>12323</v>
      </c>
      <c r="AQ622" t="s">
        <v>74</v>
      </c>
      <c r="AR622" t="s">
        <v>12311</v>
      </c>
      <c r="AS622" t="s">
        <v>12324</v>
      </c>
      <c r="AT622" t="s">
        <v>8826</v>
      </c>
      <c r="AU622">
        <v>2022</v>
      </c>
      <c r="AV622">
        <v>25</v>
      </c>
      <c r="AW622">
        <v>8</v>
      </c>
      <c r="AX622" t="s">
        <v>74</v>
      </c>
      <c r="AY622" t="s">
        <v>74</v>
      </c>
      <c r="AZ622" t="s">
        <v>74</v>
      </c>
      <c r="BA622" t="s">
        <v>74</v>
      </c>
      <c r="BB622" t="s">
        <v>74</v>
      </c>
      <c r="BC622" t="s">
        <v>74</v>
      </c>
      <c r="BD622">
        <v>104680</v>
      </c>
      <c r="BE622" t="s">
        <v>12325</v>
      </c>
      <c r="BF622" t="str">
        <f>HYPERLINK("http://dx.doi.org/10.1016/j.isci.2022.104680","http://dx.doi.org/10.1016/j.isci.2022.104680")</f>
        <v>http://dx.doi.org/10.1016/j.isci.2022.104680</v>
      </c>
      <c r="BG622" t="s">
        <v>74</v>
      </c>
      <c r="BH622" t="s">
        <v>12326</v>
      </c>
      <c r="BI622">
        <v>24</v>
      </c>
      <c r="BJ622" t="s">
        <v>156</v>
      </c>
      <c r="BK622" t="s">
        <v>100</v>
      </c>
      <c r="BL622" t="s">
        <v>157</v>
      </c>
      <c r="BM622" t="s">
        <v>12327</v>
      </c>
      <c r="BN622">
        <v>35942087</v>
      </c>
      <c r="BO622" t="s">
        <v>159</v>
      </c>
      <c r="BP622" t="s">
        <v>74</v>
      </c>
      <c r="BQ622" t="s">
        <v>74</v>
      </c>
      <c r="BR622" t="s">
        <v>103</v>
      </c>
      <c r="BS622" t="s">
        <v>12328</v>
      </c>
      <c r="BT622" t="str">
        <f>HYPERLINK("https%3A%2F%2Fwww.webofscience.com%2Fwos%2Fwoscc%2Ffull-record%2FWOS:000863182200003","View Full Record in Web of Science")</f>
        <v>View Full Record in Web of Science</v>
      </c>
    </row>
    <row r="623" spans="1:72" x14ac:dyDescent="0.15">
      <c r="A623" t="s">
        <v>72</v>
      </c>
      <c r="B623" t="s">
        <v>12329</v>
      </c>
      <c r="C623" t="s">
        <v>74</v>
      </c>
      <c r="D623" t="s">
        <v>74</v>
      </c>
      <c r="E623" t="s">
        <v>74</v>
      </c>
      <c r="F623" t="s">
        <v>12330</v>
      </c>
      <c r="G623" t="s">
        <v>74</v>
      </c>
      <c r="H623" t="s">
        <v>74</v>
      </c>
      <c r="I623" t="s">
        <v>12331</v>
      </c>
      <c r="J623" t="s">
        <v>12332</v>
      </c>
      <c r="K623" t="s">
        <v>74</v>
      </c>
      <c r="L623" t="s">
        <v>74</v>
      </c>
      <c r="M623" t="s">
        <v>78</v>
      </c>
      <c r="N623" t="s">
        <v>79</v>
      </c>
      <c r="O623" t="s">
        <v>74</v>
      </c>
      <c r="P623" t="s">
        <v>74</v>
      </c>
      <c r="Q623" t="s">
        <v>74</v>
      </c>
      <c r="R623" t="s">
        <v>74</v>
      </c>
      <c r="S623" t="s">
        <v>74</v>
      </c>
      <c r="T623" t="s">
        <v>74</v>
      </c>
      <c r="U623" t="s">
        <v>12333</v>
      </c>
      <c r="V623" t="s">
        <v>12334</v>
      </c>
      <c r="W623" t="s">
        <v>12335</v>
      </c>
      <c r="X623" t="s">
        <v>12336</v>
      </c>
      <c r="Y623" t="s">
        <v>12337</v>
      </c>
      <c r="Z623" t="s">
        <v>12338</v>
      </c>
      <c r="AA623" t="s">
        <v>12339</v>
      </c>
      <c r="AB623" t="s">
        <v>12340</v>
      </c>
      <c r="AC623" t="s">
        <v>7146</v>
      </c>
      <c r="AD623" t="s">
        <v>5894</v>
      </c>
      <c r="AE623" t="s">
        <v>7146</v>
      </c>
      <c r="AF623" t="s">
        <v>74</v>
      </c>
      <c r="AG623">
        <v>27</v>
      </c>
      <c r="AH623">
        <v>4</v>
      </c>
      <c r="AI623">
        <v>4</v>
      </c>
      <c r="AJ623">
        <v>0</v>
      </c>
      <c r="AK623">
        <v>1</v>
      </c>
      <c r="AL623" t="s">
        <v>231</v>
      </c>
      <c r="AM623" t="s">
        <v>232</v>
      </c>
      <c r="AN623" t="s">
        <v>233</v>
      </c>
      <c r="AO623" t="s">
        <v>12341</v>
      </c>
      <c r="AP623" t="s">
        <v>12342</v>
      </c>
      <c r="AQ623" t="s">
        <v>74</v>
      </c>
      <c r="AR623" t="s">
        <v>12332</v>
      </c>
      <c r="AS623" t="s">
        <v>12343</v>
      </c>
      <c r="AT623" t="s">
        <v>325</v>
      </c>
      <c r="AU623">
        <v>2022</v>
      </c>
      <c r="AV623">
        <v>34</v>
      </c>
      <c r="AW623">
        <v>6</v>
      </c>
      <c r="AX623" t="s">
        <v>74</v>
      </c>
      <c r="AY623" t="s">
        <v>74</v>
      </c>
      <c r="AZ623" t="s">
        <v>74</v>
      </c>
      <c r="BA623" t="s">
        <v>74</v>
      </c>
      <c r="BB623">
        <v>495</v>
      </c>
      <c r="BC623">
        <v>502</v>
      </c>
      <c r="BD623" t="s">
        <v>74</v>
      </c>
      <c r="BE623" t="s">
        <v>12344</v>
      </c>
      <c r="BF623" t="str">
        <f>HYPERLINK("http://dx.doi.org/10.1111/ter.12613","http://dx.doi.org/10.1111/ter.12613")</f>
        <v>http://dx.doi.org/10.1111/ter.12613</v>
      </c>
      <c r="BG623" t="s">
        <v>74</v>
      </c>
      <c r="BH623" t="s">
        <v>12326</v>
      </c>
      <c r="BI623">
        <v>8</v>
      </c>
      <c r="BJ623" t="s">
        <v>129</v>
      </c>
      <c r="BK623" t="s">
        <v>100</v>
      </c>
      <c r="BL623" t="s">
        <v>130</v>
      </c>
      <c r="BM623" t="s">
        <v>12345</v>
      </c>
      <c r="BN623" t="s">
        <v>74</v>
      </c>
      <c r="BO623" t="s">
        <v>1013</v>
      </c>
      <c r="BP623" t="s">
        <v>74</v>
      </c>
      <c r="BQ623" t="s">
        <v>74</v>
      </c>
      <c r="BR623" t="s">
        <v>103</v>
      </c>
      <c r="BS623" t="s">
        <v>12346</v>
      </c>
      <c r="BT623" t="str">
        <f>HYPERLINK("https%3A%2F%2Fwww.webofscience.com%2Fwos%2Fwoscc%2Ffull-record%2FWOS:000833593300001","View Full Record in Web of Science")</f>
        <v>View Full Record in Web of Science</v>
      </c>
    </row>
    <row r="624" spans="1:72" x14ac:dyDescent="0.15">
      <c r="A624" t="s">
        <v>72</v>
      </c>
      <c r="B624" t="s">
        <v>12347</v>
      </c>
      <c r="C624" t="s">
        <v>74</v>
      </c>
      <c r="D624" t="s">
        <v>74</v>
      </c>
      <c r="E624" t="s">
        <v>74</v>
      </c>
      <c r="F624" t="s">
        <v>12348</v>
      </c>
      <c r="G624" t="s">
        <v>74</v>
      </c>
      <c r="H624" t="s">
        <v>74</v>
      </c>
      <c r="I624" t="s">
        <v>12349</v>
      </c>
      <c r="J624" t="s">
        <v>5584</v>
      </c>
      <c r="K624" t="s">
        <v>74</v>
      </c>
      <c r="L624" t="s">
        <v>74</v>
      </c>
      <c r="M624" t="s">
        <v>78</v>
      </c>
      <c r="N624" t="s">
        <v>79</v>
      </c>
      <c r="O624" t="s">
        <v>74</v>
      </c>
      <c r="P624" t="s">
        <v>74</v>
      </c>
      <c r="Q624" t="s">
        <v>74</v>
      </c>
      <c r="R624" t="s">
        <v>74</v>
      </c>
      <c r="S624" t="s">
        <v>74</v>
      </c>
      <c r="T624" t="s">
        <v>12350</v>
      </c>
      <c r="U624" t="s">
        <v>12351</v>
      </c>
      <c r="V624" t="s">
        <v>12352</v>
      </c>
      <c r="W624" t="s">
        <v>12353</v>
      </c>
      <c r="X624" t="s">
        <v>12354</v>
      </c>
      <c r="Y624" t="s">
        <v>12355</v>
      </c>
      <c r="Z624" t="s">
        <v>12356</v>
      </c>
      <c r="AA624" t="s">
        <v>12357</v>
      </c>
      <c r="AB624" t="s">
        <v>74</v>
      </c>
      <c r="AC624" t="s">
        <v>12358</v>
      </c>
      <c r="AD624" t="s">
        <v>12359</v>
      </c>
      <c r="AE624" t="s">
        <v>12360</v>
      </c>
      <c r="AF624" t="s">
        <v>74</v>
      </c>
      <c r="AG624">
        <v>62</v>
      </c>
      <c r="AH624">
        <v>8</v>
      </c>
      <c r="AI624">
        <v>9</v>
      </c>
      <c r="AJ624">
        <v>8</v>
      </c>
      <c r="AK624">
        <v>30</v>
      </c>
      <c r="AL624" t="s">
        <v>501</v>
      </c>
      <c r="AM624" t="s">
        <v>502</v>
      </c>
      <c r="AN624" t="s">
        <v>503</v>
      </c>
      <c r="AO624" t="s">
        <v>5597</v>
      </c>
      <c r="AP624" t="s">
        <v>5598</v>
      </c>
      <c r="AQ624" t="s">
        <v>74</v>
      </c>
      <c r="AR624" t="s">
        <v>5599</v>
      </c>
      <c r="AS624" t="s">
        <v>5600</v>
      </c>
      <c r="AT624" t="s">
        <v>3605</v>
      </c>
      <c r="AU624">
        <v>2022</v>
      </c>
      <c r="AV624">
        <v>142</v>
      </c>
      <c r="AW624" t="s">
        <v>74</v>
      </c>
      <c r="AX624" t="s">
        <v>74</v>
      </c>
      <c r="AY624" t="s">
        <v>74</v>
      </c>
      <c r="AZ624" t="s">
        <v>74</v>
      </c>
      <c r="BA624" t="s">
        <v>74</v>
      </c>
      <c r="BB624" t="s">
        <v>74</v>
      </c>
      <c r="BC624" t="s">
        <v>74</v>
      </c>
      <c r="BD624">
        <v>109234</v>
      </c>
      <c r="BE624" t="s">
        <v>12361</v>
      </c>
      <c r="BF624" t="str">
        <f>HYPERLINK("http://dx.doi.org/10.1016/j.ecolind.2022.109234","http://dx.doi.org/10.1016/j.ecolind.2022.109234")</f>
        <v>http://dx.doi.org/10.1016/j.ecolind.2022.109234</v>
      </c>
      <c r="BG624" t="s">
        <v>74</v>
      </c>
      <c r="BH624" t="s">
        <v>12326</v>
      </c>
      <c r="BI624">
        <v>10</v>
      </c>
      <c r="BJ624" t="s">
        <v>5602</v>
      </c>
      <c r="BK624" t="s">
        <v>100</v>
      </c>
      <c r="BL624" t="s">
        <v>1170</v>
      </c>
      <c r="BM624" t="s">
        <v>12362</v>
      </c>
      <c r="BN624" t="s">
        <v>74</v>
      </c>
      <c r="BO624" t="s">
        <v>74</v>
      </c>
      <c r="BP624" t="s">
        <v>74</v>
      </c>
      <c r="BQ624" t="s">
        <v>74</v>
      </c>
      <c r="BR624" t="s">
        <v>103</v>
      </c>
      <c r="BS624" t="s">
        <v>12363</v>
      </c>
      <c r="BT624" t="str">
        <f>HYPERLINK("https%3A%2F%2Fwww.webofscience.com%2Fwos%2Fwoscc%2Ffull-record%2FWOS:000874478300030","View Full Record in Web of Science")</f>
        <v>View Full Record in Web of Science</v>
      </c>
    </row>
    <row r="625" spans="1:72" x14ac:dyDescent="0.15">
      <c r="A625" t="s">
        <v>72</v>
      </c>
      <c r="B625" t="s">
        <v>12364</v>
      </c>
      <c r="C625" t="s">
        <v>74</v>
      </c>
      <c r="D625" t="s">
        <v>74</v>
      </c>
      <c r="E625" t="s">
        <v>74</v>
      </c>
      <c r="F625" t="s">
        <v>12365</v>
      </c>
      <c r="G625" t="s">
        <v>74</v>
      </c>
      <c r="H625" t="s">
        <v>74</v>
      </c>
      <c r="I625" t="s">
        <v>12366</v>
      </c>
      <c r="J625" t="s">
        <v>2239</v>
      </c>
      <c r="K625" t="s">
        <v>74</v>
      </c>
      <c r="L625" t="s">
        <v>74</v>
      </c>
      <c r="M625" t="s">
        <v>78</v>
      </c>
      <c r="N625" t="s">
        <v>79</v>
      </c>
      <c r="O625" t="s">
        <v>74</v>
      </c>
      <c r="P625" t="s">
        <v>74</v>
      </c>
      <c r="Q625" t="s">
        <v>74</v>
      </c>
      <c r="R625" t="s">
        <v>74</v>
      </c>
      <c r="S625" t="s">
        <v>74</v>
      </c>
      <c r="T625" t="s">
        <v>12367</v>
      </c>
      <c r="U625" t="s">
        <v>12368</v>
      </c>
      <c r="V625" t="s">
        <v>12369</v>
      </c>
      <c r="W625" t="s">
        <v>12370</v>
      </c>
      <c r="X625" t="s">
        <v>12371</v>
      </c>
      <c r="Y625" t="s">
        <v>12372</v>
      </c>
      <c r="Z625" t="s">
        <v>12373</v>
      </c>
      <c r="AA625" t="s">
        <v>12374</v>
      </c>
      <c r="AB625" t="s">
        <v>12375</v>
      </c>
      <c r="AC625" t="s">
        <v>12376</v>
      </c>
      <c r="AD625" t="s">
        <v>12376</v>
      </c>
      <c r="AE625" t="s">
        <v>12377</v>
      </c>
      <c r="AF625" t="s">
        <v>74</v>
      </c>
      <c r="AG625">
        <v>86</v>
      </c>
      <c r="AH625">
        <v>2</v>
      </c>
      <c r="AI625">
        <v>2</v>
      </c>
      <c r="AJ625">
        <v>0</v>
      </c>
      <c r="AK625">
        <v>9</v>
      </c>
      <c r="AL625" t="s">
        <v>2249</v>
      </c>
      <c r="AM625" t="s">
        <v>90</v>
      </c>
      <c r="AN625" t="s">
        <v>2250</v>
      </c>
      <c r="AO625" t="s">
        <v>2251</v>
      </c>
      <c r="AP625" t="s">
        <v>2252</v>
      </c>
      <c r="AQ625" t="s">
        <v>74</v>
      </c>
      <c r="AR625" t="s">
        <v>2253</v>
      </c>
      <c r="AS625" t="s">
        <v>2254</v>
      </c>
      <c r="AT625" t="s">
        <v>428</v>
      </c>
      <c r="AU625">
        <v>2022</v>
      </c>
      <c r="AV625">
        <v>144</v>
      </c>
      <c r="AW625" t="s">
        <v>74</v>
      </c>
      <c r="AX625" t="s">
        <v>74</v>
      </c>
      <c r="AY625" t="s">
        <v>74</v>
      </c>
      <c r="AZ625" t="s">
        <v>74</v>
      </c>
      <c r="BA625" t="s">
        <v>74</v>
      </c>
      <c r="BB625" t="s">
        <v>74</v>
      </c>
      <c r="BC625" t="s">
        <v>74</v>
      </c>
      <c r="BD625">
        <v>105210</v>
      </c>
      <c r="BE625" t="s">
        <v>12378</v>
      </c>
      <c r="BF625" t="str">
        <f>HYPERLINK("http://dx.doi.org/10.1016/j.marpol.2022.105210","http://dx.doi.org/10.1016/j.marpol.2022.105210")</f>
        <v>http://dx.doi.org/10.1016/j.marpol.2022.105210</v>
      </c>
      <c r="BG625" t="s">
        <v>74</v>
      </c>
      <c r="BH625" t="s">
        <v>12326</v>
      </c>
      <c r="BI625">
        <v>10</v>
      </c>
      <c r="BJ625" t="s">
        <v>2256</v>
      </c>
      <c r="BK625" t="s">
        <v>2257</v>
      </c>
      <c r="BL625" t="s">
        <v>2258</v>
      </c>
      <c r="BM625" t="s">
        <v>12379</v>
      </c>
      <c r="BN625" t="s">
        <v>74</v>
      </c>
      <c r="BO625" t="s">
        <v>74</v>
      </c>
      <c r="BP625" t="s">
        <v>74</v>
      </c>
      <c r="BQ625" t="s">
        <v>74</v>
      </c>
      <c r="BR625" t="s">
        <v>103</v>
      </c>
      <c r="BS625" t="s">
        <v>12380</v>
      </c>
      <c r="BT625" t="str">
        <f>HYPERLINK("https%3A%2F%2Fwww.webofscience.com%2Fwos%2Fwoscc%2Ffull-record%2FWOS:000847222900002","View Full Record in Web of Science")</f>
        <v>View Full Record in Web of Science</v>
      </c>
    </row>
    <row r="626" spans="1:72" x14ac:dyDescent="0.15">
      <c r="A626" t="s">
        <v>72</v>
      </c>
      <c r="B626" t="s">
        <v>12381</v>
      </c>
      <c r="C626" t="s">
        <v>74</v>
      </c>
      <c r="D626" t="s">
        <v>74</v>
      </c>
      <c r="E626" t="s">
        <v>74</v>
      </c>
      <c r="F626" t="s">
        <v>12382</v>
      </c>
      <c r="G626" t="s">
        <v>74</v>
      </c>
      <c r="H626" t="s">
        <v>74</v>
      </c>
      <c r="I626" t="s">
        <v>12383</v>
      </c>
      <c r="J626" t="s">
        <v>8560</v>
      </c>
      <c r="K626" t="s">
        <v>74</v>
      </c>
      <c r="L626" t="s">
        <v>74</v>
      </c>
      <c r="M626" t="s">
        <v>78</v>
      </c>
      <c r="N626" t="s">
        <v>79</v>
      </c>
      <c r="O626" t="s">
        <v>74</v>
      </c>
      <c r="P626" t="s">
        <v>74</v>
      </c>
      <c r="Q626" t="s">
        <v>74</v>
      </c>
      <c r="R626" t="s">
        <v>74</v>
      </c>
      <c r="S626" t="s">
        <v>74</v>
      </c>
      <c r="T626" t="s">
        <v>12384</v>
      </c>
      <c r="U626" t="s">
        <v>12385</v>
      </c>
      <c r="V626" t="s">
        <v>12386</v>
      </c>
      <c r="W626" t="s">
        <v>12387</v>
      </c>
      <c r="X626" t="s">
        <v>12388</v>
      </c>
      <c r="Y626" t="s">
        <v>12389</v>
      </c>
      <c r="Z626" t="s">
        <v>12390</v>
      </c>
      <c r="AA626" t="s">
        <v>12391</v>
      </c>
      <c r="AB626" t="s">
        <v>12392</v>
      </c>
      <c r="AC626" t="s">
        <v>12393</v>
      </c>
      <c r="AD626" t="s">
        <v>12394</v>
      </c>
      <c r="AE626" t="s">
        <v>12395</v>
      </c>
      <c r="AF626" t="s">
        <v>74</v>
      </c>
      <c r="AG626">
        <v>104</v>
      </c>
      <c r="AH626">
        <v>1</v>
      </c>
      <c r="AI626">
        <v>1</v>
      </c>
      <c r="AJ626">
        <v>3</v>
      </c>
      <c r="AK626">
        <v>5</v>
      </c>
      <c r="AL626" t="s">
        <v>178</v>
      </c>
      <c r="AM626" t="s">
        <v>179</v>
      </c>
      <c r="AN626" t="s">
        <v>180</v>
      </c>
      <c r="AO626" t="s">
        <v>8572</v>
      </c>
      <c r="AP626" t="s">
        <v>8573</v>
      </c>
      <c r="AQ626" t="s">
        <v>74</v>
      </c>
      <c r="AR626" t="s">
        <v>8574</v>
      </c>
      <c r="AS626" t="s">
        <v>8575</v>
      </c>
      <c r="AT626" t="s">
        <v>325</v>
      </c>
      <c r="AU626">
        <v>2022</v>
      </c>
      <c r="AV626">
        <v>24</v>
      </c>
      <c r="AW626">
        <v>12</v>
      </c>
      <c r="AX626" t="s">
        <v>74</v>
      </c>
      <c r="AY626" t="s">
        <v>74</v>
      </c>
      <c r="AZ626" t="s">
        <v>74</v>
      </c>
      <c r="BA626" t="s">
        <v>74</v>
      </c>
      <c r="BB626">
        <v>3769</v>
      </c>
      <c r="BC626">
        <v>3783</v>
      </c>
      <c r="BD626" t="s">
        <v>74</v>
      </c>
      <c r="BE626" t="s">
        <v>12396</v>
      </c>
      <c r="BF626" t="str">
        <f>HYPERLINK("http://dx.doi.org/10.1007/s10530-022-02877-5","http://dx.doi.org/10.1007/s10530-022-02877-5")</f>
        <v>http://dx.doi.org/10.1007/s10530-022-02877-5</v>
      </c>
      <c r="BG626" t="s">
        <v>74</v>
      </c>
      <c r="BH626" t="s">
        <v>12326</v>
      </c>
      <c r="BI626">
        <v>15</v>
      </c>
      <c r="BJ626" t="s">
        <v>1169</v>
      </c>
      <c r="BK626" t="s">
        <v>100</v>
      </c>
      <c r="BL626" t="s">
        <v>1170</v>
      </c>
      <c r="BM626" t="s">
        <v>8577</v>
      </c>
      <c r="BN626" t="s">
        <v>74</v>
      </c>
      <c r="BO626" t="s">
        <v>74</v>
      </c>
      <c r="BP626" t="s">
        <v>74</v>
      </c>
      <c r="BQ626" t="s">
        <v>74</v>
      </c>
      <c r="BR626" t="s">
        <v>103</v>
      </c>
      <c r="BS626" t="s">
        <v>12397</v>
      </c>
      <c r="BT626" t="str">
        <f>HYPERLINK("https%3A%2F%2Fwww.webofscience.com%2Fwos%2Fwoscc%2Ffull-record%2FWOS:000833439000001","View Full Record in Web of Science")</f>
        <v>View Full Record in Web of Science</v>
      </c>
    </row>
    <row r="627" spans="1:72" x14ac:dyDescent="0.15">
      <c r="A627" t="s">
        <v>72</v>
      </c>
      <c r="B627" t="s">
        <v>12398</v>
      </c>
      <c r="C627" t="s">
        <v>74</v>
      </c>
      <c r="D627" t="s">
        <v>74</v>
      </c>
      <c r="E627" t="s">
        <v>74</v>
      </c>
      <c r="F627" t="s">
        <v>12399</v>
      </c>
      <c r="G627" t="s">
        <v>74</v>
      </c>
      <c r="H627" t="s">
        <v>74</v>
      </c>
      <c r="I627" t="s">
        <v>12400</v>
      </c>
      <c r="J627" t="s">
        <v>271</v>
      </c>
      <c r="K627" t="s">
        <v>74</v>
      </c>
      <c r="L627" t="s">
        <v>74</v>
      </c>
      <c r="M627" t="s">
        <v>78</v>
      </c>
      <c r="N627" t="s">
        <v>79</v>
      </c>
      <c r="O627" t="s">
        <v>74</v>
      </c>
      <c r="P627" t="s">
        <v>74</v>
      </c>
      <c r="Q627" t="s">
        <v>74</v>
      </c>
      <c r="R627" t="s">
        <v>74</v>
      </c>
      <c r="S627" t="s">
        <v>74</v>
      </c>
      <c r="T627" t="s">
        <v>74</v>
      </c>
      <c r="U627" t="s">
        <v>12401</v>
      </c>
      <c r="V627" t="s">
        <v>12402</v>
      </c>
      <c r="W627" t="s">
        <v>12403</v>
      </c>
      <c r="X627" t="s">
        <v>12404</v>
      </c>
      <c r="Y627" t="s">
        <v>12405</v>
      </c>
      <c r="Z627" t="s">
        <v>12406</v>
      </c>
      <c r="AA627" t="s">
        <v>74</v>
      </c>
      <c r="AB627" t="s">
        <v>12407</v>
      </c>
      <c r="AC627" t="s">
        <v>12408</v>
      </c>
      <c r="AD627" t="s">
        <v>12409</v>
      </c>
      <c r="AE627" t="s">
        <v>12410</v>
      </c>
      <c r="AF627" t="s">
        <v>74</v>
      </c>
      <c r="AG627">
        <v>72</v>
      </c>
      <c r="AH627">
        <v>1</v>
      </c>
      <c r="AI627">
        <v>1</v>
      </c>
      <c r="AJ627">
        <v>4</v>
      </c>
      <c r="AK627">
        <v>15</v>
      </c>
      <c r="AL627" t="s">
        <v>149</v>
      </c>
      <c r="AM627" t="s">
        <v>150</v>
      </c>
      <c r="AN627" t="s">
        <v>151</v>
      </c>
      <c r="AO627" t="s">
        <v>283</v>
      </c>
      <c r="AP627" t="s">
        <v>74</v>
      </c>
      <c r="AQ627" t="s">
        <v>74</v>
      </c>
      <c r="AR627" t="s">
        <v>284</v>
      </c>
      <c r="AS627" t="s">
        <v>285</v>
      </c>
      <c r="AT627" t="s">
        <v>12411</v>
      </c>
      <c r="AU627">
        <v>2022</v>
      </c>
      <c r="AV627">
        <v>12</v>
      </c>
      <c r="AW627">
        <v>1</v>
      </c>
      <c r="AX627" t="s">
        <v>74</v>
      </c>
      <c r="AY627" t="s">
        <v>74</v>
      </c>
      <c r="AZ627" t="s">
        <v>74</v>
      </c>
      <c r="BA627" t="s">
        <v>74</v>
      </c>
      <c r="BB627" t="s">
        <v>74</v>
      </c>
      <c r="BC627" t="s">
        <v>74</v>
      </c>
      <c r="BD627">
        <v>13105</v>
      </c>
      <c r="BE627" t="s">
        <v>12412</v>
      </c>
      <c r="BF627" t="str">
        <f>HYPERLINK("http://dx.doi.org/10.1038/s41598-022-16787-y","http://dx.doi.org/10.1038/s41598-022-16787-y")</f>
        <v>http://dx.doi.org/10.1038/s41598-022-16787-y</v>
      </c>
      <c r="BG627" t="s">
        <v>74</v>
      </c>
      <c r="BH627" t="s">
        <v>74</v>
      </c>
      <c r="BI627">
        <v>11</v>
      </c>
      <c r="BJ627" t="s">
        <v>156</v>
      </c>
      <c r="BK627" t="s">
        <v>100</v>
      </c>
      <c r="BL627" t="s">
        <v>157</v>
      </c>
      <c r="BM627" t="s">
        <v>12413</v>
      </c>
      <c r="BN627">
        <v>35907926</v>
      </c>
      <c r="BO627" t="s">
        <v>132</v>
      </c>
      <c r="BP627" t="s">
        <v>74</v>
      </c>
      <c r="BQ627" t="s">
        <v>74</v>
      </c>
      <c r="BR627" t="s">
        <v>103</v>
      </c>
      <c r="BS627" t="s">
        <v>12414</v>
      </c>
      <c r="BT627" t="str">
        <f>HYPERLINK("https%3A%2F%2Fwww.webofscience.com%2Fwos%2Fwoscc%2Ffull-record%2FWOS:000834790800002","View Full Record in Web of Science")</f>
        <v>View Full Record in Web of Science</v>
      </c>
    </row>
    <row r="628" spans="1:72" x14ac:dyDescent="0.15">
      <c r="A628" t="s">
        <v>72</v>
      </c>
      <c r="B628" t="s">
        <v>12415</v>
      </c>
      <c r="C628" t="s">
        <v>74</v>
      </c>
      <c r="D628" t="s">
        <v>74</v>
      </c>
      <c r="E628" t="s">
        <v>74</v>
      </c>
      <c r="F628" t="s">
        <v>12416</v>
      </c>
      <c r="G628" t="s">
        <v>74</v>
      </c>
      <c r="H628" t="s">
        <v>74</v>
      </c>
      <c r="I628" t="s">
        <v>12417</v>
      </c>
      <c r="J628" t="s">
        <v>3399</v>
      </c>
      <c r="K628" t="s">
        <v>74</v>
      </c>
      <c r="L628" t="s">
        <v>74</v>
      </c>
      <c r="M628" t="s">
        <v>78</v>
      </c>
      <c r="N628" t="s">
        <v>165</v>
      </c>
      <c r="O628" t="s">
        <v>74</v>
      </c>
      <c r="P628" t="s">
        <v>74</v>
      </c>
      <c r="Q628" t="s">
        <v>74</v>
      </c>
      <c r="R628" t="s">
        <v>74</v>
      </c>
      <c r="S628" t="s">
        <v>74</v>
      </c>
      <c r="T628" t="s">
        <v>12418</v>
      </c>
      <c r="U628" t="s">
        <v>12419</v>
      </c>
      <c r="V628" t="s">
        <v>12420</v>
      </c>
      <c r="W628" t="s">
        <v>12421</v>
      </c>
      <c r="X628" t="s">
        <v>12422</v>
      </c>
      <c r="Y628" t="s">
        <v>12423</v>
      </c>
      <c r="Z628" t="s">
        <v>12424</v>
      </c>
      <c r="AA628" t="s">
        <v>12425</v>
      </c>
      <c r="AB628" t="s">
        <v>12426</v>
      </c>
      <c r="AC628" t="s">
        <v>12427</v>
      </c>
      <c r="AD628" t="s">
        <v>12428</v>
      </c>
      <c r="AE628" t="s">
        <v>12429</v>
      </c>
      <c r="AF628" t="s">
        <v>74</v>
      </c>
      <c r="AG628">
        <v>143</v>
      </c>
      <c r="AH628">
        <v>4</v>
      </c>
      <c r="AI628">
        <v>4</v>
      </c>
      <c r="AJ628">
        <v>11</v>
      </c>
      <c r="AK628">
        <v>30</v>
      </c>
      <c r="AL628" t="s">
        <v>2275</v>
      </c>
      <c r="AM628" t="s">
        <v>90</v>
      </c>
      <c r="AN628" t="s">
        <v>2276</v>
      </c>
      <c r="AO628" t="s">
        <v>3412</v>
      </c>
      <c r="AP628" t="s">
        <v>3413</v>
      </c>
      <c r="AQ628" t="s">
        <v>74</v>
      </c>
      <c r="AR628" t="s">
        <v>3414</v>
      </c>
      <c r="AS628" t="s">
        <v>3415</v>
      </c>
      <c r="AT628" t="s">
        <v>5386</v>
      </c>
      <c r="AU628">
        <v>2022</v>
      </c>
      <c r="AV628">
        <v>206</v>
      </c>
      <c r="AW628" t="s">
        <v>74</v>
      </c>
      <c r="AX628" t="s">
        <v>74</v>
      </c>
      <c r="AY628" t="s">
        <v>74</v>
      </c>
      <c r="AZ628" t="s">
        <v>74</v>
      </c>
      <c r="BA628" t="s">
        <v>74</v>
      </c>
      <c r="BB628" t="s">
        <v>74</v>
      </c>
      <c r="BC628" t="s">
        <v>74</v>
      </c>
      <c r="BD628">
        <v>102862</v>
      </c>
      <c r="BE628" t="s">
        <v>12430</v>
      </c>
      <c r="BF628" t="str">
        <f>HYPERLINK("http://dx.doi.org/10.1016/j.pocean.2022.102862","http://dx.doi.org/10.1016/j.pocean.2022.102862")</f>
        <v>http://dx.doi.org/10.1016/j.pocean.2022.102862</v>
      </c>
      <c r="BG628" t="s">
        <v>74</v>
      </c>
      <c r="BH628" t="s">
        <v>12326</v>
      </c>
      <c r="BI628">
        <v>16</v>
      </c>
      <c r="BJ628" t="s">
        <v>674</v>
      </c>
      <c r="BK628" t="s">
        <v>100</v>
      </c>
      <c r="BL628" t="s">
        <v>674</v>
      </c>
      <c r="BM628" t="s">
        <v>12431</v>
      </c>
      <c r="BN628" t="s">
        <v>74</v>
      </c>
      <c r="BO628" t="s">
        <v>74</v>
      </c>
      <c r="BP628" t="s">
        <v>74</v>
      </c>
      <c r="BQ628" t="s">
        <v>74</v>
      </c>
      <c r="BR628" t="s">
        <v>103</v>
      </c>
      <c r="BS628" t="s">
        <v>12432</v>
      </c>
      <c r="BT628" t="str">
        <f>HYPERLINK("https%3A%2F%2Fwww.webofscience.com%2Fwos%2Fwoscc%2Ffull-record%2FWOS:000858442700001","View Full Record in Web of Science")</f>
        <v>View Full Record in Web of Science</v>
      </c>
    </row>
    <row r="629" spans="1:72" x14ac:dyDescent="0.15">
      <c r="A629" t="s">
        <v>72</v>
      </c>
      <c r="B629" t="s">
        <v>12433</v>
      </c>
      <c r="C629" t="s">
        <v>74</v>
      </c>
      <c r="D629" t="s">
        <v>74</v>
      </c>
      <c r="E629" t="s">
        <v>74</v>
      </c>
      <c r="F629" t="s">
        <v>12434</v>
      </c>
      <c r="G629" t="s">
        <v>74</v>
      </c>
      <c r="H629" t="s">
        <v>74</v>
      </c>
      <c r="I629" t="s">
        <v>12435</v>
      </c>
      <c r="J629" t="s">
        <v>4531</v>
      </c>
      <c r="K629" t="s">
        <v>74</v>
      </c>
      <c r="L629" t="s">
        <v>74</v>
      </c>
      <c r="M629" t="s">
        <v>78</v>
      </c>
      <c r="N629" t="s">
        <v>79</v>
      </c>
      <c r="O629" t="s">
        <v>74</v>
      </c>
      <c r="P629" t="s">
        <v>74</v>
      </c>
      <c r="Q629" t="s">
        <v>74</v>
      </c>
      <c r="R629" t="s">
        <v>74</v>
      </c>
      <c r="S629" t="s">
        <v>74</v>
      </c>
      <c r="T629" t="s">
        <v>12436</v>
      </c>
      <c r="U629" t="s">
        <v>12437</v>
      </c>
      <c r="V629" t="s">
        <v>12438</v>
      </c>
      <c r="W629" t="s">
        <v>12439</v>
      </c>
      <c r="X629" t="s">
        <v>12440</v>
      </c>
      <c r="Y629" t="s">
        <v>12441</v>
      </c>
      <c r="Z629" t="s">
        <v>12442</v>
      </c>
      <c r="AA629" t="s">
        <v>12443</v>
      </c>
      <c r="AB629" t="s">
        <v>12444</v>
      </c>
      <c r="AC629" t="s">
        <v>12445</v>
      </c>
      <c r="AD629" t="s">
        <v>12446</v>
      </c>
      <c r="AE629" t="s">
        <v>12447</v>
      </c>
      <c r="AF629" t="s">
        <v>74</v>
      </c>
      <c r="AG629">
        <v>94</v>
      </c>
      <c r="AH629">
        <v>5</v>
      </c>
      <c r="AI629">
        <v>5</v>
      </c>
      <c r="AJ629">
        <v>11</v>
      </c>
      <c r="AK629">
        <v>37</v>
      </c>
      <c r="AL629" t="s">
        <v>121</v>
      </c>
      <c r="AM629" t="s">
        <v>122</v>
      </c>
      <c r="AN629" t="s">
        <v>123</v>
      </c>
      <c r="AO629" t="s">
        <v>4541</v>
      </c>
      <c r="AP629" t="s">
        <v>74</v>
      </c>
      <c r="AQ629" t="s">
        <v>74</v>
      </c>
      <c r="AR629" t="s">
        <v>4542</v>
      </c>
      <c r="AS629" t="s">
        <v>4543</v>
      </c>
      <c r="AT629" t="s">
        <v>12448</v>
      </c>
      <c r="AU629">
        <v>2022</v>
      </c>
      <c r="AV629">
        <v>13</v>
      </c>
      <c r="AW629" t="s">
        <v>74</v>
      </c>
      <c r="AX629" t="s">
        <v>74</v>
      </c>
      <c r="AY629" t="s">
        <v>74</v>
      </c>
      <c r="AZ629" t="s">
        <v>74</v>
      </c>
      <c r="BA629" t="s">
        <v>74</v>
      </c>
      <c r="BB629" t="s">
        <v>74</v>
      </c>
      <c r="BC629" t="s">
        <v>74</v>
      </c>
      <c r="BD629">
        <v>850062</v>
      </c>
      <c r="BE629" t="s">
        <v>12449</v>
      </c>
      <c r="BF629" t="str">
        <f>HYPERLINK("http://dx.doi.org/10.3389/fpls.2022.850062","http://dx.doi.org/10.3389/fpls.2022.850062")</f>
        <v>http://dx.doi.org/10.3389/fpls.2022.850062</v>
      </c>
      <c r="BG629" t="s">
        <v>74</v>
      </c>
      <c r="BH629" t="s">
        <v>74</v>
      </c>
      <c r="BI629">
        <v>19</v>
      </c>
      <c r="BJ629" t="s">
        <v>1438</v>
      </c>
      <c r="BK629" t="s">
        <v>100</v>
      </c>
      <c r="BL629" t="s">
        <v>1438</v>
      </c>
      <c r="BM629" t="s">
        <v>12450</v>
      </c>
      <c r="BN629">
        <v>35968129</v>
      </c>
      <c r="BO629" t="s">
        <v>159</v>
      </c>
      <c r="BP629" t="s">
        <v>74</v>
      </c>
      <c r="BQ629" t="s">
        <v>74</v>
      </c>
      <c r="BR629" t="s">
        <v>103</v>
      </c>
      <c r="BS629" t="s">
        <v>12451</v>
      </c>
      <c r="BT629" t="str">
        <f>HYPERLINK("https%3A%2F%2Fwww.webofscience.com%2Fwos%2Fwoscc%2Ffull-record%2FWOS:000844626500001","View Full Record in Web of Science")</f>
        <v>View Full Record in Web of Science</v>
      </c>
    </row>
    <row r="630" spans="1:72" x14ac:dyDescent="0.15">
      <c r="A630" t="s">
        <v>72</v>
      </c>
      <c r="B630" t="s">
        <v>12452</v>
      </c>
      <c r="C630" t="s">
        <v>74</v>
      </c>
      <c r="D630" t="s">
        <v>74</v>
      </c>
      <c r="E630" t="s">
        <v>74</v>
      </c>
      <c r="F630" t="s">
        <v>12453</v>
      </c>
      <c r="G630" t="s">
        <v>74</v>
      </c>
      <c r="H630" t="s">
        <v>74</v>
      </c>
      <c r="I630" t="s">
        <v>12454</v>
      </c>
      <c r="J630" t="s">
        <v>247</v>
      </c>
      <c r="K630" t="s">
        <v>74</v>
      </c>
      <c r="L630" t="s">
        <v>74</v>
      </c>
      <c r="M630" t="s">
        <v>78</v>
      </c>
      <c r="N630" t="s">
        <v>79</v>
      </c>
      <c r="O630" t="s">
        <v>74</v>
      </c>
      <c r="P630" t="s">
        <v>74</v>
      </c>
      <c r="Q630" t="s">
        <v>74</v>
      </c>
      <c r="R630" t="s">
        <v>74</v>
      </c>
      <c r="S630" t="s">
        <v>74</v>
      </c>
      <c r="T630" t="s">
        <v>12455</v>
      </c>
      <c r="U630" t="s">
        <v>12456</v>
      </c>
      <c r="V630" t="s">
        <v>12457</v>
      </c>
      <c r="W630" t="s">
        <v>12458</v>
      </c>
      <c r="X630" t="s">
        <v>12459</v>
      </c>
      <c r="Y630" t="s">
        <v>12460</v>
      </c>
      <c r="Z630" t="s">
        <v>12461</v>
      </c>
      <c r="AA630" t="s">
        <v>12462</v>
      </c>
      <c r="AB630" t="s">
        <v>12463</v>
      </c>
      <c r="AC630" t="s">
        <v>12464</v>
      </c>
      <c r="AD630" t="s">
        <v>12465</v>
      </c>
      <c r="AE630" t="s">
        <v>12466</v>
      </c>
      <c r="AF630" t="s">
        <v>74</v>
      </c>
      <c r="AG630">
        <v>108</v>
      </c>
      <c r="AH630">
        <v>7</v>
      </c>
      <c r="AI630">
        <v>7</v>
      </c>
      <c r="AJ630">
        <v>1</v>
      </c>
      <c r="AK630">
        <v>10</v>
      </c>
      <c r="AL630" t="s">
        <v>121</v>
      </c>
      <c r="AM630" t="s">
        <v>122</v>
      </c>
      <c r="AN630" t="s">
        <v>123</v>
      </c>
      <c r="AO630" t="s">
        <v>74</v>
      </c>
      <c r="AP630" t="s">
        <v>258</v>
      </c>
      <c r="AQ630" t="s">
        <v>74</v>
      </c>
      <c r="AR630" t="s">
        <v>259</v>
      </c>
      <c r="AS630" t="s">
        <v>260</v>
      </c>
      <c r="AT630" t="s">
        <v>12448</v>
      </c>
      <c r="AU630">
        <v>2022</v>
      </c>
      <c r="AV630">
        <v>9</v>
      </c>
      <c r="AW630" t="s">
        <v>74</v>
      </c>
      <c r="AX630" t="s">
        <v>74</v>
      </c>
      <c r="AY630" t="s">
        <v>74</v>
      </c>
      <c r="AZ630" t="s">
        <v>74</v>
      </c>
      <c r="BA630" t="s">
        <v>74</v>
      </c>
      <c r="BB630" t="s">
        <v>74</v>
      </c>
      <c r="BC630" t="s">
        <v>74</v>
      </c>
      <c r="BD630">
        <v>951538</v>
      </c>
      <c r="BE630" t="s">
        <v>12467</v>
      </c>
      <c r="BF630" t="str">
        <f>HYPERLINK("http://dx.doi.org/10.3389/fmars.2022.951538","http://dx.doi.org/10.3389/fmars.2022.951538")</f>
        <v>http://dx.doi.org/10.3389/fmars.2022.951538</v>
      </c>
      <c r="BG630" t="s">
        <v>74</v>
      </c>
      <c r="BH630" t="s">
        <v>74</v>
      </c>
      <c r="BI630">
        <v>19</v>
      </c>
      <c r="BJ630" t="s">
        <v>263</v>
      </c>
      <c r="BK630" t="s">
        <v>100</v>
      </c>
      <c r="BL630" t="s">
        <v>264</v>
      </c>
      <c r="BM630" t="s">
        <v>12468</v>
      </c>
      <c r="BN630" t="s">
        <v>74</v>
      </c>
      <c r="BO630" t="s">
        <v>159</v>
      </c>
      <c r="BP630" t="s">
        <v>74</v>
      </c>
      <c r="BQ630" t="s">
        <v>74</v>
      </c>
      <c r="BR630" t="s">
        <v>103</v>
      </c>
      <c r="BS630" t="s">
        <v>12469</v>
      </c>
      <c r="BT630" t="str">
        <f>HYPERLINK("https%3A%2F%2Fwww.webofscience.com%2Fwos%2Fwoscc%2Ffull-record%2FWOS:000840638500001","View Full Record in Web of Science")</f>
        <v>View Full Record in Web of Science</v>
      </c>
    </row>
    <row r="631" spans="1:72" x14ac:dyDescent="0.15">
      <c r="A631" t="s">
        <v>72</v>
      </c>
      <c r="B631" t="s">
        <v>12470</v>
      </c>
      <c r="C631" t="s">
        <v>74</v>
      </c>
      <c r="D631" t="s">
        <v>74</v>
      </c>
      <c r="E631" t="s">
        <v>74</v>
      </c>
      <c r="F631" t="s">
        <v>12471</v>
      </c>
      <c r="G631" t="s">
        <v>74</v>
      </c>
      <c r="H631" t="s">
        <v>74</v>
      </c>
      <c r="I631" t="s">
        <v>12472</v>
      </c>
      <c r="J631" t="s">
        <v>12473</v>
      </c>
      <c r="K631" t="s">
        <v>74</v>
      </c>
      <c r="L631" t="s">
        <v>74</v>
      </c>
      <c r="M631" t="s">
        <v>78</v>
      </c>
      <c r="N631" t="s">
        <v>79</v>
      </c>
      <c r="O631" t="s">
        <v>74</v>
      </c>
      <c r="P631" t="s">
        <v>74</v>
      </c>
      <c r="Q631" t="s">
        <v>74</v>
      </c>
      <c r="R631" t="s">
        <v>74</v>
      </c>
      <c r="S631" t="s">
        <v>74</v>
      </c>
      <c r="T631" t="s">
        <v>12474</v>
      </c>
      <c r="U631" t="s">
        <v>12475</v>
      </c>
      <c r="V631" t="s">
        <v>12476</v>
      </c>
      <c r="W631" t="s">
        <v>12477</v>
      </c>
      <c r="X631" t="s">
        <v>12478</v>
      </c>
      <c r="Y631" t="s">
        <v>12479</v>
      </c>
      <c r="Z631" t="s">
        <v>12480</v>
      </c>
      <c r="AA631" t="s">
        <v>12481</v>
      </c>
      <c r="AB631" t="s">
        <v>12482</v>
      </c>
      <c r="AC631" t="s">
        <v>12483</v>
      </c>
      <c r="AD631" t="s">
        <v>12484</v>
      </c>
      <c r="AE631" t="s">
        <v>12485</v>
      </c>
      <c r="AF631" t="s">
        <v>74</v>
      </c>
      <c r="AG631">
        <v>101</v>
      </c>
      <c r="AH631">
        <v>8</v>
      </c>
      <c r="AI631">
        <v>8</v>
      </c>
      <c r="AJ631">
        <v>1</v>
      </c>
      <c r="AK631">
        <v>6</v>
      </c>
      <c r="AL631" t="s">
        <v>89</v>
      </c>
      <c r="AM631" t="s">
        <v>90</v>
      </c>
      <c r="AN631" t="s">
        <v>91</v>
      </c>
      <c r="AO631" t="s">
        <v>12486</v>
      </c>
      <c r="AP631" t="s">
        <v>12487</v>
      </c>
      <c r="AQ631" t="s">
        <v>74</v>
      </c>
      <c r="AR631" t="s">
        <v>12488</v>
      </c>
      <c r="AS631" t="s">
        <v>12489</v>
      </c>
      <c r="AT631" t="s">
        <v>12448</v>
      </c>
      <c r="AU631">
        <v>2022</v>
      </c>
      <c r="AV631">
        <v>195</v>
      </c>
      <c r="AW631">
        <v>4</v>
      </c>
      <c r="AX631" t="s">
        <v>74</v>
      </c>
      <c r="AY631" t="s">
        <v>74</v>
      </c>
      <c r="AZ631" t="s">
        <v>74</v>
      </c>
      <c r="BA631" t="s">
        <v>74</v>
      </c>
      <c r="BB631">
        <v>1037</v>
      </c>
      <c r="BC631">
        <v>1066</v>
      </c>
      <c r="BD631" t="s">
        <v>74</v>
      </c>
      <c r="BE631" t="s">
        <v>12490</v>
      </c>
      <c r="BF631" t="str">
        <f>HYPERLINK("http://dx.doi.org/10.1093/zoolinnean/zlab087","http://dx.doi.org/10.1093/zoolinnean/zlab087")</f>
        <v>http://dx.doi.org/10.1093/zoolinnean/zlab087</v>
      </c>
      <c r="BG631" t="s">
        <v>74</v>
      </c>
      <c r="BH631" t="s">
        <v>74</v>
      </c>
      <c r="BI631">
        <v>30</v>
      </c>
      <c r="BJ631" t="s">
        <v>2211</v>
      </c>
      <c r="BK631" t="s">
        <v>100</v>
      </c>
      <c r="BL631" t="s">
        <v>2211</v>
      </c>
      <c r="BM631" t="s">
        <v>12491</v>
      </c>
      <c r="BN631" t="s">
        <v>74</v>
      </c>
      <c r="BO631" t="s">
        <v>1221</v>
      </c>
      <c r="BP631" t="s">
        <v>74</v>
      </c>
      <c r="BQ631" t="s">
        <v>74</v>
      </c>
      <c r="BR631" t="s">
        <v>103</v>
      </c>
      <c r="BS631" t="s">
        <v>12492</v>
      </c>
      <c r="BT631" t="str">
        <f>HYPERLINK("https%3A%2F%2Fwww.webofscience.com%2Fwos%2Fwoscc%2Ffull-record%2FWOS:000832997100001","View Full Record in Web of Science")</f>
        <v>View Full Record in Web of Science</v>
      </c>
    </row>
    <row r="632" spans="1:72" x14ac:dyDescent="0.15">
      <c r="A632" t="s">
        <v>72</v>
      </c>
      <c r="B632" t="s">
        <v>12493</v>
      </c>
      <c r="C632" t="s">
        <v>74</v>
      </c>
      <c r="D632" t="s">
        <v>74</v>
      </c>
      <c r="E632" t="s">
        <v>74</v>
      </c>
      <c r="F632" t="s">
        <v>12494</v>
      </c>
      <c r="G632" t="s">
        <v>74</v>
      </c>
      <c r="H632" t="s">
        <v>74</v>
      </c>
      <c r="I632" t="s">
        <v>12495</v>
      </c>
      <c r="J632" t="s">
        <v>3244</v>
      </c>
      <c r="K632" t="s">
        <v>74</v>
      </c>
      <c r="L632" t="s">
        <v>74</v>
      </c>
      <c r="M632" t="s">
        <v>78</v>
      </c>
      <c r="N632" t="s">
        <v>79</v>
      </c>
      <c r="O632" t="s">
        <v>74</v>
      </c>
      <c r="P632" t="s">
        <v>74</v>
      </c>
      <c r="Q632" t="s">
        <v>74</v>
      </c>
      <c r="R632" t="s">
        <v>74</v>
      </c>
      <c r="S632" t="s">
        <v>74</v>
      </c>
      <c r="T632" t="s">
        <v>74</v>
      </c>
      <c r="U632" t="s">
        <v>12496</v>
      </c>
      <c r="V632" t="s">
        <v>12497</v>
      </c>
      <c r="W632" t="s">
        <v>12498</v>
      </c>
      <c r="X632" t="s">
        <v>12499</v>
      </c>
      <c r="Y632" t="s">
        <v>12500</v>
      </c>
      <c r="Z632" t="s">
        <v>12501</v>
      </c>
      <c r="AA632" t="s">
        <v>12502</v>
      </c>
      <c r="AB632" t="s">
        <v>12503</v>
      </c>
      <c r="AC632" t="s">
        <v>12504</v>
      </c>
      <c r="AD632" t="s">
        <v>12505</v>
      </c>
      <c r="AE632" t="s">
        <v>12506</v>
      </c>
      <c r="AF632" t="s">
        <v>74</v>
      </c>
      <c r="AG632">
        <v>97</v>
      </c>
      <c r="AH632">
        <v>13</v>
      </c>
      <c r="AI632">
        <v>14</v>
      </c>
      <c r="AJ632">
        <v>4</v>
      </c>
      <c r="AK632">
        <v>13</v>
      </c>
      <c r="AL632" t="s">
        <v>2460</v>
      </c>
      <c r="AM632" t="s">
        <v>2461</v>
      </c>
      <c r="AN632" t="s">
        <v>2462</v>
      </c>
      <c r="AO632" t="s">
        <v>3256</v>
      </c>
      <c r="AP632" t="s">
        <v>3257</v>
      </c>
      <c r="AQ632" t="s">
        <v>74</v>
      </c>
      <c r="AR632" t="s">
        <v>3258</v>
      </c>
      <c r="AS632" t="s">
        <v>3259</v>
      </c>
      <c r="AT632" t="s">
        <v>12448</v>
      </c>
      <c r="AU632">
        <v>2022</v>
      </c>
      <c r="AV632">
        <v>22</v>
      </c>
      <c r="AW632">
        <v>14</v>
      </c>
      <c r="AX632" t="s">
        <v>74</v>
      </c>
      <c r="AY632" t="s">
        <v>74</v>
      </c>
      <c r="AZ632" t="s">
        <v>74</v>
      </c>
      <c r="BA632" t="s">
        <v>74</v>
      </c>
      <c r="BB632">
        <v>9721</v>
      </c>
      <c r="BC632">
        <v>9745</v>
      </c>
      <c r="BD632" t="s">
        <v>74</v>
      </c>
      <c r="BE632" t="s">
        <v>12507</v>
      </c>
      <c r="BF632" t="str">
        <f>HYPERLINK("http://dx.doi.org/10.5194/acp-22-9721-2022","http://dx.doi.org/10.5194/acp-22-9721-2022")</f>
        <v>http://dx.doi.org/10.5194/acp-22-9721-2022</v>
      </c>
      <c r="BG632" t="s">
        <v>74</v>
      </c>
      <c r="BH632" t="s">
        <v>74</v>
      </c>
      <c r="BI632">
        <v>25</v>
      </c>
      <c r="BJ632" t="s">
        <v>1129</v>
      </c>
      <c r="BK632" t="s">
        <v>100</v>
      </c>
      <c r="BL632" t="s">
        <v>1130</v>
      </c>
      <c r="BM632" t="s">
        <v>12508</v>
      </c>
      <c r="BN632" t="s">
        <v>74</v>
      </c>
      <c r="BO632" t="s">
        <v>4126</v>
      </c>
      <c r="BP632" t="s">
        <v>74</v>
      </c>
      <c r="BQ632" t="s">
        <v>74</v>
      </c>
      <c r="BR632" t="s">
        <v>103</v>
      </c>
      <c r="BS632" t="s">
        <v>12509</v>
      </c>
      <c r="BT632" t="str">
        <f>HYPERLINK("https%3A%2F%2Fwww.webofscience.com%2Fwos%2Fwoscc%2Ffull-record%2FWOS:000832641400001","View Full Record in Web of Science")</f>
        <v>View Full Record in Web of Science</v>
      </c>
    </row>
    <row r="633" spans="1:72" x14ac:dyDescent="0.15">
      <c r="A633" t="s">
        <v>72</v>
      </c>
      <c r="B633" t="s">
        <v>12510</v>
      </c>
      <c r="C633" t="s">
        <v>74</v>
      </c>
      <c r="D633" t="s">
        <v>74</v>
      </c>
      <c r="E633" t="s">
        <v>74</v>
      </c>
      <c r="F633" t="s">
        <v>12511</v>
      </c>
      <c r="G633" t="s">
        <v>74</v>
      </c>
      <c r="H633" t="s">
        <v>74</v>
      </c>
      <c r="I633" t="s">
        <v>12512</v>
      </c>
      <c r="J633" t="s">
        <v>3842</v>
      </c>
      <c r="K633" t="s">
        <v>74</v>
      </c>
      <c r="L633" t="s">
        <v>74</v>
      </c>
      <c r="M633" t="s">
        <v>78</v>
      </c>
      <c r="N633" t="s">
        <v>79</v>
      </c>
      <c r="O633" t="s">
        <v>74</v>
      </c>
      <c r="P633" t="s">
        <v>74</v>
      </c>
      <c r="Q633" t="s">
        <v>74</v>
      </c>
      <c r="R633" t="s">
        <v>74</v>
      </c>
      <c r="S633" t="s">
        <v>74</v>
      </c>
      <c r="T633" t="s">
        <v>12513</v>
      </c>
      <c r="U633" t="s">
        <v>12514</v>
      </c>
      <c r="V633" t="s">
        <v>12515</v>
      </c>
      <c r="W633" t="s">
        <v>12516</v>
      </c>
      <c r="X633" t="s">
        <v>12517</v>
      </c>
      <c r="Y633" t="s">
        <v>12518</v>
      </c>
      <c r="Z633" t="s">
        <v>12519</v>
      </c>
      <c r="AA633" t="s">
        <v>12520</v>
      </c>
      <c r="AB633" t="s">
        <v>12521</v>
      </c>
      <c r="AC633" t="s">
        <v>12522</v>
      </c>
      <c r="AD633" t="s">
        <v>12523</v>
      </c>
      <c r="AE633" t="s">
        <v>12524</v>
      </c>
      <c r="AF633" t="s">
        <v>74</v>
      </c>
      <c r="AG633">
        <v>75</v>
      </c>
      <c r="AH633">
        <v>4</v>
      </c>
      <c r="AI633">
        <v>4</v>
      </c>
      <c r="AJ633">
        <v>2</v>
      </c>
      <c r="AK633">
        <v>22</v>
      </c>
      <c r="AL633" t="s">
        <v>231</v>
      </c>
      <c r="AM633" t="s">
        <v>232</v>
      </c>
      <c r="AN633" t="s">
        <v>233</v>
      </c>
      <c r="AO633" t="s">
        <v>3853</v>
      </c>
      <c r="AP633" t="s">
        <v>3854</v>
      </c>
      <c r="AQ633" t="s">
        <v>74</v>
      </c>
      <c r="AR633" t="s">
        <v>3842</v>
      </c>
      <c r="AS633" t="s">
        <v>3855</v>
      </c>
      <c r="AT633" t="s">
        <v>238</v>
      </c>
      <c r="AU633">
        <v>2023</v>
      </c>
      <c r="AV633">
        <v>165</v>
      </c>
      <c r="AW633">
        <v>1</v>
      </c>
      <c r="AX633" t="s">
        <v>74</v>
      </c>
      <c r="AY633" t="s">
        <v>74</v>
      </c>
      <c r="AZ633" t="s">
        <v>74</v>
      </c>
      <c r="BA633" t="s">
        <v>74</v>
      </c>
      <c r="BB633">
        <v>190</v>
      </c>
      <c r="BC633">
        <v>203</v>
      </c>
      <c r="BD633" t="s">
        <v>74</v>
      </c>
      <c r="BE633" t="s">
        <v>12525</v>
      </c>
      <c r="BF633" t="str">
        <f>HYPERLINK("http://dx.doi.org/10.1111/ibi.13111","http://dx.doi.org/10.1111/ibi.13111")</f>
        <v>http://dx.doi.org/10.1111/ibi.13111</v>
      </c>
      <c r="BG633" t="s">
        <v>74</v>
      </c>
      <c r="BH633" t="s">
        <v>12326</v>
      </c>
      <c r="BI633">
        <v>14</v>
      </c>
      <c r="BJ633" t="s">
        <v>3857</v>
      </c>
      <c r="BK633" t="s">
        <v>100</v>
      </c>
      <c r="BL633" t="s">
        <v>2211</v>
      </c>
      <c r="BM633" t="s">
        <v>12526</v>
      </c>
      <c r="BN633" t="s">
        <v>74</v>
      </c>
      <c r="BO633" t="s">
        <v>1341</v>
      </c>
      <c r="BP633" t="s">
        <v>74</v>
      </c>
      <c r="BQ633" t="s">
        <v>74</v>
      </c>
      <c r="BR633" t="s">
        <v>103</v>
      </c>
      <c r="BS633" t="s">
        <v>12527</v>
      </c>
      <c r="BT633" t="str">
        <f>HYPERLINK("https%3A%2F%2Fwww.webofscience.com%2Fwos%2Fwoscc%2Ffull-record%2FWOS:000832614700001","View Full Record in Web of Science")</f>
        <v>View Full Record in Web of Science</v>
      </c>
    </row>
    <row r="634" spans="1:72" x14ac:dyDescent="0.15">
      <c r="A634" t="s">
        <v>72</v>
      </c>
      <c r="B634" t="s">
        <v>12528</v>
      </c>
      <c r="C634" t="s">
        <v>74</v>
      </c>
      <c r="D634" t="s">
        <v>74</v>
      </c>
      <c r="E634" t="s">
        <v>74</v>
      </c>
      <c r="F634" t="s">
        <v>12529</v>
      </c>
      <c r="G634" t="s">
        <v>74</v>
      </c>
      <c r="H634" t="s">
        <v>74</v>
      </c>
      <c r="I634" t="s">
        <v>12530</v>
      </c>
      <c r="J634" t="s">
        <v>247</v>
      </c>
      <c r="K634" t="s">
        <v>74</v>
      </c>
      <c r="L634" t="s">
        <v>74</v>
      </c>
      <c r="M634" t="s">
        <v>78</v>
      </c>
      <c r="N634" t="s">
        <v>79</v>
      </c>
      <c r="O634" t="s">
        <v>74</v>
      </c>
      <c r="P634" t="s">
        <v>74</v>
      </c>
      <c r="Q634" t="s">
        <v>74</v>
      </c>
      <c r="R634" t="s">
        <v>74</v>
      </c>
      <c r="S634" t="s">
        <v>74</v>
      </c>
      <c r="T634" t="s">
        <v>12531</v>
      </c>
      <c r="U634" t="s">
        <v>12532</v>
      </c>
      <c r="V634" t="s">
        <v>12533</v>
      </c>
      <c r="W634" t="s">
        <v>12534</v>
      </c>
      <c r="X634" t="s">
        <v>12535</v>
      </c>
      <c r="Y634" t="s">
        <v>12536</v>
      </c>
      <c r="Z634" t="s">
        <v>12537</v>
      </c>
      <c r="AA634" t="s">
        <v>12538</v>
      </c>
      <c r="AB634" t="s">
        <v>12539</v>
      </c>
      <c r="AC634" t="s">
        <v>12540</v>
      </c>
      <c r="AD634" t="s">
        <v>12541</v>
      </c>
      <c r="AE634" t="s">
        <v>12542</v>
      </c>
      <c r="AF634" t="s">
        <v>74</v>
      </c>
      <c r="AG634">
        <v>116</v>
      </c>
      <c r="AH634">
        <v>2</v>
      </c>
      <c r="AI634">
        <v>3</v>
      </c>
      <c r="AJ634">
        <v>1</v>
      </c>
      <c r="AK634">
        <v>8</v>
      </c>
      <c r="AL634" t="s">
        <v>121</v>
      </c>
      <c r="AM634" t="s">
        <v>122</v>
      </c>
      <c r="AN634" t="s">
        <v>123</v>
      </c>
      <c r="AO634" t="s">
        <v>74</v>
      </c>
      <c r="AP634" t="s">
        <v>258</v>
      </c>
      <c r="AQ634" t="s">
        <v>74</v>
      </c>
      <c r="AR634" t="s">
        <v>259</v>
      </c>
      <c r="AS634" t="s">
        <v>260</v>
      </c>
      <c r="AT634" t="s">
        <v>12543</v>
      </c>
      <c r="AU634">
        <v>2022</v>
      </c>
      <c r="AV634">
        <v>9</v>
      </c>
      <c r="AW634" t="s">
        <v>74</v>
      </c>
      <c r="AX634" t="s">
        <v>74</v>
      </c>
      <c r="AY634" t="s">
        <v>74</v>
      </c>
      <c r="AZ634" t="s">
        <v>74</v>
      </c>
      <c r="BA634" t="s">
        <v>74</v>
      </c>
      <c r="BB634" t="s">
        <v>74</v>
      </c>
      <c r="BC634" t="s">
        <v>74</v>
      </c>
      <c r="BD634">
        <v>835096</v>
      </c>
      <c r="BE634" t="s">
        <v>12544</v>
      </c>
      <c r="BF634" t="str">
        <f>HYPERLINK("http://dx.doi.org/10.3389/fmars.2022.835096","http://dx.doi.org/10.3389/fmars.2022.835096")</f>
        <v>http://dx.doi.org/10.3389/fmars.2022.835096</v>
      </c>
      <c r="BG634" t="s">
        <v>74</v>
      </c>
      <c r="BH634" t="s">
        <v>74</v>
      </c>
      <c r="BI634">
        <v>17</v>
      </c>
      <c r="BJ634" t="s">
        <v>263</v>
      </c>
      <c r="BK634" t="s">
        <v>100</v>
      </c>
      <c r="BL634" t="s">
        <v>264</v>
      </c>
      <c r="BM634" t="s">
        <v>12545</v>
      </c>
      <c r="BN634" t="s">
        <v>74</v>
      </c>
      <c r="BO634" t="s">
        <v>266</v>
      </c>
      <c r="BP634" t="s">
        <v>74</v>
      </c>
      <c r="BQ634" t="s">
        <v>74</v>
      </c>
      <c r="BR634" t="s">
        <v>103</v>
      </c>
      <c r="BS634" t="s">
        <v>12546</v>
      </c>
      <c r="BT634" t="str">
        <f>HYPERLINK("https%3A%2F%2Fwww.webofscience.com%2Fwos%2Fwoscc%2Ffull-record%2FWOS:000890904000001","View Full Record in Web of Science")</f>
        <v>View Full Record in Web of Science</v>
      </c>
    </row>
    <row r="635" spans="1:72" x14ac:dyDescent="0.15">
      <c r="A635" t="s">
        <v>72</v>
      </c>
      <c r="B635" t="s">
        <v>12547</v>
      </c>
      <c r="C635" t="s">
        <v>74</v>
      </c>
      <c r="D635" t="s">
        <v>74</v>
      </c>
      <c r="E635" t="s">
        <v>74</v>
      </c>
      <c r="F635" t="s">
        <v>12548</v>
      </c>
      <c r="G635" t="s">
        <v>74</v>
      </c>
      <c r="H635" t="s">
        <v>74</v>
      </c>
      <c r="I635" t="s">
        <v>12549</v>
      </c>
      <c r="J635" t="s">
        <v>12550</v>
      </c>
      <c r="K635" t="s">
        <v>74</v>
      </c>
      <c r="L635" t="s">
        <v>74</v>
      </c>
      <c r="M635" t="s">
        <v>78</v>
      </c>
      <c r="N635" t="s">
        <v>79</v>
      </c>
      <c r="O635" t="s">
        <v>74</v>
      </c>
      <c r="P635" t="s">
        <v>74</v>
      </c>
      <c r="Q635" t="s">
        <v>74</v>
      </c>
      <c r="R635" t="s">
        <v>74</v>
      </c>
      <c r="S635" t="s">
        <v>74</v>
      </c>
      <c r="T635" t="s">
        <v>12551</v>
      </c>
      <c r="U635" t="s">
        <v>12552</v>
      </c>
      <c r="V635" t="s">
        <v>12553</v>
      </c>
      <c r="W635" t="s">
        <v>12554</v>
      </c>
      <c r="X635" t="s">
        <v>12555</v>
      </c>
      <c r="Y635" t="s">
        <v>12556</v>
      </c>
      <c r="Z635" t="s">
        <v>12557</v>
      </c>
      <c r="AA635" t="s">
        <v>12558</v>
      </c>
      <c r="AB635" t="s">
        <v>74</v>
      </c>
      <c r="AC635" t="s">
        <v>12559</v>
      </c>
      <c r="AD635" t="s">
        <v>12560</v>
      </c>
      <c r="AE635" t="s">
        <v>12561</v>
      </c>
      <c r="AF635" t="s">
        <v>74</v>
      </c>
      <c r="AG635">
        <v>56</v>
      </c>
      <c r="AH635">
        <v>10</v>
      </c>
      <c r="AI635">
        <v>11</v>
      </c>
      <c r="AJ635">
        <v>1</v>
      </c>
      <c r="AK635">
        <v>6</v>
      </c>
      <c r="AL635" t="s">
        <v>1733</v>
      </c>
      <c r="AM635" t="s">
        <v>1734</v>
      </c>
      <c r="AN635" t="s">
        <v>1735</v>
      </c>
      <c r="AO635" t="s">
        <v>12562</v>
      </c>
      <c r="AP635" t="s">
        <v>12563</v>
      </c>
      <c r="AQ635" t="s">
        <v>74</v>
      </c>
      <c r="AR635" t="s">
        <v>12564</v>
      </c>
      <c r="AS635" t="s">
        <v>12565</v>
      </c>
      <c r="AT635" t="s">
        <v>5386</v>
      </c>
      <c r="AU635">
        <v>2022</v>
      </c>
      <c r="AV635">
        <v>85</v>
      </c>
      <c r="AW635" t="s">
        <v>74</v>
      </c>
      <c r="AX635" t="s">
        <v>74</v>
      </c>
      <c r="AY635" t="s">
        <v>74</v>
      </c>
      <c r="AZ635" t="s">
        <v>74</v>
      </c>
      <c r="BA635" t="s">
        <v>74</v>
      </c>
      <c r="BB635" t="s">
        <v>74</v>
      </c>
      <c r="BC635" t="s">
        <v>74</v>
      </c>
      <c r="BD635">
        <v>125909</v>
      </c>
      <c r="BE635" t="s">
        <v>12566</v>
      </c>
      <c r="BF635" t="str">
        <f>HYPERLINK("http://dx.doi.org/10.1016/j.ejop.2022.125909","http://dx.doi.org/10.1016/j.ejop.2022.125909")</f>
        <v>http://dx.doi.org/10.1016/j.ejop.2022.125909</v>
      </c>
      <c r="BG635" t="s">
        <v>74</v>
      </c>
      <c r="BH635" t="s">
        <v>12326</v>
      </c>
      <c r="BI635">
        <v>26</v>
      </c>
      <c r="BJ635" t="s">
        <v>214</v>
      </c>
      <c r="BK635" t="s">
        <v>100</v>
      </c>
      <c r="BL635" t="s">
        <v>214</v>
      </c>
      <c r="BM635" t="s">
        <v>12567</v>
      </c>
      <c r="BN635">
        <v>35907388</v>
      </c>
      <c r="BO635" t="s">
        <v>4217</v>
      </c>
      <c r="BP635" t="s">
        <v>74</v>
      </c>
      <c r="BQ635" t="s">
        <v>74</v>
      </c>
      <c r="BR635" t="s">
        <v>103</v>
      </c>
      <c r="BS635" t="s">
        <v>12568</v>
      </c>
      <c r="BT635" t="str">
        <f>HYPERLINK("https%3A%2F%2Fwww.webofscience.com%2Fwos%2Fwoscc%2Ffull-record%2FWOS:000835180800001","View Full Record in Web of Science")</f>
        <v>View Full Record in Web of Science</v>
      </c>
    </row>
    <row r="636" spans="1:72" x14ac:dyDescent="0.15">
      <c r="A636" t="s">
        <v>72</v>
      </c>
      <c r="B636" t="s">
        <v>12569</v>
      </c>
      <c r="C636" t="s">
        <v>74</v>
      </c>
      <c r="D636" t="s">
        <v>74</v>
      </c>
      <c r="E636" t="s">
        <v>74</v>
      </c>
      <c r="F636" t="s">
        <v>12570</v>
      </c>
      <c r="G636" t="s">
        <v>74</v>
      </c>
      <c r="H636" t="s">
        <v>74</v>
      </c>
      <c r="I636" t="s">
        <v>12571</v>
      </c>
      <c r="J636" t="s">
        <v>12572</v>
      </c>
      <c r="K636" t="s">
        <v>74</v>
      </c>
      <c r="L636" t="s">
        <v>74</v>
      </c>
      <c r="M636" t="s">
        <v>78</v>
      </c>
      <c r="N636" t="s">
        <v>79</v>
      </c>
      <c r="O636" t="s">
        <v>74</v>
      </c>
      <c r="P636" t="s">
        <v>74</v>
      </c>
      <c r="Q636" t="s">
        <v>74</v>
      </c>
      <c r="R636" t="s">
        <v>74</v>
      </c>
      <c r="S636" t="s">
        <v>74</v>
      </c>
      <c r="T636" t="s">
        <v>12573</v>
      </c>
      <c r="U636" t="s">
        <v>12574</v>
      </c>
      <c r="V636" t="s">
        <v>12575</v>
      </c>
      <c r="W636" t="s">
        <v>12576</v>
      </c>
      <c r="X636" t="s">
        <v>12577</v>
      </c>
      <c r="Y636" t="s">
        <v>12578</v>
      </c>
      <c r="Z636" t="s">
        <v>12579</v>
      </c>
      <c r="AA636" t="s">
        <v>12580</v>
      </c>
      <c r="AB636" t="s">
        <v>74</v>
      </c>
      <c r="AC636" t="s">
        <v>74</v>
      </c>
      <c r="AD636" t="s">
        <v>74</v>
      </c>
      <c r="AE636" t="s">
        <v>74</v>
      </c>
      <c r="AF636" t="s">
        <v>74</v>
      </c>
      <c r="AG636">
        <v>306</v>
      </c>
      <c r="AH636">
        <v>4</v>
      </c>
      <c r="AI636">
        <v>4</v>
      </c>
      <c r="AJ636">
        <v>0</v>
      </c>
      <c r="AK636">
        <v>2</v>
      </c>
      <c r="AL636" t="s">
        <v>345</v>
      </c>
      <c r="AM636" t="s">
        <v>346</v>
      </c>
      <c r="AN636" t="s">
        <v>347</v>
      </c>
      <c r="AO636" t="s">
        <v>12581</v>
      </c>
      <c r="AP636" t="s">
        <v>12582</v>
      </c>
      <c r="AQ636" t="s">
        <v>74</v>
      </c>
      <c r="AR636" t="s">
        <v>12583</v>
      </c>
      <c r="AS636" t="s">
        <v>12584</v>
      </c>
      <c r="AT636" t="s">
        <v>3605</v>
      </c>
      <c r="AU636">
        <v>2022</v>
      </c>
      <c r="AV636">
        <v>113</v>
      </c>
      <c r="AW636">
        <v>3</v>
      </c>
      <c r="AX636" t="s">
        <v>74</v>
      </c>
      <c r="AY636" t="s">
        <v>74</v>
      </c>
      <c r="AZ636" t="s">
        <v>74</v>
      </c>
      <c r="BA636" t="s">
        <v>74</v>
      </c>
      <c r="BB636">
        <v>175</v>
      </c>
      <c r="BC636">
        <v>226</v>
      </c>
      <c r="BD636" t="s">
        <v>12585</v>
      </c>
      <c r="BE636" t="s">
        <v>12586</v>
      </c>
      <c r="BF636" t="str">
        <f>HYPERLINK("http://dx.doi.org/10.1017/S1755691022000111","http://dx.doi.org/10.1017/S1755691022000111")</f>
        <v>http://dx.doi.org/10.1017/S1755691022000111</v>
      </c>
      <c r="BG636" t="s">
        <v>74</v>
      </c>
      <c r="BH636" t="s">
        <v>12326</v>
      </c>
      <c r="BI636">
        <v>52</v>
      </c>
      <c r="BJ636" t="s">
        <v>12587</v>
      </c>
      <c r="BK636" t="s">
        <v>100</v>
      </c>
      <c r="BL636" t="s">
        <v>5295</v>
      </c>
      <c r="BM636" t="s">
        <v>12588</v>
      </c>
      <c r="BN636" t="s">
        <v>74</v>
      </c>
      <c r="BO636" t="s">
        <v>3859</v>
      </c>
      <c r="BP636" t="s">
        <v>74</v>
      </c>
      <c r="BQ636" t="s">
        <v>74</v>
      </c>
      <c r="BR636" t="s">
        <v>103</v>
      </c>
      <c r="BS636" t="s">
        <v>12589</v>
      </c>
      <c r="BT636" t="str">
        <f>HYPERLINK("https%3A%2F%2Fwww.webofscience.com%2Fwos%2Fwoscc%2Ffull-record%2FWOS:000832495900001","View Full Record in Web of Science")</f>
        <v>View Full Record in Web of Science</v>
      </c>
    </row>
    <row r="637" spans="1:72" x14ac:dyDescent="0.15">
      <c r="A637" t="s">
        <v>72</v>
      </c>
      <c r="B637" t="s">
        <v>12590</v>
      </c>
      <c r="C637" t="s">
        <v>74</v>
      </c>
      <c r="D637" t="s">
        <v>74</v>
      </c>
      <c r="E637" t="s">
        <v>74</v>
      </c>
      <c r="F637" t="s">
        <v>12591</v>
      </c>
      <c r="G637" t="s">
        <v>74</v>
      </c>
      <c r="H637" t="s">
        <v>74</v>
      </c>
      <c r="I637" t="s">
        <v>12592</v>
      </c>
      <c r="J637" t="s">
        <v>4279</v>
      </c>
      <c r="K637" t="s">
        <v>74</v>
      </c>
      <c r="L637" t="s">
        <v>74</v>
      </c>
      <c r="M637" t="s">
        <v>78</v>
      </c>
      <c r="N637" t="s">
        <v>79</v>
      </c>
      <c r="O637" t="s">
        <v>74</v>
      </c>
      <c r="P637" t="s">
        <v>74</v>
      </c>
      <c r="Q637" t="s">
        <v>74</v>
      </c>
      <c r="R637" t="s">
        <v>74</v>
      </c>
      <c r="S637" t="s">
        <v>74</v>
      </c>
      <c r="T637" t="s">
        <v>74</v>
      </c>
      <c r="U637" t="s">
        <v>12593</v>
      </c>
      <c r="V637" t="s">
        <v>12594</v>
      </c>
      <c r="W637" t="s">
        <v>12595</v>
      </c>
      <c r="X637" t="s">
        <v>12596</v>
      </c>
      <c r="Y637" t="s">
        <v>12597</v>
      </c>
      <c r="Z637" t="s">
        <v>12598</v>
      </c>
      <c r="AA637" t="s">
        <v>12599</v>
      </c>
      <c r="AB637" t="s">
        <v>12600</v>
      </c>
      <c r="AC637" t="s">
        <v>12601</v>
      </c>
      <c r="AD637" t="s">
        <v>12602</v>
      </c>
      <c r="AE637" t="s">
        <v>12603</v>
      </c>
      <c r="AF637" t="s">
        <v>74</v>
      </c>
      <c r="AG637">
        <v>53</v>
      </c>
      <c r="AH637">
        <v>8</v>
      </c>
      <c r="AI637">
        <v>8</v>
      </c>
      <c r="AJ637">
        <v>6</v>
      </c>
      <c r="AK637">
        <v>19</v>
      </c>
      <c r="AL637" t="s">
        <v>149</v>
      </c>
      <c r="AM637" t="s">
        <v>150</v>
      </c>
      <c r="AN637" t="s">
        <v>151</v>
      </c>
      <c r="AO637" t="s">
        <v>4291</v>
      </c>
      <c r="AP637" t="s">
        <v>4292</v>
      </c>
      <c r="AQ637" t="s">
        <v>74</v>
      </c>
      <c r="AR637" t="s">
        <v>4293</v>
      </c>
      <c r="AS637" t="s">
        <v>4294</v>
      </c>
      <c r="AT637" t="s">
        <v>5386</v>
      </c>
      <c r="AU637">
        <v>2022</v>
      </c>
      <c r="AV637">
        <v>15</v>
      </c>
      <c r="AW637">
        <v>8</v>
      </c>
      <c r="AX637" t="s">
        <v>74</v>
      </c>
      <c r="AY637" t="s">
        <v>74</v>
      </c>
      <c r="AZ637" t="s">
        <v>74</v>
      </c>
      <c r="BA637" t="s">
        <v>74</v>
      </c>
      <c r="BB637">
        <v>645</v>
      </c>
      <c r="BC637" t="s">
        <v>2114</v>
      </c>
      <c r="BD637" t="s">
        <v>74</v>
      </c>
      <c r="BE637" t="s">
        <v>12604</v>
      </c>
      <c r="BF637" t="str">
        <f>HYPERLINK("http://dx.doi.org/10.1038/s41561-022-00992-5","http://dx.doi.org/10.1038/s41561-022-00992-5")</f>
        <v>http://dx.doi.org/10.1038/s41561-022-00992-5</v>
      </c>
      <c r="BG637" t="s">
        <v>74</v>
      </c>
      <c r="BH637" t="s">
        <v>12326</v>
      </c>
      <c r="BI637">
        <v>9</v>
      </c>
      <c r="BJ637" t="s">
        <v>129</v>
      </c>
      <c r="BK637" t="s">
        <v>100</v>
      </c>
      <c r="BL637" t="s">
        <v>130</v>
      </c>
      <c r="BM637" t="s">
        <v>10563</v>
      </c>
      <c r="BN637" t="s">
        <v>74</v>
      </c>
      <c r="BO637" t="s">
        <v>2350</v>
      </c>
      <c r="BP637" t="s">
        <v>74</v>
      </c>
      <c r="BQ637" t="s">
        <v>74</v>
      </c>
      <c r="BR637" t="s">
        <v>103</v>
      </c>
      <c r="BS637" t="s">
        <v>12605</v>
      </c>
      <c r="BT637" t="str">
        <f>HYPERLINK("https%3A%2F%2Fwww.webofscience.com%2Fwos%2Fwoscc%2Ffull-record%2FWOS:000832487600002","View Full Record in Web of Science")</f>
        <v>View Full Record in Web of Science</v>
      </c>
    </row>
    <row r="638" spans="1:72" x14ac:dyDescent="0.15">
      <c r="A638" t="s">
        <v>72</v>
      </c>
      <c r="B638" t="s">
        <v>12606</v>
      </c>
      <c r="C638" t="s">
        <v>74</v>
      </c>
      <c r="D638" t="s">
        <v>74</v>
      </c>
      <c r="E638" t="s">
        <v>74</v>
      </c>
      <c r="F638" t="s">
        <v>12607</v>
      </c>
      <c r="G638" t="s">
        <v>74</v>
      </c>
      <c r="H638" t="s">
        <v>74</v>
      </c>
      <c r="I638" t="s">
        <v>12608</v>
      </c>
      <c r="J638" t="s">
        <v>3887</v>
      </c>
      <c r="K638" t="s">
        <v>74</v>
      </c>
      <c r="L638" t="s">
        <v>74</v>
      </c>
      <c r="M638" t="s">
        <v>78</v>
      </c>
      <c r="N638" t="s">
        <v>1346</v>
      </c>
      <c r="O638" t="s">
        <v>74</v>
      </c>
      <c r="P638" t="s">
        <v>74</v>
      </c>
      <c r="Q638" t="s">
        <v>74</v>
      </c>
      <c r="R638" t="s">
        <v>74</v>
      </c>
      <c r="S638" t="s">
        <v>74</v>
      </c>
      <c r="T638" t="s">
        <v>12609</v>
      </c>
      <c r="U638" t="s">
        <v>74</v>
      </c>
      <c r="V638" t="s">
        <v>74</v>
      </c>
      <c r="W638" t="s">
        <v>12610</v>
      </c>
      <c r="X638" t="s">
        <v>12611</v>
      </c>
      <c r="Y638" t="s">
        <v>12612</v>
      </c>
      <c r="Z638" t="s">
        <v>12613</v>
      </c>
      <c r="AA638" t="s">
        <v>12614</v>
      </c>
      <c r="AB638" t="s">
        <v>12615</v>
      </c>
      <c r="AC638" t="s">
        <v>12616</v>
      </c>
      <c r="AD638" t="s">
        <v>12616</v>
      </c>
      <c r="AE638" t="s">
        <v>12617</v>
      </c>
      <c r="AF638" t="s">
        <v>74</v>
      </c>
      <c r="AG638">
        <v>18</v>
      </c>
      <c r="AH638">
        <v>1</v>
      </c>
      <c r="AI638">
        <v>1</v>
      </c>
      <c r="AJ638">
        <v>0</v>
      </c>
      <c r="AK638">
        <v>8</v>
      </c>
      <c r="AL638" t="s">
        <v>231</v>
      </c>
      <c r="AM638" t="s">
        <v>232</v>
      </c>
      <c r="AN638" t="s">
        <v>233</v>
      </c>
      <c r="AO638" t="s">
        <v>3898</v>
      </c>
      <c r="AP638" t="s">
        <v>3899</v>
      </c>
      <c r="AQ638" t="s">
        <v>74</v>
      </c>
      <c r="AR638" t="s">
        <v>3887</v>
      </c>
      <c r="AS638" t="s">
        <v>3900</v>
      </c>
      <c r="AT638" t="s">
        <v>428</v>
      </c>
      <c r="AU638">
        <v>2022</v>
      </c>
      <c r="AV638">
        <v>103</v>
      </c>
      <c r="AW638">
        <v>10</v>
      </c>
      <c r="AX638" t="s">
        <v>74</v>
      </c>
      <c r="AY638" t="s">
        <v>74</v>
      </c>
      <c r="AZ638" t="s">
        <v>74</v>
      </c>
      <c r="BA638" t="s">
        <v>74</v>
      </c>
      <c r="BB638" t="s">
        <v>74</v>
      </c>
      <c r="BC638" t="s">
        <v>74</v>
      </c>
      <c r="BD638" t="s">
        <v>12618</v>
      </c>
      <c r="BE638" t="s">
        <v>12619</v>
      </c>
      <c r="BF638" t="str">
        <f>HYPERLINK("http://dx.doi.org/10.1002/ecy.3795","http://dx.doi.org/10.1002/ecy.3795")</f>
        <v>http://dx.doi.org/10.1002/ecy.3795</v>
      </c>
      <c r="BG638" t="s">
        <v>74</v>
      </c>
      <c r="BH638" t="s">
        <v>12326</v>
      </c>
      <c r="BI638">
        <v>6</v>
      </c>
      <c r="BJ638" t="s">
        <v>3900</v>
      </c>
      <c r="BK638" t="s">
        <v>100</v>
      </c>
      <c r="BL638" t="s">
        <v>2041</v>
      </c>
      <c r="BM638" t="s">
        <v>12620</v>
      </c>
      <c r="BN638">
        <v>35718754</v>
      </c>
      <c r="BO638" t="s">
        <v>1341</v>
      </c>
      <c r="BP638" t="s">
        <v>74</v>
      </c>
      <c r="BQ638" t="s">
        <v>74</v>
      </c>
      <c r="BR638" t="s">
        <v>103</v>
      </c>
      <c r="BS638" t="s">
        <v>12621</v>
      </c>
      <c r="BT638" t="str">
        <f>HYPERLINK("https%3A%2F%2Fwww.webofscience.com%2Fwos%2Fwoscc%2Ffull-record%2FWOS:000831058100001","View Full Record in Web of Science")</f>
        <v>View Full Record in Web of Science</v>
      </c>
    </row>
    <row r="639" spans="1:72" x14ac:dyDescent="0.15">
      <c r="A639" t="s">
        <v>72</v>
      </c>
      <c r="B639" t="s">
        <v>12622</v>
      </c>
      <c r="C639" t="s">
        <v>74</v>
      </c>
      <c r="D639" t="s">
        <v>74</v>
      </c>
      <c r="E639" t="s">
        <v>74</v>
      </c>
      <c r="F639" t="s">
        <v>12623</v>
      </c>
      <c r="G639" t="s">
        <v>74</v>
      </c>
      <c r="H639" t="s">
        <v>74</v>
      </c>
      <c r="I639" t="s">
        <v>12624</v>
      </c>
      <c r="J639" t="s">
        <v>4756</v>
      </c>
      <c r="K639" t="s">
        <v>74</v>
      </c>
      <c r="L639" t="s">
        <v>74</v>
      </c>
      <c r="M639" t="s">
        <v>78</v>
      </c>
      <c r="N639" t="s">
        <v>79</v>
      </c>
      <c r="O639" t="s">
        <v>74</v>
      </c>
      <c r="P639" t="s">
        <v>74</v>
      </c>
      <c r="Q639" t="s">
        <v>74</v>
      </c>
      <c r="R639" t="s">
        <v>74</v>
      </c>
      <c r="S639" t="s">
        <v>74</v>
      </c>
      <c r="T639" t="s">
        <v>74</v>
      </c>
      <c r="U639" t="s">
        <v>12625</v>
      </c>
      <c r="V639" t="s">
        <v>12626</v>
      </c>
      <c r="W639" t="s">
        <v>12627</v>
      </c>
      <c r="X639" t="s">
        <v>12628</v>
      </c>
      <c r="Y639" t="s">
        <v>12629</v>
      </c>
      <c r="Z639" t="s">
        <v>1084</v>
      </c>
      <c r="AA639" t="s">
        <v>74</v>
      </c>
      <c r="AB639" t="s">
        <v>12630</v>
      </c>
      <c r="AC639" t="s">
        <v>12631</v>
      </c>
      <c r="AD639" t="s">
        <v>12632</v>
      </c>
      <c r="AE639" t="s">
        <v>12633</v>
      </c>
      <c r="AF639" t="s">
        <v>74</v>
      </c>
      <c r="AG639">
        <v>91</v>
      </c>
      <c r="AH639">
        <v>5</v>
      </c>
      <c r="AI639">
        <v>5</v>
      </c>
      <c r="AJ639">
        <v>1</v>
      </c>
      <c r="AK639">
        <v>10</v>
      </c>
      <c r="AL639" t="s">
        <v>2460</v>
      </c>
      <c r="AM639" t="s">
        <v>2461</v>
      </c>
      <c r="AN639" t="s">
        <v>2462</v>
      </c>
      <c r="AO639" t="s">
        <v>4768</v>
      </c>
      <c r="AP639" t="s">
        <v>4769</v>
      </c>
      <c r="AQ639" t="s">
        <v>74</v>
      </c>
      <c r="AR639" t="s">
        <v>4770</v>
      </c>
      <c r="AS639" t="s">
        <v>4771</v>
      </c>
      <c r="AT639" t="s">
        <v>12543</v>
      </c>
      <c r="AU639">
        <v>2022</v>
      </c>
      <c r="AV639">
        <v>18</v>
      </c>
      <c r="AW639">
        <v>4</v>
      </c>
      <c r="AX639" t="s">
        <v>74</v>
      </c>
      <c r="AY639" t="s">
        <v>74</v>
      </c>
      <c r="AZ639" t="s">
        <v>74</v>
      </c>
      <c r="BA639" t="s">
        <v>74</v>
      </c>
      <c r="BB639">
        <v>1109</v>
      </c>
      <c r="BC639">
        <v>1130</v>
      </c>
      <c r="BD639" t="s">
        <v>74</v>
      </c>
      <c r="BE639" t="s">
        <v>12634</v>
      </c>
      <c r="BF639" t="str">
        <f>HYPERLINK("http://dx.doi.org/10.5194/os-18-1109-2022","http://dx.doi.org/10.5194/os-18-1109-2022")</f>
        <v>http://dx.doi.org/10.5194/os-18-1109-2022</v>
      </c>
      <c r="BG639" t="s">
        <v>74</v>
      </c>
      <c r="BH639" t="s">
        <v>74</v>
      </c>
      <c r="BI639">
        <v>22</v>
      </c>
      <c r="BJ639" t="s">
        <v>1033</v>
      </c>
      <c r="BK639" t="s">
        <v>100</v>
      </c>
      <c r="BL639" t="s">
        <v>1033</v>
      </c>
      <c r="BM639" t="s">
        <v>12635</v>
      </c>
      <c r="BN639" t="s">
        <v>74</v>
      </c>
      <c r="BO639" t="s">
        <v>1195</v>
      </c>
      <c r="BP639" t="s">
        <v>74</v>
      </c>
      <c r="BQ639" t="s">
        <v>74</v>
      </c>
      <c r="BR639" t="s">
        <v>103</v>
      </c>
      <c r="BS639" t="s">
        <v>12636</v>
      </c>
      <c r="BT639" t="str">
        <f>HYPERLINK("https%3A%2F%2Fwww.webofscience.com%2Fwos%2Fwoscc%2Ffull-record%2FWOS:000831294000001","View Full Record in Web of Science")</f>
        <v>View Full Record in Web of Science</v>
      </c>
    </row>
    <row r="640" spans="1:72" x14ac:dyDescent="0.15">
      <c r="A640" t="s">
        <v>72</v>
      </c>
      <c r="B640" t="s">
        <v>12637</v>
      </c>
      <c r="C640" t="s">
        <v>74</v>
      </c>
      <c r="D640" t="s">
        <v>74</v>
      </c>
      <c r="E640" t="s">
        <v>74</v>
      </c>
      <c r="F640" t="s">
        <v>12638</v>
      </c>
      <c r="G640" t="s">
        <v>74</v>
      </c>
      <c r="H640" t="s">
        <v>74</v>
      </c>
      <c r="I640" t="s">
        <v>12639</v>
      </c>
      <c r="J640" t="s">
        <v>12640</v>
      </c>
      <c r="K640" t="s">
        <v>74</v>
      </c>
      <c r="L640" t="s">
        <v>74</v>
      </c>
      <c r="M640" t="s">
        <v>78</v>
      </c>
      <c r="N640" t="s">
        <v>79</v>
      </c>
      <c r="O640" t="s">
        <v>74</v>
      </c>
      <c r="P640" t="s">
        <v>74</v>
      </c>
      <c r="Q640" t="s">
        <v>74</v>
      </c>
      <c r="R640" t="s">
        <v>74</v>
      </c>
      <c r="S640" t="s">
        <v>74</v>
      </c>
      <c r="T640" t="s">
        <v>12641</v>
      </c>
      <c r="U640" t="s">
        <v>12642</v>
      </c>
      <c r="V640" t="s">
        <v>12643</v>
      </c>
      <c r="W640" t="s">
        <v>12644</v>
      </c>
      <c r="X640" t="s">
        <v>12645</v>
      </c>
      <c r="Y640" t="s">
        <v>12646</v>
      </c>
      <c r="Z640" t="s">
        <v>12647</v>
      </c>
      <c r="AA640" t="s">
        <v>74</v>
      </c>
      <c r="AB640" t="s">
        <v>74</v>
      </c>
      <c r="AC640" t="s">
        <v>12648</v>
      </c>
      <c r="AD640" t="s">
        <v>12649</v>
      </c>
      <c r="AE640" t="s">
        <v>12650</v>
      </c>
      <c r="AF640" t="s">
        <v>74</v>
      </c>
      <c r="AG640">
        <v>151</v>
      </c>
      <c r="AH640">
        <v>2</v>
      </c>
      <c r="AI640">
        <v>2</v>
      </c>
      <c r="AJ640">
        <v>7</v>
      </c>
      <c r="AK640">
        <v>35</v>
      </c>
      <c r="AL640" t="s">
        <v>231</v>
      </c>
      <c r="AM640" t="s">
        <v>232</v>
      </c>
      <c r="AN640" t="s">
        <v>233</v>
      </c>
      <c r="AO640" t="s">
        <v>12651</v>
      </c>
      <c r="AP640" t="s">
        <v>12652</v>
      </c>
      <c r="AQ640" t="s">
        <v>74</v>
      </c>
      <c r="AR640" t="s">
        <v>12653</v>
      </c>
      <c r="AS640" t="s">
        <v>12654</v>
      </c>
      <c r="AT640" t="s">
        <v>325</v>
      </c>
      <c r="AU640">
        <v>2022</v>
      </c>
      <c r="AV640">
        <v>97</v>
      </c>
      <c r="AW640">
        <v>6</v>
      </c>
      <c r="AX640" t="s">
        <v>74</v>
      </c>
      <c r="AY640" t="s">
        <v>74</v>
      </c>
      <c r="AZ640" t="s">
        <v>74</v>
      </c>
      <c r="BA640" t="s">
        <v>74</v>
      </c>
      <c r="BB640">
        <v>2090</v>
      </c>
      <c r="BC640">
        <v>2105</v>
      </c>
      <c r="BD640" t="s">
        <v>74</v>
      </c>
      <c r="BE640" t="s">
        <v>12655</v>
      </c>
      <c r="BF640" t="str">
        <f>HYPERLINK("http://dx.doi.org/10.1111/brv.12884","http://dx.doi.org/10.1111/brv.12884")</f>
        <v>http://dx.doi.org/10.1111/brv.12884</v>
      </c>
      <c r="BG640" t="s">
        <v>74</v>
      </c>
      <c r="BH640" t="s">
        <v>12326</v>
      </c>
      <c r="BI640">
        <v>16</v>
      </c>
      <c r="BJ640" t="s">
        <v>760</v>
      </c>
      <c r="BK640" t="s">
        <v>100</v>
      </c>
      <c r="BL640" t="s">
        <v>761</v>
      </c>
      <c r="BM640" t="s">
        <v>12656</v>
      </c>
      <c r="BN640">
        <v>35899476</v>
      </c>
      <c r="BO640" t="s">
        <v>1341</v>
      </c>
      <c r="BP640" t="s">
        <v>74</v>
      </c>
      <c r="BQ640" t="s">
        <v>74</v>
      </c>
      <c r="BR640" t="s">
        <v>103</v>
      </c>
      <c r="BS640" t="s">
        <v>12657</v>
      </c>
      <c r="BT640" t="str">
        <f>HYPERLINK("https%3A%2F%2Fwww.webofscience.com%2Fwos%2Fwoscc%2Ffull-record%2FWOS:000831046500001","View Full Record in Web of Science")</f>
        <v>View Full Record in Web of Science</v>
      </c>
    </row>
    <row r="641" spans="1:72" x14ac:dyDescent="0.15">
      <c r="A641" t="s">
        <v>72</v>
      </c>
      <c r="B641" t="s">
        <v>12658</v>
      </c>
      <c r="C641" t="s">
        <v>74</v>
      </c>
      <c r="D641" t="s">
        <v>74</v>
      </c>
      <c r="E641" t="s">
        <v>74</v>
      </c>
      <c r="F641" t="s">
        <v>12659</v>
      </c>
      <c r="G641" t="s">
        <v>74</v>
      </c>
      <c r="H641" t="s">
        <v>74</v>
      </c>
      <c r="I641" t="s">
        <v>12660</v>
      </c>
      <c r="J641" t="s">
        <v>2473</v>
      </c>
      <c r="K641" t="s">
        <v>74</v>
      </c>
      <c r="L641" t="s">
        <v>74</v>
      </c>
      <c r="M641" t="s">
        <v>78</v>
      </c>
      <c r="N641" t="s">
        <v>79</v>
      </c>
      <c r="O641" t="s">
        <v>74</v>
      </c>
      <c r="P641" t="s">
        <v>74</v>
      </c>
      <c r="Q641" t="s">
        <v>74</v>
      </c>
      <c r="R641" t="s">
        <v>74</v>
      </c>
      <c r="S641" t="s">
        <v>74</v>
      </c>
      <c r="T641" t="s">
        <v>74</v>
      </c>
      <c r="U641" t="s">
        <v>12661</v>
      </c>
      <c r="V641" t="s">
        <v>12662</v>
      </c>
      <c r="W641" t="s">
        <v>12663</v>
      </c>
      <c r="X641" t="s">
        <v>12664</v>
      </c>
      <c r="Y641" t="s">
        <v>12665</v>
      </c>
      <c r="Z641" t="s">
        <v>12666</v>
      </c>
      <c r="AA641" t="s">
        <v>12667</v>
      </c>
      <c r="AB641" t="s">
        <v>12668</v>
      </c>
      <c r="AC641" t="s">
        <v>12669</v>
      </c>
      <c r="AD641" t="s">
        <v>12670</v>
      </c>
      <c r="AE641" t="s">
        <v>12671</v>
      </c>
      <c r="AF641" t="s">
        <v>74</v>
      </c>
      <c r="AG641">
        <v>40</v>
      </c>
      <c r="AH641">
        <v>5</v>
      </c>
      <c r="AI641">
        <v>6</v>
      </c>
      <c r="AJ641">
        <v>1</v>
      </c>
      <c r="AK641">
        <v>3</v>
      </c>
      <c r="AL641" t="s">
        <v>2460</v>
      </c>
      <c r="AM641" t="s">
        <v>2461</v>
      </c>
      <c r="AN641" t="s">
        <v>2462</v>
      </c>
      <c r="AO641" t="s">
        <v>2485</v>
      </c>
      <c r="AP641" t="s">
        <v>2486</v>
      </c>
      <c r="AQ641" t="s">
        <v>74</v>
      </c>
      <c r="AR641" t="s">
        <v>2473</v>
      </c>
      <c r="AS641" t="s">
        <v>2487</v>
      </c>
      <c r="AT641" t="s">
        <v>12543</v>
      </c>
      <c r="AU641">
        <v>2022</v>
      </c>
      <c r="AV641">
        <v>16</v>
      </c>
      <c r="AW641">
        <v>7</v>
      </c>
      <c r="AX641" t="s">
        <v>74</v>
      </c>
      <c r="AY641" t="s">
        <v>74</v>
      </c>
      <c r="AZ641" t="s">
        <v>74</v>
      </c>
      <c r="BA641" t="s">
        <v>74</v>
      </c>
      <c r="BB641">
        <v>3005</v>
      </c>
      <c r="BC641">
        <v>3019</v>
      </c>
      <c r="BD641" t="s">
        <v>74</v>
      </c>
      <c r="BE641" t="s">
        <v>12672</v>
      </c>
      <c r="BF641" t="str">
        <f>HYPERLINK("http://dx.doi.org/10.5194/tc-16-3005-2022","http://dx.doi.org/10.5194/tc-16-3005-2022")</f>
        <v>http://dx.doi.org/10.5194/tc-16-3005-2022</v>
      </c>
      <c r="BG641" t="s">
        <v>74</v>
      </c>
      <c r="BH641" t="s">
        <v>74</v>
      </c>
      <c r="BI641">
        <v>15</v>
      </c>
      <c r="BJ641" t="s">
        <v>354</v>
      </c>
      <c r="BK641" t="s">
        <v>100</v>
      </c>
      <c r="BL641" t="s">
        <v>241</v>
      </c>
      <c r="BM641" t="s">
        <v>12673</v>
      </c>
      <c r="BN641" t="s">
        <v>74</v>
      </c>
      <c r="BO641" t="s">
        <v>10165</v>
      </c>
      <c r="BP641" t="s">
        <v>74</v>
      </c>
      <c r="BQ641" t="s">
        <v>74</v>
      </c>
      <c r="BR641" t="s">
        <v>103</v>
      </c>
      <c r="BS641" t="s">
        <v>12674</v>
      </c>
      <c r="BT641" t="str">
        <f>HYPERLINK("https%3A%2F%2Fwww.webofscience.com%2Fwos%2Fwoscc%2Ffull-record%2FWOS:000831068000001","View Full Record in Web of Science")</f>
        <v>View Full Record in Web of Science</v>
      </c>
    </row>
    <row r="642" spans="1:72" x14ac:dyDescent="0.15">
      <c r="A642" t="s">
        <v>72</v>
      </c>
      <c r="B642" t="s">
        <v>12675</v>
      </c>
      <c r="C642" t="s">
        <v>74</v>
      </c>
      <c r="D642" t="s">
        <v>74</v>
      </c>
      <c r="E642" t="s">
        <v>74</v>
      </c>
      <c r="F642" t="s">
        <v>12676</v>
      </c>
      <c r="G642" t="s">
        <v>74</v>
      </c>
      <c r="H642" t="s">
        <v>74</v>
      </c>
      <c r="I642" t="s">
        <v>12677</v>
      </c>
      <c r="J642" t="s">
        <v>2551</v>
      </c>
      <c r="K642" t="s">
        <v>74</v>
      </c>
      <c r="L642" t="s">
        <v>74</v>
      </c>
      <c r="M642" t="s">
        <v>78</v>
      </c>
      <c r="N642" t="s">
        <v>79</v>
      </c>
      <c r="O642" t="s">
        <v>74</v>
      </c>
      <c r="P642" t="s">
        <v>74</v>
      </c>
      <c r="Q642" t="s">
        <v>74</v>
      </c>
      <c r="R642" t="s">
        <v>74</v>
      </c>
      <c r="S642" t="s">
        <v>74</v>
      </c>
      <c r="T642" t="s">
        <v>12678</v>
      </c>
      <c r="U642" t="s">
        <v>12679</v>
      </c>
      <c r="V642" t="s">
        <v>12680</v>
      </c>
      <c r="W642" t="s">
        <v>12681</v>
      </c>
      <c r="X642" t="s">
        <v>12682</v>
      </c>
      <c r="Y642" t="s">
        <v>12683</v>
      </c>
      <c r="Z642" t="s">
        <v>12684</v>
      </c>
      <c r="AA642" t="s">
        <v>74</v>
      </c>
      <c r="AB642" t="s">
        <v>12685</v>
      </c>
      <c r="AC642" t="s">
        <v>12686</v>
      </c>
      <c r="AD642" t="s">
        <v>12687</v>
      </c>
      <c r="AE642" t="s">
        <v>12688</v>
      </c>
      <c r="AF642" t="s">
        <v>74</v>
      </c>
      <c r="AG642">
        <v>39</v>
      </c>
      <c r="AH642">
        <v>4</v>
      </c>
      <c r="AI642">
        <v>4</v>
      </c>
      <c r="AJ642">
        <v>1</v>
      </c>
      <c r="AK642">
        <v>2</v>
      </c>
      <c r="AL642" t="s">
        <v>946</v>
      </c>
      <c r="AM642" t="s">
        <v>207</v>
      </c>
      <c r="AN642" t="s">
        <v>947</v>
      </c>
      <c r="AO642" t="s">
        <v>2563</v>
      </c>
      <c r="AP642" t="s">
        <v>2564</v>
      </c>
      <c r="AQ642" t="s">
        <v>74</v>
      </c>
      <c r="AR642" t="s">
        <v>2565</v>
      </c>
      <c r="AS642" t="s">
        <v>2566</v>
      </c>
      <c r="AT642" t="s">
        <v>12543</v>
      </c>
      <c r="AU642">
        <v>2022</v>
      </c>
      <c r="AV642">
        <v>49</v>
      </c>
      <c r="AW642">
        <v>14</v>
      </c>
      <c r="AX642" t="s">
        <v>74</v>
      </c>
      <c r="AY642" t="s">
        <v>74</v>
      </c>
      <c r="AZ642" t="s">
        <v>74</v>
      </c>
      <c r="BA642" t="s">
        <v>74</v>
      </c>
      <c r="BB642" t="s">
        <v>74</v>
      </c>
      <c r="BC642" t="s">
        <v>74</v>
      </c>
      <c r="BD642" t="s">
        <v>12689</v>
      </c>
      <c r="BE642" t="s">
        <v>12690</v>
      </c>
      <c r="BF642" t="str">
        <f>HYPERLINK("http://dx.doi.org/10.1029/2021GL096564","http://dx.doi.org/10.1029/2021GL096564")</f>
        <v>http://dx.doi.org/10.1029/2021GL096564</v>
      </c>
      <c r="BG642" t="s">
        <v>74</v>
      </c>
      <c r="BH642" t="s">
        <v>74</v>
      </c>
      <c r="BI642">
        <v>11</v>
      </c>
      <c r="BJ642" t="s">
        <v>129</v>
      </c>
      <c r="BK642" t="s">
        <v>100</v>
      </c>
      <c r="BL642" t="s">
        <v>130</v>
      </c>
      <c r="BM642" t="s">
        <v>12691</v>
      </c>
      <c r="BN642">
        <v>36249285</v>
      </c>
      <c r="BO642" t="s">
        <v>9603</v>
      </c>
      <c r="BP642" t="s">
        <v>74</v>
      </c>
      <c r="BQ642" t="s">
        <v>74</v>
      </c>
      <c r="BR642" t="s">
        <v>103</v>
      </c>
      <c r="BS642" t="s">
        <v>12692</v>
      </c>
      <c r="BT642" t="str">
        <f>HYPERLINK("https%3A%2F%2Fwww.webofscience.com%2Fwos%2Fwoscc%2Ffull-record%2FWOS:000827446100001","View Full Record in Web of Science")</f>
        <v>View Full Record in Web of Science</v>
      </c>
    </row>
    <row r="643" spans="1:72" x14ac:dyDescent="0.15">
      <c r="A643" t="s">
        <v>72</v>
      </c>
      <c r="B643" t="s">
        <v>12693</v>
      </c>
      <c r="C643" t="s">
        <v>74</v>
      </c>
      <c r="D643" t="s">
        <v>74</v>
      </c>
      <c r="E643" t="s">
        <v>74</v>
      </c>
      <c r="F643" t="s">
        <v>12694</v>
      </c>
      <c r="G643" t="s">
        <v>74</v>
      </c>
      <c r="H643" t="s">
        <v>74</v>
      </c>
      <c r="I643" t="s">
        <v>12695</v>
      </c>
      <c r="J643" t="s">
        <v>3489</v>
      </c>
      <c r="K643" t="s">
        <v>74</v>
      </c>
      <c r="L643" t="s">
        <v>74</v>
      </c>
      <c r="M643" t="s">
        <v>78</v>
      </c>
      <c r="N643" t="s">
        <v>79</v>
      </c>
      <c r="O643" t="s">
        <v>74</v>
      </c>
      <c r="P643" t="s">
        <v>74</v>
      </c>
      <c r="Q643" t="s">
        <v>74</v>
      </c>
      <c r="R643" t="s">
        <v>74</v>
      </c>
      <c r="S643" t="s">
        <v>74</v>
      </c>
      <c r="T643" t="s">
        <v>12696</v>
      </c>
      <c r="U643" t="s">
        <v>12697</v>
      </c>
      <c r="V643" t="s">
        <v>12698</v>
      </c>
      <c r="W643" t="s">
        <v>12699</v>
      </c>
      <c r="X643" t="s">
        <v>12700</v>
      </c>
      <c r="Y643" t="s">
        <v>12701</v>
      </c>
      <c r="Z643" t="s">
        <v>12702</v>
      </c>
      <c r="AA643" t="s">
        <v>74</v>
      </c>
      <c r="AB643" t="s">
        <v>12703</v>
      </c>
      <c r="AC643" t="s">
        <v>12704</v>
      </c>
      <c r="AD643" t="s">
        <v>12705</v>
      </c>
      <c r="AE643" t="s">
        <v>12706</v>
      </c>
      <c r="AF643" t="s">
        <v>74</v>
      </c>
      <c r="AG643">
        <v>48</v>
      </c>
      <c r="AH643">
        <v>6</v>
      </c>
      <c r="AI643">
        <v>7</v>
      </c>
      <c r="AJ643">
        <v>1</v>
      </c>
      <c r="AK643">
        <v>6</v>
      </c>
      <c r="AL643" t="s">
        <v>3499</v>
      </c>
      <c r="AM643" t="s">
        <v>2774</v>
      </c>
      <c r="AN643" t="s">
        <v>3500</v>
      </c>
      <c r="AO643" t="s">
        <v>3501</v>
      </c>
      <c r="AP643" t="s">
        <v>74</v>
      </c>
      <c r="AQ643" t="s">
        <v>74</v>
      </c>
      <c r="AR643" t="s">
        <v>3502</v>
      </c>
      <c r="AS643" t="s">
        <v>3503</v>
      </c>
      <c r="AT643" t="s">
        <v>12707</v>
      </c>
      <c r="AU643">
        <v>2022</v>
      </c>
      <c r="AV643">
        <v>9</v>
      </c>
      <c r="AW643">
        <v>7</v>
      </c>
      <c r="AX643" t="s">
        <v>74</v>
      </c>
      <c r="AY643" t="s">
        <v>74</v>
      </c>
      <c r="AZ643" t="s">
        <v>74</v>
      </c>
      <c r="BA643" t="s">
        <v>74</v>
      </c>
      <c r="BB643" t="s">
        <v>74</v>
      </c>
      <c r="BC643" t="s">
        <v>74</v>
      </c>
      <c r="BD643">
        <v>211674</v>
      </c>
      <c r="BE643" t="s">
        <v>12708</v>
      </c>
      <c r="BF643" t="str">
        <f>HYPERLINK("http://dx.doi.org/10.1098/rsos.211674","http://dx.doi.org/10.1098/rsos.211674")</f>
        <v>http://dx.doi.org/10.1098/rsos.211674</v>
      </c>
      <c r="BG643" t="s">
        <v>74</v>
      </c>
      <c r="BH643" t="s">
        <v>74</v>
      </c>
      <c r="BI643">
        <v>12</v>
      </c>
      <c r="BJ643" t="s">
        <v>156</v>
      </c>
      <c r="BK643" t="s">
        <v>100</v>
      </c>
      <c r="BL643" t="s">
        <v>157</v>
      </c>
      <c r="BM643" t="s">
        <v>12709</v>
      </c>
      <c r="BN643">
        <v>35814912</v>
      </c>
      <c r="BO643" t="s">
        <v>132</v>
      </c>
      <c r="BP643" t="s">
        <v>74</v>
      </c>
      <c r="BQ643" t="s">
        <v>74</v>
      </c>
      <c r="BR643" t="s">
        <v>103</v>
      </c>
      <c r="BS643" t="s">
        <v>12710</v>
      </c>
      <c r="BT643" t="str">
        <f>HYPERLINK("https%3A%2F%2Fwww.webofscience.com%2Fwos%2Fwoscc%2Ffull-record%2FWOS:000933500700001","View Full Record in Web of Science")</f>
        <v>View Full Record in Web of Science</v>
      </c>
    </row>
    <row r="644" spans="1:72" x14ac:dyDescent="0.15">
      <c r="A644" t="s">
        <v>72</v>
      </c>
      <c r="B644" t="s">
        <v>12711</v>
      </c>
      <c r="C644" t="s">
        <v>74</v>
      </c>
      <c r="D644" t="s">
        <v>74</v>
      </c>
      <c r="E644" t="s">
        <v>74</v>
      </c>
      <c r="F644" t="s">
        <v>12712</v>
      </c>
      <c r="G644" t="s">
        <v>74</v>
      </c>
      <c r="H644" t="s">
        <v>74</v>
      </c>
      <c r="I644" t="s">
        <v>12713</v>
      </c>
      <c r="J644" t="s">
        <v>3489</v>
      </c>
      <c r="K644" t="s">
        <v>74</v>
      </c>
      <c r="L644" t="s">
        <v>74</v>
      </c>
      <c r="M644" t="s">
        <v>78</v>
      </c>
      <c r="N644" t="s">
        <v>79</v>
      </c>
      <c r="O644" t="s">
        <v>74</v>
      </c>
      <c r="P644" t="s">
        <v>74</v>
      </c>
      <c r="Q644" t="s">
        <v>74</v>
      </c>
      <c r="R644" t="s">
        <v>74</v>
      </c>
      <c r="S644" t="s">
        <v>74</v>
      </c>
      <c r="T644" t="s">
        <v>12714</v>
      </c>
      <c r="U644" t="s">
        <v>12715</v>
      </c>
      <c r="V644" t="s">
        <v>12716</v>
      </c>
      <c r="W644" t="s">
        <v>12717</v>
      </c>
      <c r="X644" t="s">
        <v>12718</v>
      </c>
      <c r="Y644" t="s">
        <v>12719</v>
      </c>
      <c r="Z644" t="s">
        <v>12720</v>
      </c>
      <c r="AA644" t="s">
        <v>12721</v>
      </c>
      <c r="AB644" t="s">
        <v>12722</v>
      </c>
      <c r="AC644" t="s">
        <v>12723</v>
      </c>
      <c r="AD644" t="s">
        <v>12724</v>
      </c>
      <c r="AE644" t="s">
        <v>12725</v>
      </c>
      <c r="AF644" t="s">
        <v>74</v>
      </c>
      <c r="AG644">
        <v>48</v>
      </c>
      <c r="AH644">
        <v>2</v>
      </c>
      <c r="AI644">
        <v>2</v>
      </c>
      <c r="AJ644">
        <v>6</v>
      </c>
      <c r="AK644">
        <v>15</v>
      </c>
      <c r="AL644" t="s">
        <v>3499</v>
      </c>
      <c r="AM644" t="s">
        <v>2774</v>
      </c>
      <c r="AN644" t="s">
        <v>3500</v>
      </c>
      <c r="AO644" t="s">
        <v>3501</v>
      </c>
      <c r="AP644" t="s">
        <v>74</v>
      </c>
      <c r="AQ644" t="s">
        <v>74</v>
      </c>
      <c r="AR644" t="s">
        <v>3502</v>
      </c>
      <c r="AS644" t="s">
        <v>3503</v>
      </c>
      <c r="AT644" t="s">
        <v>12707</v>
      </c>
      <c r="AU644">
        <v>2022</v>
      </c>
      <c r="AV644">
        <v>9</v>
      </c>
      <c r="AW644">
        <v>7</v>
      </c>
      <c r="AX644" t="s">
        <v>74</v>
      </c>
      <c r="AY644" t="s">
        <v>74</v>
      </c>
      <c r="AZ644" t="s">
        <v>74</v>
      </c>
      <c r="BA644" t="s">
        <v>74</v>
      </c>
      <c r="BB644" t="s">
        <v>74</v>
      </c>
      <c r="BC644" t="s">
        <v>74</v>
      </c>
      <c r="BD644">
        <v>211557</v>
      </c>
      <c r="BE644" t="s">
        <v>12726</v>
      </c>
      <c r="BF644" t="str">
        <f>HYPERLINK("http://dx.doi.org/10.1098/rsos.211557","http://dx.doi.org/10.1098/rsos.211557")</f>
        <v>http://dx.doi.org/10.1098/rsos.211557</v>
      </c>
      <c r="BG644" t="s">
        <v>74</v>
      </c>
      <c r="BH644" t="s">
        <v>74</v>
      </c>
      <c r="BI644">
        <v>12</v>
      </c>
      <c r="BJ644" t="s">
        <v>156</v>
      </c>
      <c r="BK644" t="s">
        <v>100</v>
      </c>
      <c r="BL644" t="s">
        <v>157</v>
      </c>
      <c r="BM644" t="s">
        <v>12727</v>
      </c>
      <c r="BN644">
        <v>35911199</v>
      </c>
      <c r="BO644" t="s">
        <v>132</v>
      </c>
      <c r="BP644" t="s">
        <v>74</v>
      </c>
      <c r="BQ644" t="s">
        <v>74</v>
      </c>
      <c r="BR644" t="s">
        <v>103</v>
      </c>
      <c r="BS644" t="s">
        <v>12728</v>
      </c>
      <c r="BT644" t="str">
        <f>HYPERLINK("https%3A%2F%2Fwww.webofscience.com%2Fwos%2Fwoscc%2Ffull-record%2FWOS:000885769400018","View Full Record in Web of Science")</f>
        <v>View Full Record in Web of Science</v>
      </c>
    </row>
    <row r="645" spans="1:72" x14ac:dyDescent="0.15">
      <c r="A645" t="s">
        <v>72</v>
      </c>
      <c r="B645" t="s">
        <v>12729</v>
      </c>
      <c r="C645" t="s">
        <v>74</v>
      </c>
      <c r="D645" t="s">
        <v>74</v>
      </c>
      <c r="E645" t="s">
        <v>74</v>
      </c>
      <c r="F645" t="s">
        <v>12730</v>
      </c>
      <c r="G645" t="s">
        <v>74</v>
      </c>
      <c r="H645" t="s">
        <v>74</v>
      </c>
      <c r="I645" t="s">
        <v>12731</v>
      </c>
      <c r="J645" t="s">
        <v>3724</v>
      </c>
      <c r="K645" t="s">
        <v>74</v>
      </c>
      <c r="L645" t="s">
        <v>74</v>
      </c>
      <c r="M645" t="s">
        <v>78</v>
      </c>
      <c r="N645" t="s">
        <v>79</v>
      </c>
      <c r="O645" t="s">
        <v>74</v>
      </c>
      <c r="P645" t="s">
        <v>74</v>
      </c>
      <c r="Q645" t="s">
        <v>74</v>
      </c>
      <c r="R645" t="s">
        <v>74</v>
      </c>
      <c r="S645" t="s">
        <v>74</v>
      </c>
      <c r="T645" t="s">
        <v>12732</v>
      </c>
      <c r="U645" t="s">
        <v>12733</v>
      </c>
      <c r="V645" t="s">
        <v>12734</v>
      </c>
      <c r="W645" t="s">
        <v>12735</v>
      </c>
      <c r="X645" t="s">
        <v>12736</v>
      </c>
      <c r="Y645" t="s">
        <v>12737</v>
      </c>
      <c r="Z645" t="s">
        <v>12738</v>
      </c>
      <c r="AA645" t="s">
        <v>74</v>
      </c>
      <c r="AB645" t="s">
        <v>12739</v>
      </c>
      <c r="AC645" t="s">
        <v>12740</v>
      </c>
      <c r="AD645" t="s">
        <v>12741</v>
      </c>
      <c r="AE645" t="s">
        <v>12742</v>
      </c>
      <c r="AF645" t="s">
        <v>74</v>
      </c>
      <c r="AG645">
        <v>52</v>
      </c>
      <c r="AH645">
        <v>0</v>
      </c>
      <c r="AI645">
        <v>0</v>
      </c>
      <c r="AJ645">
        <v>2</v>
      </c>
      <c r="AK645">
        <v>6</v>
      </c>
      <c r="AL645" t="s">
        <v>501</v>
      </c>
      <c r="AM645" t="s">
        <v>502</v>
      </c>
      <c r="AN645" t="s">
        <v>503</v>
      </c>
      <c r="AO645" t="s">
        <v>3737</v>
      </c>
      <c r="AP645" t="s">
        <v>3738</v>
      </c>
      <c r="AQ645" t="s">
        <v>74</v>
      </c>
      <c r="AR645" t="s">
        <v>3739</v>
      </c>
      <c r="AS645" t="s">
        <v>3740</v>
      </c>
      <c r="AT645" t="s">
        <v>4180</v>
      </c>
      <c r="AU645">
        <v>2022</v>
      </c>
      <c r="AV645">
        <v>594</v>
      </c>
      <c r="AW645" t="s">
        <v>74</v>
      </c>
      <c r="AX645" t="s">
        <v>74</v>
      </c>
      <c r="AY645" t="s">
        <v>74</v>
      </c>
      <c r="AZ645" t="s">
        <v>74</v>
      </c>
      <c r="BA645" t="s">
        <v>74</v>
      </c>
      <c r="BB645" t="s">
        <v>74</v>
      </c>
      <c r="BC645" t="s">
        <v>74</v>
      </c>
      <c r="BD645">
        <v>117737</v>
      </c>
      <c r="BE645" t="s">
        <v>12743</v>
      </c>
      <c r="BF645" t="str">
        <f>HYPERLINK("http://dx.doi.org/10.1016/j.epsl.2022.117737","http://dx.doi.org/10.1016/j.epsl.2022.117737")</f>
        <v>http://dx.doi.org/10.1016/j.epsl.2022.117737</v>
      </c>
      <c r="BG645" t="s">
        <v>74</v>
      </c>
      <c r="BH645" t="s">
        <v>12326</v>
      </c>
      <c r="BI645">
        <v>11</v>
      </c>
      <c r="BJ645" t="s">
        <v>1379</v>
      </c>
      <c r="BK645" t="s">
        <v>100</v>
      </c>
      <c r="BL645" t="s">
        <v>1379</v>
      </c>
      <c r="BM645" t="s">
        <v>12744</v>
      </c>
      <c r="BN645" t="s">
        <v>74</v>
      </c>
      <c r="BO645" t="s">
        <v>3859</v>
      </c>
      <c r="BP645" t="s">
        <v>74</v>
      </c>
      <c r="BQ645" t="s">
        <v>74</v>
      </c>
      <c r="BR645" t="s">
        <v>103</v>
      </c>
      <c r="BS645" t="s">
        <v>12745</v>
      </c>
      <c r="BT645" t="str">
        <f>HYPERLINK("https%3A%2F%2Fwww.webofscience.com%2Fwos%2Fwoscc%2Ffull-record%2FWOS:000888318100006","View Full Record in Web of Science")</f>
        <v>View Full Record in Web of Science</v>
      </c>
    </row>
    <row r="646" spans="1:72" x14ac:dyDescent="0.15">
      <c r="A646" t="s">
        <v>72</v>
      </c>
      <c r="B646" t="s">
        <v>12746</v>
      </c>
      <c r="C646" t="s">
        <v>74</v>
      </c>
      <c r="D646" t="s">
        <v>74</v>
      </c>
      <c r="E646" t="s">
        <v>74</v>
      </c>
      <c r="F646" t="s">
        <v>12747</v>
      </c>
      <c r="G646" t="s">
        <v>74</v>
      </c>
      <c r="H646" t="s">
        <v>74</v>
      </c>
      <c r="I646" t="s">
        <v>12748</v>
      </c>
      <c r="J646" t="s">
        <v>3171</v>
      </c>
      <c r="K646" t="s">
        <v>74</v>
      </c>
      <c r="L646" t="s">
        <v>74</v>
      </c>
      <c r="M646" t="s">
        <v>78</v>
      </c>
      <c r="N646" t="s">
        <v>79</v>
      </c>
      <c r="O646" t="s">
        <v>74</v>
      </c>
      <c r="P646" t="s">
        <v>74</v>
      </c>
      <c r="Q646" t="s">
        <v>74</v>
      </c>
      <c r="R646" t="s">
        <v>74</v>
      </c>
      <c r="S646" t="s">
        <v>74</v>
      </c>
      <c r="T646" t="s">
        <v>12749</v>
      </c>
      <c r="U646" t="s">
        <v>12750</v>
      </c>
      <c r="V646" t="s">
        <v>12751</v>
      </c>
      <c r="W646" t="s">
        <v>12752</v>
      </c>
      <c r="X646" t="s">
        <v>12753</v>
      </c>
      <c r="Y646" t="s">
        <v>12754</v>
      </c>
      <c r="Z646" t="s">
        <v>12755</v>
      </c>
      <c r="AA646" t="s">
        <v>12756</v>
      </c>
      <c r="AB646" t="s">
        <v>12757</v>
      </c>
      <c r="AC646" t="s">
        <v>74</v>
      </c>
      <c r="AD646" t="s">
        <v>74</v>
      </c>
      <c r="AE646" t="s">
        <v>74</v>
      </c>
      <c r="AF646" t="s">
        <v>74</v>
      </c>
      <c r="AG646">
        <v>99</v>
      </c>
      <c r="AH646">
        <v>0</v>
      </c>
      <c r="AI646">
        <v>0</v>
      </c>
      <c r="AJ646">
        <v>3</v>
      </c>
      <c r="AK646">
        <v>28</v>
      </c>
      <c r="AL646" t="s">
        <v>121</v>
      </c>
      <c r="AM646" t="s">
        <v>122</v>
      </c>
      <c r="AN646" t="s">
        <v>123</v>
      </c>
      <c r="AO646" t="s">
        <v>74</v>
      </c>
      <c r="AP646" t="s">
        <v>3183</v>
      </c>
      <c r="AQ646" t="s">
        <v>74</v>
      </c>
      <c r="AR646" t="s">
        <v>3184</v>
      </c>
      <c r="AS646" t="s">
        <v>3185</v>
      </c>
      <c r="AT646" t="s">
        <v>12707</v>
      </c>
      <c r="AU646">
        <v>2022</v>
      </c>
      <c r="AV646">
        <v>13</v>
      </c>
      <c r="AW646" t="s">
        <v>74</v>
      </c>
      <c r="AX646" t="s">
        <v>74</v>
      </c>
      <c r="AY646" t="s">
        <v>74</v>
      </c>
      <c r="AZ646" t="s">
        <v>74</v>
      </c>
      <c r="BA646" t="s">
        <v>74</v>
      </c>
      <c r="BB646" t="s">
        <v>74</v>
      </c>
      <c r="BC646" t="s">
        <v>74</v>
      </c>
      <c r="BD646">
        <v>941323</v>
      </c>
      <c r="BE646" t="s">
        <v>12758</v>
      </c>
      <c r="BF646" t="str">
        <f>HYPERLINK("http://dx.doi.org/10.3389/fmicb.2022.941323","http://dx.doi.org/10.3389/fmicb.2022.941323")</f>
        <v>http://dx.doi.org/10.3389/fmicb.2022.941323</v>
      </c>
      <c r="BG646" t="s">
        <v>74</v>
      </c>
      <c r="BH646" t="s">
        <v>74</v>
      </c>
      <c r="BI646">
        <v>18</v>
      </c>
      <c r="BJ646" t="s">
        <v>214</v>
      </c>
      <c r="BK646" t="s">
        <v>100</v>
      </c>
      <c r="BL646" t="s">
        <v>214</v>
      </c>
      <c r="BM646" t="s">
        <v>12759</v>
      </c>
      <c r="BN646">
        <v>35966700</v>
      </c>
      <c r="BO646" t="s">
        <v>159</v>
      </c>
      <c r="BP646" t="s">
        <v>74</v>
      </c>
      <c r="BQ646" t="s">
        <v>74</v>
      </c>
      <c r="BR646" t="s">
        <v>103</v>
      </c>
      <c r="BS646" t="s">
        <v>12760</v>
      </c>
      <c r="BT646" t="str">
        <f>HYPERLINK("https%3A%2F%2Fwww.webofscience.com%2Fwos%2Fwoscc%2Ffull-record%2FWOS:000838644900001","View Full Record in Web of Science")</f>
        <v>View Full Record in Web of Science</v>
      </c>
    </row>
    <row r="647" spans="1:72" x14ac:dyDescent="0.15">
      <c r="A647" t="s">
        <v>72</v>
      </c>
      <c r="B647" t="s">
        <v>12761</v>
      </c>
      <c r="C647" t="s">
        <v>74</v>
      </c>
      <c r="D647" t="s">
        <v>74</v>
      </c>
      <c r="E647" t="s">
        <v>74</v>
      </c>
      <c r="F647" t="s">
        <v>12762</v>
      </c>
      <c r="G647" t="s">
        <v>74</v>
      </c>
      <c r="H647" t="s">
        <v>74</v>
      </c>
      <c r="I647" t="s">
        <v>12763</v>
      </c>
      <c r="J647" t="s">
        <v>12764</v>
      </c>
      <c r="K647" t="s">
        <v>74</v>
      </c>
      <c r="L647" t="s">
        <v>74</v>
      </c>
      <c r="M647" t="s">
        <v>78</v>
      </c>
      <c r="N647" t="s">
        <v>79</v>
      </c>
      <c r="O647" t="s">
        <v>74</v>
      </c>
      <c r="P647" t="s">
        <v>74</v>
      </c>
      <c r="Q647" t="s">
        <v>74</v>
      </c>
      <c r="R647" t="s">
        <v>74</v>
      </c>
      <c r="S647" t="s">
        <v>74</v>
      </c>
      <c r="T647" t="s">
        <v>12765</v>
      </c>
      <c r="U647" t="s">
        <v>12766</v>
      </c>
      <c r="V647" t="s">
        <v>12767</v>
      </c>
      <c r="W647" t="s">
        <v>12768</v>
      </c>
      <c r="X647" t="s">
        <v>12769</v>
      </c>
      <c r="Y647" t="s">
        <v>12770</v>
      </c>
      <c r="Z647" t="s">
        <v>12771</v>
      </c>
      <c r="AA647" t="s">
        <v>74</v>
      </c>
      <c r="AB647" t="s">
        <v>12772</v>
      </c>
      <c r="AC647" t="s">
        <v>12773</v>
      </c>
      <c r="AD647" t="s">
        <v>12774</v>
      </c>
      <c r="AE647" t="s">
        <v>12775</v>
      </c>
      <c r="AF647" t="s">
        <v>74</v>
      </c>
      <c r="AG647">
        <v>29</v>
      </c>
      <c r="AH647">
        <v>1</v>
      </c>
      <c r="AI647">
        <v>1</v>
      </c>
      <c r="AJ647">
        <v>0</v>
      </c>
      <c r="AK647">
        <v>2</v>
      </c>
      <c r="AL647" t="s">
        <v>12776</v>
      </c>
      <c r="AM647" t="s">
        <v>12777</v>
      </c>
      <c r="AN647" t="s">
        <v>12778</v>
      </c>
      <c r="AO647" t="s">
        <v>12779</v>
      </c>
      <c r="AP647" t="s">
        <v>12780</v>
      </c>
      <c r="AQ647" t="s">
        <v>74</v>
      </c>
      <c r="AR647" t="s">
        <v>12764</v>
      </c>
      <c r="AS647" t="s">
        <v>12781</v>
      </c>
      <c r="AT647" t="s">
        <v>12707</v>
      </c>
      <c r="AU647">
        <v>2022</v>
      </c>
      <c r="AV647">
        <v>5169</v>
      </c>
      <c r="AW647">
        <v>1</v>
      </c>
      <c r="AX647" t="s">
        <v>74</v>
      </c>
      <c r="AY647" t="s">
        <v>74</v>
      </c>
      <c r="AZ647" t="s">
        <v>74</v>
      </c>
      <c r="BA647" t="s">
        <v>74</v>
      </c>
      <c r="BB647">
        <v>31</v>
      </c>
      <c r="BC647">
        <v>48</v>
      </c>
      <c r="BD647" t="s">
        <v>74</v>
      </c>
      <c r="BE647" t="s">
        <v>12782</v>
      </c>
      <c r="BF647" t="str">
        <f>HYPERLINK("http://dx.doi.org/10.11646/zootaxa.5169.1.3","http://dx.doi.org/10.11646/zootaxa.5169.1.3")</f>
        <v>http://dx.doi.org/10.11646/zootaxa.5169.1.3</v>
      </c>
      <c r="BG647" t="s">
        <v>74</v>
      </c>
      <c r="BH647" t="s">
        <v>74</v>
      </c>
      <c r="BI647">
        <v>18</v>
      </c>
      <c r="BJ647" t="s">
        <v>2211</v>
      </c>
      <c r="BK647" t="s">
        <v>100</v>
      </c>
      <c r="BL647" t="s">
        <v>2211</v>
      </c>
      <c r="BM647" t="s">
        <v>12783</v>
      </c>
      <c r="BN647">
        <v>36101256</v>
      </c>
      <c r="BO647" t="s">
        <v>74</v>
      </c>
      <c r="BP647" t="s">
        <v>74</v>
      </c>
      <c r="BQ647" t="s">
        <v>74</v>
      </c>
      <c r="BR647" t="s">
        <v>103</v>
      </c>
      <c r="BS647" t="s">
        <v>12784</v>
      </c>
      <c r="BT647" t="str">
        <f>HYPERLINK("https%3A%2F%2Fwww.webofscience.com%2Fwos%2Fwoscc%2Ffull-record%2FWOS:000837296700003","View Full Record in Web of Science")</f>
        <v>View Full Record in Web of Science</v>
      </c>
    </row>
    <row r="648" spans="1:72" x14ac:dyDescent="0.15">
      <c r="A648" t="s">
        <v>72</v>
      </c>
      <c r="B648" t="s">
        <v>12785</v>
      </c>
      <c r="C648" t="s">
        <v>74</v>
      </c>
      <c r="D648" t="s">
        <v>74</v>
      </c>
      <c r="E648" t="s">
        <v>74</v>
      </c>
      <c r="F648" t="s">
        <v>12786</v>
      </c>
      <c r="G648" t="s">
        <v>74</v>
      </c>
      <c r="H648" t="s">
        <v>74</v>
      </c>
      <c r="I648" t="s">
        <v>12787</v>
      </c>
      <c r="J648" t="s">
        <v>8472</v>
      </c>
      <c r="K648" t="s">
        <v>74</v>
      </c>
      <c r="L648" t="s">
        <v>74</v>
      </c>
      <c r="M648" t="s">
        <v>78</v>
      </c>
      <c r="N648" t="s">
        <v>79</v>
      </c>
      <c r="O648" t="s">
        <v>74</v>
      </c>
      <c r="P648" t="s">
        <v>74</v>
      </c>
      <c r="Q648" t="s">
        <v>74</v>
      </c>
      <c r="R648" t="s">
        <v>74</v>
      </c>
      <c r="S648" t="s">
        <v>74</v>
      </c>
      <c r="T648" t="s">
        <v>12788</v>
      </c>
      <c r="U648" t="s">
        <v>12789</v>
      </c>
      <c r="V648" t="s">
        <v>12790</v>
      </c>
      <c r="W648" t="s">
        <v>12791</v>
      </c>
      <c r="X648" t="s">
        <v>12792</v>
      </c>
      <c r="Y648" t="s">
        <v>12793</v>
      </c>
      <c r="Z648" t="s">
        <v>12794</v>
      </c>
      <c r="AA648" t="s">
        <v>12795</v>
      </c>
      <c r="AB648" t="s">
        <v>12796</v>
      </c>
      <c r="AC648" t="s">
        <v>12797</v>
      </c>
      <c r="AD648" t="s">
        <v>12798</v>
      </c>
      <c r="AE648" t="s">
        <v>12799</v>
      </c>
      <c r="AF648" t="s">
        <v>74</v>
      </c>
      <c r="AG648">
        <v>79</v>
      </c>
      <c r="AH648">
        <v>0</v>
      </c>
      <c r="AI648">
        <v>0</v>
      </c>
      <c r="AJ648">
        <v>11</v>
      </c>
      <c r="AK648">
        <v>28</v>
      </c>
      <c r="AL648" t="s">
        <v>178</v>
      </c>
      <c r="AM648" t="s">
        <v>450</v>
      </c>
      <c r="AN648" t="s">
        <v>668</v>
      </c>
      <c r="AO648" t="s">
        <v>8484</v>
      </c>
      <c r="AP648" t="s">
        <v>8485</v>
      </c>
      <c r="AQ648" t="s">
        <v>74</v>
      </c>
      <c r="AR648" t="s">
        <v>8486</v>
      </c>
      <c r="AS648" t="s">
        <v>8487</v>
      </c>
      <c r="AT648" t="s">
        <v>8743</v>
      </c>
      <c r="AU648">
        <v>2023</v>
      </c>
      <c r="AV648">
        <v>60</v>
      </c>
      <c r="AW648" t="s">
        <v>12800</v>
      </c>
      <c r="AX648" t="s">
        <v>74</v>
      </c>
      <c r="AY648" t="s">
        <v>74</v>
      </c>
      <c r="AZ648" t="s">
        <v>74</v>
      </c>
      <c r="BA648" t="s">
        <v>74</v>
      </c>
      <c r="BB648">
        <v>1865</v>
      </c>
      <c r="BC648">
        <v>1883</v>
      </c>
      <c r="BD648" t="s">
        <v>74</v>
      </c>
      <c r="BE648" t="s">
        <v>12801</v>
      </c>
      <c r="BF648" t="str">
        <f>HYPERLINK("http://dx.doi.org/10.1007/s00382-022-06420-z","http://dx.doi.org/10.1007/s00382-022-06420-z")</f>
        <v>http://dx.doi.org/10.1007/s00382-022-06420-z</v>
      </c>
      <c r="BG648" t="s">
        <v>74</v>
      </c>
      <c r="BH648" t="s">
        <v>12326</v>
      </c>
      <c r="BI648">
        <v>19</v>
      </c>
      <c r="BJ648" t="s">
        <v>457</v>
      </c>
      <c r="BK648" t="s">
        <v>100</v>
      </c>
      <c r="BL648" t="s">
        <v>457</v>
      </c>
      <c r="BM648" t="s">
        <v>12802</v>
      </c>
      <c r="BN648" t="s">
        <v>74</v>
      </c>
      <c r="BO648" t="s">
        <v>74</v>
      </c>
      <c r="BP648" t="s">
        <v>74</v>
      </c>
      <c r="BQ648" t="s">
        <v>74</v>
      </c>
      <c r="BR648" t="s">
        <v>103</v>
      </c>
      <c r="BS648" t="s">
        <v>12803</v>
      </c>
      <c r="BT648" t="str">
        <f>HYPERLINK("https%3A%2F%2Fwww.webofscience.com%2Fwos%2Fwoscc%2Ffull-record%2FWOS:000830985200001","View Full Record in Web of Science")</f>
        <v>View Full Record in Web of Science</v>
      </c>
    </row>
    <row r="649" spans="1:72" x14ac:dyDescent="0.15">
      <c r="A649" t="s">
        <v>72</v>
      </c>
      <c r="B649" t="s">
        <v>12804</v>
      </c>
      <c r="C649" t="s">
        <v>74</v>
      </c>
      <c r="D649" t="s">
        <v>74</v>
      </c>
      <c r="E649" t="s">
        <v>74</v>
      </c>
      <c r="F649" t="s">
        <v>12805</v>
      </c>
      <c r="G649" t="s">
        <v>74</v>
      </c>
      <c r="H649" t="s">
        <v>74</v>
      </c>
      <c r="I649" t="s">
        <v>12806</v>
      </c>
      <c r="J649" t="s">
        <v>2473</v>
      </c>
      <c r="K649" t="s">
        <v>74</v>
      </c>
      <c r="L649" t="s">
        <v>74</v>
      </c>
      <c r="M649" t="s">
        <v>78</v>
      </c>
      <c r="N649" t="s">
        <v>79</v>
      </c>
      <c r="O649" t="s">
        <v>74</v>
      </c>
      <c r="P649" t="s">
        <v>74</v>
      </c>
      <c r="Q649" t="s">
        <v>74</v>
      </c>
      <c r="R649" t="s">
        <v>74</v>
      </c>
      <c r="S649" t="s">
        <v>74</v>
      </c>
      <c r="T649" t="s">
        <v>74</v>
      </c>
      <c r="U649" t="s">
        <v>12807</v>
      </c>
      <c r="V649" t="s">
        <v>12808</v>
      </c>
      <c r="W649" t="s">
        <v>12809</v>
      </c>
      <c r="X649" t="s">
        <v>12810</v>
      </c>
      <c r="Y649" t="s">
        <v>12811</v>
      </c>
      <c r="Z649" t="s">
        <v>12812</v>
      </c>
      <c r="AA649" t="s">
        <v>12813</v>
      </c>
      <c r="AB649" t="s">
        <v>12814</v>
      </c>
      <c r="AC649" t="s">
        <v>12815</v>
      </c>
      <c r="AD649" t="s">
        <v>12816</v>
      </c>
      <c r="AE649" t="s">
        <v>12817</v>
      </c>
      <c r="AF649" t="s">
        <v>74</v>
      </c>
      <c r="AG649">
        <v>67</v>
      </c>
      <c r="AH649">
        <v>4</v>
      </c>
      <c r="AI649">
        <v>4</v>
      </c>
      <c r="AJ649">
        <v>2</v>
      </c>
      <c r="AK649">
        <v>6</v>
      </c>
      <c r="AL649" t="s">
        <v>2460</v>
      </c>
      <c r="AM649" t="s">
        <v>2461</v>
      </c>
      <c r="AN649" t="s">
        <v>2462</v>
      </c>
      <c r="AO649" t="s">
        <v>2485</v>
      </c>
      <c r="AP649" t="s">
        <v>2486</v>
      </c>
      <c r="AQ649" t="s">
        <v>74</v>
      </c>
      <c r="AR649" t="s">
        <v>2473</v>
      </c>
      <c r="AS649" t="s">
        <v>2487</v>
      </c>
      <c r="AT649" t="s">
        <v>12707</v>
      </c>
      <c r="AU649">
        <v>2022</v>
      </c>
      <c r="AV649">
        <v>16</v>
      </c>
      <c r="AW649">
        <v>7</v>
      </c>
      <c r="AX649" t="s">
        <v>74</v>
      </c>
      <c r="AY649" t="s">
        <v>74</v>
      </c>
      <c r="AZ649" t="s">
        <v>74</v>
      </c>
      <c r="BA649" t="s">
        <v>74</v>
      </c>
      <c r="BB649">
        <v>2967</v>
      </c>
      <c r="BC649">
        <v>2983</v>
      </c>
      <c r="BD649" t="s">
        <v>74</v>
      </c>
      <c r="BE649" t="s">
        <v>12818</v>
      </c>
      <c r="BF649" t="str">
        <f>HYPERLINK("http://dx.doi.org/10.5194/tc-16-2967-2022","http://dx.doi.org/10.5194/tc-16-2967-2022")</f>
        <v>http://dx.doi.org/10.5194/tc-16-2967-2022</v>
      </c>
      <c r="BG649" t="s">
        <v>74</v>
      </c>
      <c r="BH649" t="s">
        <v>74</v>
      </c>
      <c r="BI649">
        <v>17</v>
      </c>
      <c r="BJ649" t="s">
        <v>354</v>
      </c>
      <c r="BK649" t="s">
        <v>100</v>
      </c>
      <c r="BL649" t="s">
        <v>241</v>
      </c>
      <c r="BM649" t="s">
        <v>12819</v>
      </c>
      <c r="BN649" t="s">
        <v>74</v>
      </c>
      <c r="BO649" t="s">
        <v>1195</v>
      </c>
      <c r="BP649" t="s">
        <v>74</v>
      </c>
      <c r="BQ649" t="s">
        <v>74</v>
      </c>
      <c r="BR649" t="s">
        <v>103</v>
      </c>
      <c r="BS649" t="s">
        <v>12820</v>
      </c>
      <c r="BT649" t="str">
        <f>HYPERLINK("https%3A%2F%2Fwww.webofscience.com%2Fwos%2Fwoscc%2Ffull-record%2FWOS:000830484900001","View Full Record in Web of Science")</f>
        <v>View Full Record in Web of Science</v>
      </c>
    </row>
    <row r="650" spans="1:72" x14ac:dyDescent="0.15">
      <c r="A650" t="s">
        <v>72</v>
      </c>
      <c r="B650" t="s">
        <v>12821</v>
      </c>
      <c r="C650" t="s">
        <v>74</v>
      </c>
      <c r="D650" t="s">
        <v>74</v>
      </c>
      <c r="E650" t="s">
        <v>74</v>
      </c>
      <c r="F650" t="s">
        <v>12822</v>
      </c>
      <c r="G650" t="s">
        <v>74</v>
      </c>
      <c r="H650" t="s">
        <v>74</v>
      </c>
      <c r="I650" t="s">
        <v>12823</v>
      </c>
      <c r="J650" t="s">
        <v>12824</v>
      </c>
      <c r="K650" t="s">
        <v>74</v>
      </c>
      <c r="L650" t="s">
        <v>74</v>
      </c>
      <c r="M650" t="s">
        <v>78</v>
      </c>
      <c r="N650" t="s">
        <v>2122</v>
      </c>
      <c r="O650" t="s">
        <v>74</v>
      </c>
      <c r="P650" t="s">
        <v>74</v>
      </c>
      <c r="Q650" t="s">
        <v>74</v>
      </c>
      <c r="R650" t="s">
        <v>74</v>
      </c>
      <c r="S650" t="s">
        <v>74</v>
      </c>
      <c r="T650" t="s">
        <v>12825</v>
      </c>
      <c r="U650" t="s">
        <v>12826</v>
      </c>
      <c r="V650" t="s">
        <v>12827</v>
      </c>
      <c r="W650" t="s">
        <v>12828</v>
      </c>
      <c r="X650" t="s">
        <v>12829</v>
      </c>
      <c r="Y650" t="s">
        <v>12830</v>
      </c>
      <c r="Z650" t="s">
        <v>12831</v>
      </c>
      <c r="AA650" t="s">
        <v>12832</v>
      </c>
      <c r="AB650" t="s">
        <v>12833</v>
      </c>
      <c r="AC650" t="s">
        <v>12834</v>
      </c>
      <c r="AD650" t="s">
        <v>12835</v>
      </c>
      <c r="AE650" t="s">
        <v>12836</v>
      </c>
      <c r="AF650" t="s">
        <v>74</v>
      </c>
      <c r="AG650">
        <v>67</v>
      </c>
      <c r="AH650">
        <v>8</v>
      </c>
      <c r="AI650">
        <v>9</v>
      </c>
      <c r="AJ650">
        <v>11</v>
      </c>
      <c r="AK650">
        <v>37</v>
      </c>
      <c r="AL650" t="s">
        <v>2174</v>
      </c>
      <c r="AM650" t="s">
        <v>207</v>
      </c>
      <c r="AN650" t="s">
        <v>2175</v>
      </c>
      <c r="AO650" t="s">
        <v>12837</v>
      </c>
      <c r="AP650" t="s">
        <v>12838</v>
      </c>
      <c r="AQ650" t="s">
        <v>74</v>
      </c>
      <c r="AR650" t="s">
        <v>12839</v>
      </c>
      <c r="AS650" t="s">
        <v>12840</v>
      </c>
      <c r="AT650" t="s">
        <v>12841</v>
      </c>
      <c r="AU650">
        <v>2022</v>
      </c>
      <c r="AV650" t="s">
        <v>74</v>
      </c>
      <c r="AW650" t="s">
        <v>74</v>
      </c>
      <c r="AX650" t="s">
        <v>74</v>
      </c>
      <c r="AY650" t="s">
        <v>74</v>
      </c>
      <c r="AZ650" t="s">
        <v>74</v>
      </c>
      <c r="BA650" t="s">
        <v>74</v>
      </c>
      <c r="BB650" t="s">
        <v>74</v>
      </c>
      <c r="BC650" t="s">
        <v>74</v>
      </c>
      <c r="BD650" t="s">
        <v>74</v>
      </c>
      <c r="BE650" t="s">
        <v>12842</v>
      </c>
      <c r="BF650" t="str">
        <f>HYPERLINK("http://dx.doi.org/10.1021/acs.est.2c02592","http://dx.doi.org/10.1021/acs.est.2c02592")</f>
        <v>http://dx.doi.org/10.1021/acs.est.2c02592</v>
      </c>
      <c r="BG650" t="s">
        <v>74</v>
      </c>
      <c r="BH650" t="s">
        <v>12326</v>
      </c>
      <c r="BI650">
        <v>10</v>
      </c>
      <c r="BJ650" t="s">
        <v>5693</v>
      </c>
      <c r="BK650" t="s">
        <v>100</v>
      </c>
      <c r="BL650" t="s">
        <v>5694</v>
      </c>
      <c r="BM650" t="s">
        <v>12843</v>
      </c>
      <c r="BN650">
        <v>35881889</v>
      </c>
      <c r="BO650" t="s">
        <v>12092</v>
      </c>
      <c r="BP650" t="s">
        <v>74</v>
      </c>
      <c r="BQ650" t="s">
        <v>74</v>
      </c>
      <c r="BR650" t="s">
        <v>103</v>
      </c>
      <c r="BS650" t="s">
        <v>12844</v>
      </c>
      <c r="BT650" t="str">
        <f>HYPERLINK("https%3A%2F%2Fwww.webofscience.com%2Fwos%2Fwoscc%2Ffull-record%2FWOS:000886433600001","View Full Record in Web of Science")</f>
        <v>View Full Record in Web of Science</v>
      </c>
    </row>
    <row r="651" spans="1:72" x14ac:dyDescent="0.15">
      <c r="A651" t="s">
        <v>72</v>
      </c>
      <c r="B651" t="s">
        <v>12845</v>
      </c>
      <c r="C651" t="s">
        <v>74</v>
      </c>
      <c r="D651" t="s">
        <v>74</v>
      </c>
      <c r="E651" t="s">
        <v>74</v>
      </c>
      <c r="F651" t="s">
        <v>12846</v>
      </c>
      <c r="G651" t="s">
        <v>74</v>
      </c>
      <c r="H651" t="s">
        <v>74</v>
      </c>
      <c r="I651" t="s">
        <v>12847</v>
      </c>
      <c r="J651" t="s">
        <v>12848</v>
      </c>
      <c r="K651" t="s">
        <v>74</v>
      </c>
      <c r="L651" t="s">
        <v>74</v>
      </c>
      <c r="M651" t="s">
        <v>78</v>
      </c>
      <c r="N651" t="s">
        <v>79</v>
      </c>
      <c r="O651" t="s">
        <v>74</v>
      </c>
      <c r="P651" t="s">
        <v>74</v>
      </c>
      <c r="Q651" t="s">
        <v>74</v>
      </c>
      <c r="R651" t="s">
        <v>74</v>
      </c>
      <c r="S651" t="s">
        <v>74</v>
      </c>
      <c r="T651" t="s">
        <v>12849</v>
      </c>
      <c r="U651" t="s">
        <v>12850</v>
      </c>
      <c r="V651" t="s">
        <v>12851</v>
      </c>
      <c r="W651" t="s">
        <v>12852</v>
      </c>
      <c r="X651" t="s">
        <v>12853</v>
      </c>
      <c r="Y651" t="s">
        <v>12854</v>
      </c>
      <c r="Z651" t="s">
        <v>12855</v>
      </c>
      <c r="AA651" t="s">
        <v>74</v>
      </c>
      <c r="AB651" t="s">
        <v>74</v>
      </c>
      <c r="AC651" t="s">
        <v>12856</v>
      </c>
      <c r="AD651" t="s">
        <v>12856</v>
      </c>
      <c r="AE651" t="s">
        <v>12857</v>
      </c>
      <c r="AF651" t="s">
        <v>74</v>
      </c>
      <c r="AG651">
        <v>19</v>
      </c>
      <c r="AH651">
        <v>4</v>
      </c>
      <c r="AI651">
        <v>4</v>
      </c>
      <c r="AJ651">
        <v>2</v>
      </c>
      <c r="AK651">
        <v>12</v>
      </c>
      <c r="AL651" t="s">
        <v>178</v>
      </c>
      <c r="AM651" t="s">
        <v>450</v>
      </c>
      <c r="AN651" t="s">
        <v>668</v>
      </c>
      <c r="AO651" t="s">
        <v>12858</v>
      </c>
      <c r="AP651" t="s">
        <v>12859</v>
      </c>
      <c r="AQ651" t="s">
        <v>74</v>
      </c>
      <c r="AR651" t="s">
        <v>12860</v>
      </c>
      <c r="AS651" t="s">
        <v>12861</v>
      </c>
      <c r="AT651" t="s">
        <v>2281</v>
      </c>
      <c r="AU651">
        <v>2022</v>
      </c>
      <c r="AV651">
        <v>15</v>
      </c>
      <c r="AW651">
        <v>11</v>
      </c>
      <c r="AX651" t="s">
        <v>74</v>
      </c>
      <c r="AY651" t="s">
        <v>74</v>
      </c>
      <c r="AZ651" t="s">
        <v>74</v>
      </c>
      <c r="BA651" t="s">
        <v>74</v>
      </c>
      <c r="BB651">
        <v>3189</v>
      </c>
      <c r="BC651">
        <v>3195</v>
      </c>
      <c r="BD651" t="s">
        <v>74</v>
      </c>
      <c r="BE651" t="s">
        <v>12862</v>
      </c>
      <c r="BF651" t="str">
        <f>HYPERLINK("http://dx.doi.org/10.1007/s12161-022-02357-5","http://dx.doi.org/10.1007/s12161-022-02357-5")</f>
        <v>http://dx.doi.org/10.1007/s12161-022-02357-5</v>
      </c>
      <c r="BG651" t="s">
        <v>74</v>
      </c>
      <c r="BH651" t="s">
        <v>12326</v>
      </c>
      <c r="BI651">
        <v>7</v>
      </c>
      <c r="BJ651" t="s">
        <v>4486</v>
      </c>
      <c r="BK651" t="s">
        <v>100</v>
      </c>
      <c r="BL651" t="s">
        <v>4486</v>
      </c>
      <c r="BM651" t="s">
        <v>12863</v>
      </c>
      <c r="BN651" t="s">
        <v>74</v>
      </c>
      <c r="BO651" t="s">
        <v>74</v>
      </c>
      <c r="BP651" t="s">
        <v>74</v>
      </c>
      <c r="BQ651" t="s">
        <v>74</v>
      </c>
      <c r="BR651" t="s">
        <v>103</v>
      </c>
      <c r="BS651" t="s">
        <v>12864</v>
      </c>
      <c r="BT651" t="str">
        <f>HYPERLINK("https%3A%2F%2Fwww.webofscience.com%2Fwos%2Fwoscc%2Ffull-record%2FWOS:000829755200001","View Full Record in Web of Science")</f>
        <v>View Full Record in Web of Science</v>
      </c>
    </row>
    <row r="652" spans="1:72" x14ac:dyDescent="0.15">
      <c r="A652" t="s">
        <v>72</v>
      </c>
      <c r="B652" t="s">
        <v>12865</v>
      </c>
      <c r="C652" t="s">
        <v>74</v>
      </c>
      <c r="D652" t="s">
        <v>74</v>
      </c>
      <c r="E652" t="s">
        <v>74</v>
      </c>
      <c r="F652" t="s">
        <v>12866</v>
      </c>
      <c r="G652" t="s">
        <v>74</v>
      </c>
      <c r="H652" t="s">
        <v>74</v>
      </c>
      <c r="I652" t="s">
        <v>12867</v>
      </c>
      <c r="J652" t="s">
        <v>12868</v>
      </c>
      <c r="K652" t="s">
        <v>74</v>
      </c>
      <c r="L652" t="s">
        <v>74</v>
      </c>
      <c r="M652" t="s">
        <v>78</v>
      </c>
      <c r="N652" t="s">
        <v>79</v>
      </c>
      <c r="O652" t="s">
        <v>74</v>
      </c>
      <c r="P652" t="s">
        <v>74</v>
      </c>
      <c r="Q652" t="s">
        <v>74</v>
      </c>
      <c r="R652" t="s">
        <v>74</v>
      </c>
      <c r="S652" t="s">
        <v>74</v>
      </c>
      <c r="T652" t="s">
        <v>12869</v>
      </c>
      <c r="U652" t="s">
        <v>12870</v>
      </c>
      <c r="V652" t="s">
        <v>12871</v>
      </c>
      <c r="W652" t="s">
        <v>12872</v>
      </c>
      <c r="X652" t="s">
        <v>12873</v>
      </c>
      <c r="Y652" t="s">
        <v>12874</v>
      </c>
      <c r="Z652" t="s">
        <v>12875</v>
      </c>
      <c r="AA652" t="s">
        <v>74</v>
      </c>
      <c r="AB652" t="s">
        <v>12876</v>
      </c>
      <c r="AC652" t="s">
        <v>12877</v>
      </c>
      <c r="AD652" t="s">
        <v>12878</v>
      </c>
      <c r="AE652" t="s">
        <v>12879</v>
      </c>
      <c r="AF652" t="s">
        <v>74</v>
      </c>
      <c r="AG652">
        <v>65</v>
      </c>
      <c r="AH652">
        <v>2</v>
      </c>
      <c r="AI652">
        <v>2</v>
      </c>
      <c r="AJ652">
        <v>2</v>
      </c>
      <c r="AK652">
        <v>12</v>
      </c>
      <c r="AL652" t="s">
        <v>231</v>
      </c>
      <c r="AM652" t="s">
        <v>232</v>
      </c>
      <c r="AN652" t="s">
        <v>233</v>
      </c>
      <c r="AO652" t="s">
        <v>12880</v>
      </c>
      <c r="AP652" t="s">
        <v>12881</v>
      </c>
      <c r="AQ652" t="s">
        <v>74</v>
      </c>
      <c r="AR652" t="s">
        <v>12868</v>
      </c>
      <c r="AS652" t="s">
        <v>12882</v>
      </c>
      <c r="AT652" t="s">
        <v>3605</v>
      </c>
      <c r="AU652">
        <v>2022</v>
      </c>
      <c r="AV652">
        <v>22</v>
      </c>
      <c r="AW652">
        <v>18</v>
      </c>
      <c r="AX652" t="s">
        <v>74</v>
      </c>
      <c r="AY652" t="s">
        <v>74</v>
      </c>
      <c r="AZ652" t="s">
        <v>74</v>
      </c>
      <c r="BA652" t="s">
        <v>74</v>
      </c>
      <c r="BB652" t="s">
        <v>74</v>
      </c>
      <c r="BC652" t="s">
        <v>74</v>
      </c>
      <c r="BD652" t="s">
        <v>12883</v>
      </c>
      <c r="BE652" t="s">
        <v>12884</v>
      </c>
      <c r="BF652" t="str">
        <f>HYPERLINK("http://dx.doi.org/10.1002/pmic.202100404","http://dx.doi.org/10.1002/pmic.202100404")</f>
        <v>http://dx.doi.org/10.1002/pmic.202100404</v>
      </c>
      <c r="BG652" t="s">
        <v>74</v>
      </c>
      <c r="BH652" t="s">
        <v>12326</v>
      </c>
      <c r="BI652">
        <v>15</v>
      </c>
      <c r="BJ652" t="s">
        <v>12885</v>
      </c>
      <c r="BK652" t="s">
        <v>100</v>
      </c>
      <c r="BL652" t="s">
        <v>7768</v>
      </c>
      <c r="BM652" t="s">
        <v>12886</v>
      </c>
      <c r="BN652">
        <v>35778945</v>
      </c>
      <c r="BO652" t="s">
        <v>2512</v>
      </c>
      <c r="BP652" t="s">
        <v>74</v>
      </c>
      <c r="BQ652" t="s">
        <v>74</v>
      </c>
      <c r="BR652" t="s">
        <v>103</v>
      </c>
      <c r="BS652" t="s">
        <v>12887</v>
      </c>
      <c r="BT652" t="str">
        <f>HYPERLINK("https%3A%2F%2Fwww.webofscience.com%2Fwos%2Fwoscc%2Ffull-record%2FWOS:000829907600001","View Full Record in Web of Science")</f>
        <v>View Full Record in Web of Science</v>
      </c>
    </row>
    <row r="653" spans="1:72" x14ac:dyDescent="0.15">
      <c r="A653" t="s">
        <v>72</v>
      </c>
      <c r="B653" t="s">
        <v>12888</v>
      </c>
      <c r="C653" t="s">
        <v>74</v>
      </c>
      <c r="D653" t="s">
        <v>74</v>
      </c>
      <c r="E653" t="s">
        <v>74</v>
      </c>
      <c r="F653" t="s">
        <v>12889</v>
      </c>
      <c r="G653" t="s">
        <v>74</v>
      </c>
      <c r="H653" t="s">
        <v>74</v>
      </c>
      <c r="I653" t="s">
        <v>12890</v>
      </c>
      <c r="J653" t="s">
        <v>12891</v>
      </c>
      <c r="K653" t="s">
        <v>74</v>
      </c>
      <c r="L653" t="s">
        <v>74</v>
      </c>
      <c r="M653" t="s">
        <v>78</v>
      </c>
      <c r="N653" t="s">
        <v>79</v>
      </c>
      <c r="O653" t="s">
        <v>74</v>
      </c>
      <c r="P653" t="s">
        <v>74</v>
      </c>
      <c r="Q653" t="s">
        <v>74</v>
      </c>
      <c r="R653" t="s">
        <v>74</v>
      </c>
      <c r="S653" t="s">
        <v>74</v>
      </c>
      <c r="T653" t="s">
        <v>12892</v>
      </c>
      <c r="U653" t="s">
        <v>12893</v>
      </c>
      <c r="V653" t="s">
        <v>12894</v>
      </c>
      <c r="W653" t="s">
        <v>12895</v>
      </c>
      <c r="X653" t="s">
        <v>12896</v>
      </c>
      <c r="Y653" t="s">
        <v>12897</v>
      </c>
      <c r="Z653" t="s">
        <v>12898</v>
      </c>
      <c r="AA653" t="s">
        <v>12899</v>
      </c>
      <c r="AB653" t="s">
        <v>12900</v>
      </c>
      <c r="AC653" t="s">
        <v>12901</v>
      </c>
      <c r="AD653" t="s">
        <v>12902</v>
      </c>
      <c r="AE653" t="s">
        <v>12903</v>
      </c>
      <c r="AF653" t="s">
        <v>74</v>
      </c>
      <c r="AG653">
        <v>99</v>
      </c>
      <c r="AH653">
        <v>8</v>
      </c>
      <c r="AI653">
        <v>8</v>
      </c>
      <c r="AJ653">
        <v>9</v>
      </c>
      <c r="AK653">
        <v>39</v>
      </c>
      <c r="AL653" t="s">
        <v>2249</v>
      </c>
      <c r="AM653" t="s">
        <v>90</v>
      </c>
      <c r="AN653" t="s">
        <v>2250</v>
      </c>
      <c r="AO653" t="s">
        <v>12904</v>
      </c>
      <c r="AP653" t="s">
        <v>12905</v>
      </c>
      <c r="AQ653" t="s">
        <v>74</v>
      </c>
      <c r="AR653" t="s">
        <v>12906</v>
      </c>
      <c r="AS653" t="s">
        <v>12907</v>
      </c>
      <c r="AT653" t="s">
        <v>12908</v>
      </c>
      <c r="AU653">
        <v>2022</v>
      </c>
      <c r="AV653">
        <v>368</v>
      </c>
      <c r="AW653" t="s">
        <v>74</v>
      </c>
      <c r="AX653" t="s">
        <v>74</v>
      </c>
      <c r="AY653" t="s">
        <v>74</v>
      </c>
      <c r="AZ653" t="s">
        <v>74</v>
      </c>
      <c r="BA653" t="s">
        <v>74</v>
      </c>
      <c r="BB653" t="s">
        <v>74</v>
      </c>
      <c r="BC653" t="s">
        <v>74</v>
      </c>
      <c r="BD653">
        <v>133052</v>
      </c>
      <c r="BE653" t="s">
        <v>12909</v>
      </c>
      <c r="BF653" t="str">
        <f>HYPERLINK("http://dx.doi.org/10.1016/j.jclepro.2022.133052","http://dx.doi.org/10.1016/j.jclepro.2022.133052")</f>
        <v>http://dx.doi.org/10.1016/j.jclepro.2022.133052</v>
      </c>
      <c r="BG653" t="s">
        <v>74</v>
      </c>
      <c r="BH653" t="s">
        <v>12326</v>
      </c>
      <c r="BI653">
        <v>14</v>
      </c>
      <c r="BJ653" t="s">
        <v>12910</v>
      </c>
      <c r="BK653" t="s">
        <v>100</v>
      </c>
      <c r="BL653" t="s">
        <v>12911</v>
      </c>
      <c r="BM653" t="s">
        <v>12912</v>
      </c>
      <c r="BN653" t="s">
        <v>74</v>
      </c>
      <c r="BO653" t="s">
        <v>74</v>
      </c>
      <c r="BP653" t="s">
        <v>74</v>
      </c>
      <c r="BQ653" t="s">
        <v>74</v>
      </c>
      <c r="BR653" t="s">
        <v>103</v>
      </c>
      <c r="BS653" t="s">
        <v>12913</v>
      </c>
      <c r="BT653" t="str">
        <f>HYPERLINK("https%3A%2F%2Fwww.webofscience.com%2Fwos%2Fwoscc%2Ffull-record%2FWOS:000864096200009","View Full Record in Web of Science")</f>
        <v>View Full Record in Web of Science</v>
      </c>
    </row>
    <row r="654" spans="1:72" x14ac:dyDescent="0.15">
      <c r="A654" t="s">
        <v>72</v>
      </c>
      <c r="B654" t="s">
        <v>12914</v>
      </c>
      <c r="C654" t="s">
        <v>74</v>
      </c>
      <c r="D654" t="s">
        <v>74</v>
      </c>
      <c r="E654" t="s">
        <v>74</v>
      </c>
      <c r="F654" t="s">
        <v>12915</v>
      </c>
      <c r="G654" t="s">
        <v>74</v>
      </c>
      <c r="H654" t="s">
        <v>74</v>
      </c>
      <c r="I654" t="s">
        <v>12916</v>
      </c>
      <c r="J654" t="s">
        <v>2872</v>
      </c>
      <c r="K654" t="s">
        <v>74</v>
      </c>
      <c r="L654" t="s">
        <v>74</v>
      </c>
      <c r="M654" t="s">
        <v>78</v>
      </c>
      <c r="N654" t="s">
        <v>79</v>
      </c>
      <c r="O654" t="s">
        <v>74</v>
      </c>
      <c r="P654" t="s">
        <v>74</v>
      </c>
      <c r="Q654" t="s">
        <v>74</v>
      </c>
      <c r="R654" t="s">
        <v>74</v>
      </c>
      <c r="S654" t="s">
        <v>74</v>
      </c>
      <c r="T654" t="s">
        <v>74</v>
      </c>
      <c r="U654" t="s">
        <v>12917</v>
      </c>
      <c r="V654" t="s">
        <v>12918</v>
      </c>
      <c r="W654" t="s">
        <v>12919</v>
      </c>
      <c r="X654" t="s">
        <v>12920</v>
      </c>
      <c r="Y654" t="s">
        <v>12921</v>
      </c>
      <c r="Z654" t="s">
        <v>12922</v>
      </c>
      <c r="AA654" t="s">
        <v>12923</v>
      </c>
      <c r="AB654" t="s">
        <v>12924</v>
      </c>
      <c r="AC654" t="s">
        <v>74</v>
      </c>
      <c r="AD654" t="s">
        <v>74</v>
      </c>
      <c r="AE654" t="s">
        <v>74</v>
      </c>
      <c r="AF654" t="s">
        <v>74</v>
      </c>
      <c r="AG654">
        <v>56</v>
      </c>
      <c r="AH654">
        <v>14</v>
      </c>
      <c r="AI654">
        <v>14</v>
      </c>
      <c r="AJ654">
        <v>1</v>
      </c>
      <c r="AK654">
        <v>15</v>
      </c>
      <c r="AL654" t="s">
        <v>2876</v>
      </c>
      <c r="AM654" t="s">
        <v>346</v>
      </c>
      <c r="AN654" t="s">
        <v>2877</v>
      </c>
      <c r="AO654" t="s">
        <v>2878</v>
      </c>
      <c r="AP654" t="s">
        <v>2879</v>
      </c>
      <c r="AQ654" t="s">
        <v>74</v>
      </c>
      <c r="AR654" t="s">
        <v>2880</v>
      </c>
      <c r="AS654" t="s">
        <v>2881</v>
      </c>
      <c r="AT654" t="s">
        <v>12925</v>
      </c>
      <c r="AU654">
        <v>2022</v>
      </c>
      <c r="AV654">
        <v>32</v>
      </c>
      <c r="AW654">
        <v>14</v>
      </c>
      <c r="AX654" t="s">
        <v>74</v>
      </c>
      <c r="AY654" t="s">
        <v>74</v>
      </c>
      <c r="AZ654" t="s">
        <v>74</v>
      </c>
      <c r="BA654" t="s">
        <v>74</v>
      </c>
      <c r="BB654">
        <v>3154</v>
      </c>
      <c r="BC654" t="s">
        <v>2114</v>
      </c>
      <c r="BD654" t="s">
        <v>74</v>
      </c>
      <c r="BE654" t="s">
        <v>12926</v>
      </c>
      <c r="BF654" t="str">
        <f>HYPERLINK("http://dx.doi.org/10.1016/j.cub.2022.05.035","http://dx.doi.org/10.1016/j.cub.2022.05.035")</f>
        <v>http://dx.doi.org/10.1016/j.cub.2022.05.035</v>
      </c>
      <c r="BG654" t="s">
        <v>74</v>
      </c>
      <c r="BH654" t="s">
        <v>12326</v>
      </c>
      <c r="BI654">
        <v>11</v>
      </c>
      <c r="BJ654" t="s">
        <v>2884</v>
      </c>
      <c r="BK654" t="s">
        <v>100</v>
      </c>
      <c r="BL654" t="s">
        <v>2885</v>
      </c>
      <c r="BM654" t="s">
        <v>12927</v>
      </c>
      <c r="BN654">
        <v>35679870</v>
      </c>
      <c r="BO654" t="s">
        <v>831</v>
      </c>
      <c r="BP654" t="s">
        <v>74</v>
      </c>
      <c r="BQ654" t="s">
        <v>74</v>
      </c>
      <c r="BR654" t="s">
        <v>103</v>
      </c>
      <c r="BS654" t="s">
        <v>12928</v>
      </c>
      <c r="BT654" t="str">
        <f>HYPERLINK("https%3A%2F%2Fwww.webofscience.com%2Fwos%2Fwoscc%2Ffull-record%2FWOS:000841900900005","View Full Record in Web of Science")</f>
        <v>View Full Record in Web of Science</v>
      </c>
    </row>
    <row r="655" spans="1:72" x14ac:dyDescent="0.15">
      <c r="A655" t="s">
        <v>72</v>
      </c>
      <c r="B655" t="s">
        <v>12929</v>
      </c>
      <c r="C655" t="s">
        <v>74</v>
      </c>
      <c r="D655" t="s">
        <v>74</v>
      </c>
      <c r="E655" t="s">
        <v>74</v>
      </c>
      <c r="F655" t="s">
        <v>12930</v>
      </c>
      <c r="G655" t="s">
        <v>74</v>
      </c>
      <c r="H655" t="s">
        <v>74</v>
      </c>
      <c r="I655" t="s">
        <v>12931</v>
      </c>
      <c r="J655" t="s">
        <v>12932</v>
      </c>
      <c r="K655" t="s">
        <v>74</v>
      </c>
      <c r="L655" t="s">
        <v>74</v>
      </c>
      <c r="M655" t="s">
        <v>78</v>
      </c>
      <c r="N655" t="s">
        <v>79</v>
      </c>
      <c r="O655" t="s">
        <v>74</v>
      </c>
      <c r="P655" t="s">
        <v>74</v>
      </c>
      <c r="Q655" t="s">
        <v>74</v>
      </c>
      <c r="R655" t="s">
        <v>74</v>
      </c>
      <c r="S655" t="s">
        <v>74</v>
      </c>
      <c r="T655" t="s">
        <v>12933</v>
      </c>
      <c r="U655" t="s">
        <v>12934</v>
      </c>
      <c r="V655" t="s">
        <v>12935</v>
      </c>
      <c r="W655" t="s">
        <v>12936</v>
      </c>
      <c r="X655" t="s">
        <v>12937</v>
      </c>
      <c r="Y655" t="s">
        <v>12938</v>
      </c>
      <c r="Z655" t="s">
        <v>12939</v>
      </c>
      <c r="AA655" t="s">
        <v>12940</v>
      </c>
      <c r="AB655" t="s">
        <v>12941</v>
      </c>
      <c r="AC655" t="s">
        <v>12942</v>
      </c>
      <c r="AD655" t="s">
        <v>12942</v>
      </c>
      <c r="AE655" t="s">
        <v>12942</v>
      </c>
      <c r="AF655" t="s">
        <v>74</v>
      </c>
      <c r="AG655">
        <v>75</v>
      </c>
      <c r="AH655">
        <v>6</v>
      </c>
      <c r="AI655">
        <v>6</v>
      </c>
      <c r="AJ655">
        <v>0</v>
      </c>
      <c r="AK655">
        <v>6</v>
      </c>
      <c r="AL655" t="s">
        <v>231</v>
      </c>
      <c r="AM655" t="s">
        <v>232</v>
      </c>
      <c r="AN655" t="s">
        <v>233</v>
      </c>
      <c r="AO655" t="s">
        <v>12943</v>
      </c>
      <c r="AP655" t="s">
        <v>12944</v>
      </c>
      <c r="AQ655" t="s">
        <v>74</v>
      </c>
      <c r="AR655" t="s">
        <v>12945</v>
      </c>
      <c r="AS655" t="s">
        <v>12946</v>
      </c>
      <c r="AT655" t="s">
        <v>3605</v>
      </c>
      <c r="AU655">
        <v>2022</v>
      </c>
      <c r="AV655">
        <v>73</v>
      </c>
      <c r="AW655">
        <v>2</v>
      </c>
      <c r="AX655" t="s">
        <v>74</v>
      </c>
      <c r="AY655" t="s">
        <v>74</v>
      </c>
      <c r="AZ655" t="s">
        <v>74</v>
      </c>
      <c r="BA655" t="s">
        <v>74</v>
      </c>
      <c r="BB655" t="s">
        <v>74</v>
      </c>
      <c r="BC655" t="s">
        <v>74</v>
      </c>
      <c r="BD655" t="s">
        <v>12947</v>
      </c>
      <c r="BE655" t="s">
        <v>12948</v>
      </c>
      <c r="BF655" t="str">
        <f>HYPERLINK("http://dx.doi.org/10.1111/jpi.12817","http://dx.doi.org/10.1111/jpi.12817")</f>
        <v>http://dx.doi.org/10.1111/jpi.12817</v>
      </c>
      <c r="BG655" t="s">
        <v>74</v>
      </c>
      <c r="BH655" t="s">
        <v>12326</v>
      </c>
      <c r="BI655">
        <v>17</v>
      </c>
      <c r="BJ655" t="s">
        <v>12949</v>
      </c>
      <c r="BK655" t="s">
        <v>100</v>
      </c>
      <c r="BL655" t="s">
        <v>12950</v>
      </c>
      <c r="BM655" t="s">
        <v>12951</v>
      </c>
      <c r="BN655">
        <v>35833316</v>
      </c>
      <c r="BO655" t="s">
        <v>1341</v>
      </c>
      <c r="BP655" t="s">
        <v>74</v>
      </c>
      <c r="BQ655" t="s">
        <v>74</v>
      </c>
      <c r="BR655" t="s">
        <v>103</v>
      </c>
      <c r="BS655" t="s">
        <v>12952</v>
      </c>
      <c r="BT655" t="str">
        <f>HYPERLINK("https%3A%2F%2Fwww.webofscience.com%2Fwos%2Fwoscc%2Ffull-record%2FWOS:000830868000001","View Full Record in Web of Science")</f>
        <v>View Full Record in Web of Science</v>
      </c>
    </row>
    <row r="656" spans="1:72" x14ac:dyDescent="0.15">
      <c r="A656" t="s">
        <v>72</v>
      </c>
      <c r="B656" t="s">
        <v>12953</v>
      </c>
      <c r="C656" t="s">
        <v>74</v>
      </c>
      <c r="D656" t="s">
        <v>74</v>
      </c>
      <c r="E656" t="s">
        <v>74</v>
      </c>
      <c r="F656" t="s">
        <v>12954</v>
      </c>
      <c r="G656" t="s">
        <v>74</v>
      </c>
      <c r="H656" t="s">
        <v>74</v>
      </c>
      <c r="I656" t="s">
        <v>12955</v>
      </c>
      <c r="J656" t="s">
        <v>12956</v>
      </c>
      <c r="K656" t="s">
        <v>74</v>
      </c>
      <c r="L656" t="s">
        <v>74</v>
      </c>
      <c r="M656" t="s">
        <v>78</v>
      </c>
      <c r="N656" t="s">
        <v>79</v>
      </c>
      <c r="O656" t="s">
        <v>74</v>
      </c>
      <c r="P656" t="s">
        <v>74</v>
      </c>
      <c r="Q656" t="s">
        <v>74</v>
      </c>
      <c r="R656" t="s">
        <v>74</v>
      </c>
      <c r="S656" t="s">
        <v>74</v>
      </c>
      <c r="T656" t="s">
        <v>12957</v>
      </c>
      <c r="U656" t="s">
        <v>12958</v>
      </c>
      <c r="V656" t="s">
        <v>12959</v>
      </c>
      <c r="W656" t="s">
        <v>12960</v>
      </c>
      <c r="X656" t="s">
        <v>12961</v>
      </c>
      <c r="Y656" t="s">
        <v>12962</v>
      </c>
      <c r="Z656" t="s">
        <v>12963</v>
      </c>
      <c r="AA656" t="s">
        <v>74</v>
      </c>
      <c r="AB656" t="s">
        <v>12964</v>
      </c>
      <c r="AC656" t="s">
        <v>12965</v>
      </c>
      <c r="AD656" t="s">
        <v>12966</v>
      </c>
      <c r="AE656" t="s">
        <v>12967</v>
      </c>
      <c r="AF656" t="s">
        <v>74</v>
      </c>
      <c r="AG656">
        <v>96</v>
      </c>
      <c r="AH656">
        <v>1</v>
      </c>
      <c r="AI656">
        <v>1</v>
      </c>
      <c r="AJ656">
        <v>3</v>
      </c>
      <c r="AK656">
        <v>6</v>
      </c>
      <c r="AL656" t="s">
        <v>231</v>
      </c>
      <c r="AM656" t="s">
        <v>232</v>
      </c>
      <c r="AN656" t="s">
        <v>233</v>
      </c>
      <c r="AO656" t="s">
        <v>12968</v>
      </c>
      <c r="AP656" t="s">
        <v>12969</v>
      </c>
      <c r="AQ656" t="s">
        <v>74</v>
      </c>
      <c r="AR656" t="s">
        <v>12970</v>
      </c>
      <c r="AS656" t="s">
        <v>12971</v>
      </c>
      <c r="AT656" t="s">
        <v>325</v>
      </c>
      <c r="AU656">
        <v>2022</v>
      </c>
      <c r="AV656">
        <v>34</v>
      </c>
      <c r="AW656">
        <v>6</v>
      </c>
      <c r="AX656" t="s">
        <v>74</v>
      </c>
      <c r="AY656" t="s">
        <v>74</v>
      </c>
      <c r="AZ656" t="s">
        <v>74</v>
      </c>
      <c r="BA656" t="s">
        <v>74</v>
      </c>
      <c r="BB656">
        <v>1917</v>
      </c>
      <c r="BC656">
        <v>1935</v>
      </c>
      <c r="BD656" t="s">
        <v>74</v>
      </c>
      <c r="BE656" t="s">
        <v>12972</v>
      </c>
      <c r="BF656" t="str">
        <f>HYPERLINK("http://dx.doi.org/10.1111/bre.12690","http://dx.doi.org/10.1111/bre.12690")</f>
        <v>http://dx.doi.org/10.1111/bre.12690</v>
      </c>
      <c r="BG656" t="s">
        <v>74</v>
      </c>
      <c r="BH656" t="s">
        <v>12326</v>
      </c>
      <c r="BI656">
        <v>19</v>
      </c>
      <c r="BJ656" t="s">
        <v>129</v>
      </c>
      <c r="BK656" t="s">
        <v>100</v>
      </c>
      <c r="BL656" t="s">
        <v>130</v>
      </c>
      <c r="BM656" t="s">
        <v>12973</v>
      </c>
      <c r="BN656" t="s">
        <v>74</v>
      </c>
      <c r="BO656" t="s">
        <v>831</v>
      </c>
      <c r="BP656" t="s">
        <v>74</v>
      </c>
      <c r="BQ656" t="s">
        <v>74</v>
      </c>
      <c r="BR656" t="s">
        <v>103</v>
      </c>
      <c r="BS656" t="s">
        <v>12974</v>
      </c>
      <c r="BT656" t="str">
        <f>HYPERLINK("https%3A%2F%2Fwww.webofscience.com%2Fwos%2Fwoscc%2Ffull-record%2FWOS:000830482500001","View Full Record in Web of Science")</f>
        <v>View Full Record in Web of Science</v>
      </c>
    </row>
    <row r="657" spans="1:72" x14ac:dyDescent="0.15">
      <c r="A657" t="s">
        <v>72</v>
      </c>
      <c r="B657" t="s">
        <v>12975</v>
      </c>
      <c r="C657" t="s">
        <v>74</v>
      </c>
      <c r="D657" t="s">
        <v>74</v>
      </c>
      <c r="E657" t="s">
        <v>74</v>
      </c>
      <c r="F657" t="s">
        <v>12976</v>
      </c>
      <c r="G657" t="s">
        <v>74</v>
      </c>
      <c r="H657" t="s">
        <v>74</v>
      </c>
      <c r="I657" t="s">
        <v>12977</v>
      </c>
      <c r="J657" t="s">
        <v>4327</v>
      </c>
      <c r="K657" t="s">
        <v>74</v>
      </c>
      <c r="L657" t="s">
        <v>74</v>
      </c>
      <c r="M657" t="s">
        <v>78</v>
      </c>
      <c r="N657" t="s">
        <v>79</v>
      </c>
      <c r="O657" t="s">
        <v>74</v>
      </c>
      <c r="P657" t="s">
        <v>74</v>
      </c>
      <c r="Q657" t="s">
        <v>74</v>
      </c>
      <c r="R657" t="s">
        <v>74</v>
      </c>
      <c r="S657" t="s">
        <v>74</v>
      </c>
      <c r="T657" t="s">
        <v>12978</v>
      </c>
      <c r="U657" t="s">
        <v>12979</v>
      </c>
      <c r="V657" t="s">
        <v>12980</v>
      </c>
      <c r="W657" t="s">
        <v>12981</v>
      </c>
      <c r="X657" t="s">
        <v>12982</v>
      </c>
      <c r="Y657" t="s">
        <v>12983</v>
      </c>
      <c r="Z657" t="s">
        <v>12984</v>
      </c>
      <c r="AA657" t="s">
        <v>12985</v>
      </c>
      <c r="AB657" t="s">
        <v>12986</v>
      </c>
      <c r="AC657" t="s">
        <v>12987</v>
      </c>
      <c r="AD657" t="s">
        <v>12988</v>
      </c>
      <c r="AE657" t="s">
        <v>12989</v>
      </c>
      <c r="AF657" t="s">
        <v>74</v>
      </c>
      <c r="AG657">
        <v>83</v>
      </c>
      <c r="AH657">
        <v>3</v>
      </c>
      <c r="AI657">
        <v>4</v>
      </c>
      <c r="AJ657">
        <v>6</v>
      </c>
      <c r="AK657">
        <v>8</v>
      </c>
      <c r="AL657" t="s">
        <v>178</v>
      </c>
      <c r="AM657" t="s">
        <v>450</v>
      </c>
      <c r="AN657" t="s">
        <v>668</v>
      </c>
      <c r="AO657" t="s">
        <v>4340</v>
      </c>
      <c r="AP657" t="s">
        <v>4341</v>
      </c>
      <c r="AQ657" t="s">
        <v>74</v>
      </c>
      <c r="AR657" t="s">
        <v>4342</v>
      </c>
      <c r="AS657" t="s">
        <v>4343</v>
      </c>
      <c r="AT657" t="s">
        <v>184</v>
      </c>
      <c r="AU657">
        <v>2022</v>
      </c>
      <c r="AV657">
        <v>45</v>
      </c>
      <c r="AW657">
        <v>7</v>
      </c>
      <c r="AX657" t="s">
        <v>74</v>
      </c>
      <c r="AY657" t="s">
        <v>74</v>
      </c>
      <c r="AZ657" t="s">
        <v>74</v>
      </c>
      <c r="BA657" t="s">
        <v>74</v>
      </c>
      <c r="BB657">
        <v>1291</v>
      </c>
      <c r="BC657">
        <v>1305</v>
      </c>
      <c r="BD657" t="s">
        <v>74</v>
      </c>
      <c r="BE657" t="s">
        <v>12990</v>
      </c>
      <c r="BF657" t="str">
        <f>HYPERLINK("http://dx.doi.org/10.1007/s00300-022-03072-x","http://dx.doi.org/10.1007/s00300-022-03072-x")</f>
        <v>http://dx.doi.org/10.1007/s00300-022-03072-x</v>
      </c>
      <c r="BG657" t="s">
        <v>74</v>
      </c>
      <c r="BH657" t="s">
        <v>12326</v>
      </c>
      <c r="BI657">
        <v>15</v>
      </c>
      <c r="BJ657" t="s">
        <v>1169</v>
      </c>
      <c r="BK657" t="s">
        <v>100</v>
      </c>
      <c r="BL657" t="s">
        <v>1170</v>
      </c>
      <c r="BM657" t="s">
        <v>12991</v>
      </c>
      <c r="BN657" t="s">
        <v>74</v>
      </c>
      <c r="BO657" t="s">
        <v>1221</v>
      </c>
      <c r="BP657" t="s">
        <v>74</v>
      </c>
      <c r="BQ657" t="s">
        <v>74</v>
      </c>
      <c r="BR657" t="s">
        <v>103</v>
      </c>
      <c r="BS657" t="s">
        <v>12992</v>
      </c>
      <c r="BT657" t="str">
        <f>HYPERLINK("https%3A%2F%2Fwww.webofscience.com%2Fwos%2Fwoscc%2Ffull-record%2FWOS:000829681400001","View Full Record in Web of Science")</f>
        <v>View Full Record in Web of Science</v>
      </c>
    </row>
    <row r="658" spans="1:72" x14ac:dyDescent="0.15">
      <c r="A658" t="s">
        <v>72</v>
      </c>
      <c r="B658" t="s">
        <v>12993</v>
      </c>
      <c r="C658" t="s">
        <v>74</v>
      </c>
      <c r="D658" t="s">
        <v>74</v>
      </c>
      <c r="E658" t="s">
        <v>74</v>
      </c>
      <c r="F658" t="s">
        <v>12994</v>
      </c>
      <c r="G658" t="s">
        <v>74</v>
      </c>
      <c r="H658" t="s">
        <v>74</v>
      </c>
      <c r="I658" t="s">
        <v>12995</v>
      </c>
      <c r="J658" t="s">
        <v>3356</v>
      </c>
      <c r="K658" t="s">
        <v>74</v>
      </c>
      <c r="L658" t="s">
        <v>74</v>
      </c>
      <c r="M658" t="s">
        <v>78</v>
      </c>
      <c r="N658" t="s">
        <v>79</v>
      </c>
      <c r="O658" t="s">
        <v>74</v>
      </c>
      <c r="P658" t="s">
        <v>74</v>
      </c>
      <c r="Q658" t="s">
        <v>74</v>
      </c>
      <c r="R658" t="s">
        <v>74</v>
      </c>
      <c r="S658" t="s">
        <v>74</v>
      </c>
      <c r="T658" t="s">
        <v>74</v>
      </c>
      <c r="U658" t="s">
        <v>12996</v>
      </c>
      <c r="V658" t="s">
        <v>12997</v>
      </c>
      <c r="W658" t="s">
        <v>12998</v>
      </c>
      <c r="X658" t="s">
        <v>12999</v>
      </c>
      <c r="Y658" t="s">
        <v>13000</v>
      </c>
      <c r="Z658" t="s">
        <v>13001</v>
      </c>
      <c r="AA658" t="s">
        <v>13002</v>
      </c>
      <c r="AB658" t="s">
        <v>13003</v>
      </c>
      <c r="AC658" t="s">
        <v>13004</v>
      </c>
      <c r="AD658" t="s">
        <v>13005</v>
      </c>
      <c r="AE658" t="s">
        <v>13006</v>
      </c>
      <c r="AF658" t="s">
        <v>74</v>
      </c>
      <c r="AG658">
        <v>134</v>
      </c>
      <c r="AH658">
        <v>10</v>
      </c>
      <c r="AI658">
        <v>10</v>
      </c>
      <c r="AJ658">
        <v>1</v>
      </c>
      <c r="AK658">
        <v>15</v>
      </c>
      <c r="AL658" t="s">
        <v>2460</v>
      </c>
      <c r="AM658" t="s">
        <v>2461</v>
      </c>
      <c r="AN658" t="s">
        <v>2462</v>
      </c>
      <c r="AO658" t="s">
        <v>3368</v>
      </c>
      <c r="AP658" t="s">
        <v>3369</v>
      </c>
      <c r="AQ658" t="s">
        <v>74</v>
      </c>
      <c r="AR658" t="s">
        <v>3370</v>
      </c>
      <c r="AS658" t="s">
        <v>3371</v>
      </c>
      <c r="AT658" t="s">
        <v>12925</v>
      </c>
      <c r="AU658">
        <v>2022</v>
      </c>
      <c r="AV658">
        <v>14</v>
      </c>
      <c r="AW658">
        <v>7</v>
      </c>
      <c r="AX658" t="s">
        <v>74</v>
      </c>
      <c r="AY658" t="s">
        <v>74</v>
      </c>
      <c r="AZ658" t="s">
        <v>74</v>
      </c>
      <c r="BA658" t="s">
        <v>74</v>
      </c>
      <c r="BB658">
        <v>3379</v>
      </c>
      <c r="BC658">
        <v>3410</v>
      </c>
      <c r="BD658" t="s">
        <v>74</v>
      </c>
      <c r="BE658" t="s">
        <v>13007</v>
      </c>
      <c r="BF658" t="str">
        <f>HYPERLINK("http://dx.doi.org/10.5194/essd-14-3379-2022","http://dx.doi.org/10.5194/essd-14-3379-2022")</f>
        <v>http://dx.doi.org/10.5194/essd-14-3379-2022</v>
      </c>
      <c r="BG658" t="s">
        <v>74</v>
      </c>
      <c r="BH658" t="s">
        <v>74</v>
      </c>
      <c r="BI658">
        <v>32</v>
      </c>
      <c r="BJ658" t="s">
        <v>3373</v>
      </c>
      <c r="BK658" t="s">
        <v>100</v>
      </c>
      <c r="BL658" t="s">
        <v>3374</v>
      </c>
      <c r="BM658" t="s">
        <v>13008</v>
      </c>
      <c r="BN658" t="s">
        <v>74</v>
      </c>
      <c r="BO658" t="s">
        <v>9854</v>
      </c>
      <c r="BP658" t="s">
        <v>74</v>
      </c>
      <c r="BQ658" t="s">
        <v>74</v>
      </c>
      <c r="BR658" t="s">
        <v>103</v>
      </c>
      <c r="BS658" t="s">
        <v>13009</v>
      </c>
      <c r="BT658" t="str">
        <f>HYPERLINK("https%3A%2F%2Fwww.webofscience.com%2Fwos%2Fwoscc%2Ffull-record%2FWOS:000829505800001","View Full Record in Web of Science")</f>
        <v>View Full Record in Web of Science</v>
      </c>
    </row>
    <row r="659" spans="1:72" x14ac:dyDescent="0.15">
      <c r="A659" t="s">
        <v>72</v>
      </c>
      <c r="B659" t="s">
        <v>13010</v>
      </c>
      <c r="C659" t="s">
        <v>74</v>
      </c>
      <c r="D659" t="s">
        <v>74</v>
      </c>
      <c r="E659" t="s">
        <v>74</v>
      </c>
      <c r="F659" t="s">
        <v>13011</v>
      </c>
      <c r="G659" t="s">
        <v>74</v>
      </c>
      <c r="H659" t="s">
        <v>74</v>
      </c>
      <c r="I659" t="s">
        <v>13012</v>
      </c>
      <c r="J659" t="s">
        <v>137</v>
      </c>
      <c r="K659" t="s">
        <v>74</v>
      </c>
      <c r="L659" t="s">
        <v>74</v>
      </c>
      <c r="M659" t="s">
        <v>78</v>
      </c>
      <c r="N659" t="s">
        <v>79</v>
      </c>
      <c r="O659" t="s">
        <v>74</v>
      </c>
      <c r="P659" t="s">
        <v>74</v>
      </c>
      <c r="Q659" t="s">
        <v>74</v>
      </c>
      <c r="R659" t="s">
        <v>74</v>
      </c>
      <c r="S659" t="s">
        <v>74</v>
      </c>
      <c r="T659" t="s">
        <v>74</v>
      </c>
      <c r="U659" t="s">
        <v>13013</v>
      </c>
      <c r="V659" t="s">
        <v>13014</v>
      </c>
      <c r="W659" t="s">
        <v>13015</v>
      </c>
      <c r="X659" t="s">
        <v>13016</v>
      </c>
      <c r="Y659" t="s">
        <v>13017</v>
      </c>
      <c r="Z659" t="s">
        <v>13018</v>
      </c>
      <c r="AA659" t="s">
        <v>13019</v>
      </c>
      <c r="AB659" t="s">
        <v>13020</v>
      </c>
      <c r="AC659" t="s">
        <v>13021</v>
      </c>
      <c r="AD659" t="s">
        <v>13022</v>
      </c>
      <c r="AE659" t="s">
        <v>13023</v>
      </c>
      <c r="AF659" t="s">
        <v>74</v>
      </c>
      <c r="AG659">
        <v>76</v>
      </c>
      <c r="AH659">
        <v>4</v>
      </c>
      <c r="AI659">
        <v>4</v>
      </c>
      <c r="AJ659">
        <v>3</v>
      </c>
      <c r="AK659">
        <v>7</v>
      </c>
      <c r="AL659" t="s">
        <v>149</v>
      </c>
      <c r="AM659" t="s">
        <v>150</v>
      </c>
      <c r="AN659" t="s">
        <v>151</v>
      </c>
      <c r="AO659" t="s">
        <v>74</v>
      </c>
      <c r="AP659" t="s">
        <v>152</v>
      </c>
      <c r="AQ659" t="s">
        <v>74</v>
      </c>
      <c r="AR659" t="s">
        <v>153</v>
      </c>
      <c r="AS659" t="s">
        <v>154</v>
      </c>
      <c r="AT659" t="s">
        <v>12925</v>
      </c>
      <c r="AU659">
        <v>2022</v>
      </c>
      <c r="AV659">
        <v>13</v>
      </c>
      <c r="AW659">
        <v>1</v>
      </c>
      <c r="AX659" t="s">
        <v>74</v>
      </c>
      <c r="AY659" t="s">
        <v>74</v>
      </c>
      <c r="AZ659" t="s">
        <v>74</v>
      </c>
      <c r="BA659" t="s">
        <v>74</v>
      </c>
      <c r="BB659" t="s">
        <v>74</v>
      </c>
      <c r="BC659" t="s">
        <v>74</v>
      </c>
      <c r="BD659" t="s">
        <v>74</v>
      </c>
      <c r="BE659" t="s">
        <v>13024</v>
      </c>
      <c r="BF659" t="str">
        <f>HYPERLINK("http://dx.doi.org/10.1038/s41467-022-31855-7","http://dx.doi.org/10.1038/s41467-022-31855-7")</f>
        <v>http://dx.doi.org/10.1038/s41467-022-31855-7</v>
      </c>
      <c r="BG659" t="s">
        <v>74</v>
      </c>
      <c r="BH659" t="s">
        <v>74</v>
      </c>
      <c r="BI659">
        <v>10</v>
      </c>
      <c r="BJ659" t="s">
        <v>156</v>
      </c>
      <c r="BK659" t="s">
        <v>100</v>
      </c>
      <c r="BL659" t="s">
        <v>157</v>
      </c>
      <c r="BM659" t="s">
        <v>13025</v>
      </c>
      <c r="BN659">
        <v>35879324</v>
      </c>
      <c r="BO659" t="s">
        <v>5348</v>
      </c>
      <c r="BP659" t="s">
        <v>74</v>
      </c>
      <c r="BQ659" t="s">
        <v>74</v>
      </c>
      <c r="BR659" t="s">
        <v>103</v>
      </c>
      <c r="BS659" t="s">
        <v>13026</v>
      </c>
      <c r="BT659" t="str">
        <f>HYPERLINK("https%3A%2F%2Fwww.webofscience.com%2Fwos%2Fwoscc%2Ffull-record%2FWOS:001029766300001","View Full Record in Web of Science")</f>
        <v>View Full Record in Web of Science</v>
      </c>
    </row>
    <row r="660" spans="1:72" x14ac:dyDescent="0.15">
      <c r="A660" t="s">
        <v>72</v>
      </c>
      <c r="B660" t="s">
        <v>13027</v>
      </c>
      <c r="C660" t="s">
        <v>74</v>
      </c>
      <c r="D660" t="s">
        <v>74</v>
      </c>
      <c r="E660" t="s">
        <v>74</v>
      </c>
      <c r="F660" t="s">
        <v>13028</v>
      </c>
      <c r="G660" t="s">
        <v>74</v>
      </c>
      <c r="H660" t="s">
        <v>74</v>
      </c>
      <c r="I660" t="s">
        <v>13029</v>
      </c>
      <c r="J660" t="s">
        <v>5194</v>
      </c>
      <c r="K660" t="s">
        <v>74</v>
      </c>
      <c r="L660" t="s">
        <v>74</v>
      </c>
      <c r="M660" t="s">
        <v>78</v>
      </c>
      <c r="N660" t="s">
        <v>79</v>
      </c>
      <c r="O660" t="s">
        <v>74</v>
      </c>
      <c r="P660" t="s">
        <v>74</v>
      </c>
      <c r="Q660" t="s">
        <v>74</v>
      </c>
      <c r="R660" t="s">
        <v>74</v>
      </c>
      <c r="S660" t="s">
        <v>74</v>
      </c>
      <c r="T660" t="s">
        <v>13030</v>
      </c>
      <c r="U660" t="s">
        <v>13031</v>
      </c>
      <c r="V660" t="s">
        <v>13032</v>
      </c>
      <c r="W660" t="s">
        <v>13033</v>
      </c>
      <c r="X660" t="s">
        <v>13034</v>
      </c>
      <c r="Y660" t="s">
        <v>13035</v>
      </c>
      <c r="Z660" t="s">
        <v>13036</v>
      </c>
      <c r="AA660" t="s">
        <v>13037</v>
      </c>
      <c r="AB660" t="s">
        <v>13038</v>
      </c>
      <c r="AC660" t="s">
        <v>13039</v>
      </c>
      <c r="AD660" t="s">
        <v>13040</v>
      </c>
      <c r="AE660" t="s">
        <v>13041</v>
      </c>
      <c r="AF660" t="s">
        <v>74</v>
      </c>
      <c r="AG660">
        <v>179</v>
      </c>
      <c r="AH660">
        <v>19</v>
      </c>
      <c r="AI660">
        <v>19</v>
      </c>
      <c r="AJ660">
        <v>5</v>
      </c>
      <c r="AK660">
        <v>15</v>
      </c>
      <c r="AL660" t="s">
        <v>231</v>
      </c>
      <c r="AM660" t="s">
        <v>232</v>
      </c>
      <c r="AN660" t="s">
        <v>233</v>
      </c>
      <c r="AO660" t="s">
        <v>5207</v>
      </c>
      <c r="AP660" t="s">
        <v>5208</v>
      </c>
      <c r="AQ660" t="s">
        <v>74</v>
      </c>
      <c r="AR660" t="s">
        <v>5209</v>
      </c>
      <c r="AS660" t="s">
        <v>5210</v>
      </c>
      <c r="AT660" t="s">
        <v>428</v>
      </c>
      <c r="AU660">
        <v>2022</v>
      </c>
      <c r="AV660">
        <v>28</v>
      </c>
      <c r="AW660">
        <v>20</v>
      </c>
      <c r="AX660" t="s">
        <v>74</v>
      </c>
      <c r="AY660" t="s">
        <v>74</v>
      </c>
      <c r="AZ660" t="s">
        <v>74</v>
      </c>
      <c r="BA660" t="s">
        <v>74</v>
      </c>
      <c r="BB660">
        <v>5865</v>
      </c>
      <c r="BC660">
        <v>5880</v>
      </c>
      <c r="BD660" t="s">
        <v>74</v>
      </c>
      <c r="BE660" t="s">
        <v>13042</v>
      </c>
      <c r="BF660" t="str">
        <f>HYPERLINK("http://dx.doi.org/10.1111/gcb.16331","http://dx.doi.org/10.1111/gcb.16331")</f>
        <v>http://dx.doi.org/10.1111/gcb.16331</v>
      </c>
      <c r="BG660" t="s">
        <v>74</v>
      </c>
      <c r="BH660" t="s">
        <v>12326</v>
      </c>
      <c r="BI660">
        <v>16</v>
      </c>
      <c r="BJ660" t="s">
        <v>3785</v>
      </c>
      <c r="BK660" t="s">
        <v>100</v>
      </c>
      <c r="BL660" t="s">
        <v>1170</v>
      </c>
      <c r="BM660" t="s">
        <v>13043</v>
      </c>
      <c r="BN660">
        <v>35795907</v>
      </c>
      <c r="BO660" t="s">
        <v>11985</v>
      </c>
      <c r="BP660" t="s">
        <v>74</v>
      </c>
      <c r="BQ660" t="s">
        <v>74</v>
      </c>
      <c r="BR660" t="s">
        <v>103</v>
      </c>
      <c r="BS660" t="s">
        <v>13044</v>
      </c>
      <c r="BT660" t="str">
        <f>HYPERLINK("https%3A%2F%2Fwww.webofscience.com%2Fwos%2Fwoscc%2Ffull-record%2FWOS:000829269100001","View Full Record in Web of Science")</f>
        <v>View Full Record in Web of Science</v>
      </c>
    </row>
    <row r="661" spans="1:72" x14ac:dyDescent="0.15">
      <c r="A661" t="s">
        <v>72</v>
      </c>
      <c r="B661" t="s">
        <v>13045</v>
      </c>
      <c r="C661" t="s">
        <v>74</v>
      </c>
      <c r="D661" t="s">
        <v>74</v>
      </c>
      <c r="E661" t="s">
        <v>74</v>
      </c>
      <c r="F661" t="s">
        <v>13046</v>
      </c>
      <c r="G661" t="s">
        <v>74</v>
      </c>
      <c r="H661" t="s">
        <v>74</v>
      </c>
      <c r="I661" t="s">
        <v>13047</v>
      </c>
      <c r="J661" t="s">
        <v>2265</v>
      </c>
      <c r="K661" t="s">
        <v>74</v>
      </c>
      <c r="L661" t="s">
        <v>74</v>
      </c>
      <c r="M661" t="s">
        <v>78</v>
      </c>
      <c r="N661" t="s">
        <v>79</v>
      </c>
      <c r="O661" t="s">
        <v>74</v>
      </c>
      <c r="P661" t="s">
        <v>74</v>
      </c>
      <c r="Q661" t="s">
        <v>74</v>
      </c>
      <c r="R661" t="s">
        <v>74</v>
      </c>
      <c r="S661" t="s">
        <v>74</v>
      </c>
      <c r="T661" t="s">
        <v>13048</v>
      </c>
      <c r="U661" t="s">
        <v>13049</v>
      </c>
      <c r="V661" t="s">
        <v>13050</v>
      </c>
      <c r="W661" t="s">
        <v>13051</v>
      </c>
      <c r="X661" t="s">
        <v>6535</v>
      </c>
      <c r="Y661" t="s">
        <v>6098</v>
      </c>
      <c r="Z661" t="s">
        <v>6099</v>
      </c>
      <c r="AA661" t="s">
        <v>13052</v>
      </c>
      <c r="AB661" t="s">
        <v>13053</v>
      </c>
      <c r="AC661" t="s">
        <v>13054</v>
      </c>
      <c r="AD661" t="s">
        <v>13055</v>
      </c>
      <c r="AE661" t="s">
        <v>13056</v>
      </c>
      <c r="AF661" t="s">
        <v>74</v>
      </c>
      <c r="AG661">
        <v>155</v>
      </c>
      <c r="AH661">
        <v>1</v>
      </c>
      <c r="AI661">
        <v>1</v>
      </c>
      <c r="AJ661">
        <v>9</v>
      </c>
      <c r="AK661">
        <v>25</v>
      </c>
      <c r="AL661" t="s">
        <v>2275</v>
      </c>
      <c r="AM661" t="s">
        <v>90</v>
      </c>
      <c r="AN661" t="s">
        <v>2276</v>
      </c>
      <c r="AO661" t="s">
        <v>2277</v>
      </c>
      <c r="AP661" t="s">
        <v>2278</v>
      </c>
      <c r="AQ661" t="s">
        <v>74</v>
      </c>
      <c r="AR661" t="s">
        <v>2279</v>
      </c>
      <c r="AS661" t="s">
        <v>2280</v>
      </c>
      <c r="AT661" t="s">
        <v>3605</v>
      </c>
      <c r="AU661">
        <v>2022</v>
      </c>
      <c r="AV661">
        <v>182</v>
      </c>
      <c r="AW661" t="s">
        <v>74</v>
      </c>
      <c r="AX661" t="s">
        <v>74</v>
      </c>
      <c r="AY661" t="s">
        <v>74</v>
      </c>
      <c r="AZ661" t="s">
        <v>74</v>
      </c>
      <c r="BA661" t="s">
        <v>74</v>
      </c>
      <c r="BB661" t="s">
        <v>74</v>
      </c>
      <c r="BC661" t="s">
        <v>74</v>
      </c>
      <c r="BD661">
        <v>113957</v>
      </c>
      <c r="BE661" t="s">
        <v>13057</v>
      </c>
      <c r="BF661" t="str">
        <f>HYPERLINK("http://dx.doi.org/10.1016/j.marpolbul.2022.113957","http://dx.doi.org/10.1016/j.marpolbul.2022.113957")</f>
        <v>http://dx.doi.org/10.1016/j.marpolbul.2022.113957</v>
      </c>
      <c r="BG661" t="s">
        <v>74</v>
      </c>
      <c r="BH661" t="s">
        <v>12326</v>
      </c>
      <c r="BI661">
        <v>14</v>
      </c>
      <c r="BJ661" t="s">
        <v>263</v>
      </c>
      <c r="BK661" t="s">
        <v>100</v>
      </c>
      <c r="BL661" t="s">
        <v>264</v>
      </c>
      <c r="BM661" t="s">
        <v>13058</v>
      </c>
      <c r="BN661">
        <v>35872476</v>
      </c>
      <c r="BO661" t="s">
        <v>3327</v>
      </c>
      <c r="BP661" t="s">
        <v>74</v>
      </c>
      <c r="BQ661" t="s">
        <v>74</v>
      </c>
      <c r="BR661" t="s">
        <v>103</v>
      </c>
      <c r="BS661" t="s">
        <v>13059</v>
      </c>
      <c r="BT661" t="str">
        <f>HYPERLINK("https%3A%2F%2Fwww.webofscience.com%2Fwos%2Fwoscc%2Ffull-record%2FWOS:000854057700010","View Full Record in Web of Science")</f>
        <v>View Full Record in Web of Science</v>
      </c>
    </row>
    <row r="662" spans="1:72" x14ac:dyDescent="0.15">
      <c r="A662" t="s">
        <v>72</v>
      </c>
      <c r="B662" t="s">
        <v>13060</v>
      </c>
      <c r="C662" t="s">
        <v>74</v>
      </c>
      <c r="D662" t="s">
        <v>74</v>
      </c>
      <c r="E662" t="s">
        <v>74</v>
      </c>
      <c r="F662" t="s">
        <v>13061</v>
      </c>
      <c r="G662" t="s">
        <v>74</v>
      </c>
      <c r="H662" t="s">
        <v>74</v>
      </c>
      <c r="I662" t="s">
        <v>13062</v>
      </c>
      <c r="J662" t="s">
        <v>2265</v>
      </c>
      <c r="K662" t="s">
        <v>74</v>
      </c>
      <c r="L662" t="s">
        <v>74</v>
      </c>
      <c r="M662" t="s">
        <v>78</v>
      </c>
      <c r="N662" t="s">
        <v>79</v>
      </c>
      <c r="O662" t="s">
        <v>74</v>
      </c>
      <c r="P662" t="s">
        <v>74</v>
      </c>
      <c r="Q662" t="s">
        <v>74</v>
      </c>
      <c r="R662" t="s">
        <v>74</v>
      </c>
      <c r="S662" t="s">
        <v>74</v>
      </c>
      <c r="T662" t="s">
        <v>13063</v>
      </c>
      <c r="U662" t="s">
        <v>13064</v>
      </c>
      <c r="V662" t="s">
        <v>13065</v>
      </c>
      <c r="W662" t="s">
        <v>13066</v>
      </c>
      <c r="X662" t="s">
        <v>13067</v>
      </c>
      <c r="Y662" t="s">
        <v>13068</v>
      </c>
      <c r="Z662" t="s">
        <v>13069</v>
      </c>
      <c r="AA662" t="s">
        <v>13070</v>
      </c>
      <c r="AB662" t="s">
        <v>13071</v>
      </c>
      <c r="AC662" t="s">
        <v>13072</v>
      </c>
      <c r="AD662" t="s">
        <v>13073</v>
      </c>
      <c r="AE662" t="s">
        <v>13074</v>
      </c>
      <c r="AF662" t="s">
        <v>74</v>
      </c>
      <c r="AG662">
        <v>60</v>
      </c>
      <c r="AH662">
        <v>3</v>
      </c>
      <c r="AI662">
        <v>3</v>
      </c>
      <c r="AJ662">
        <v>3</v>
      </c>
      <c r="AK662">
        <v>27</v>
      </c>
      <c r="AL662" t="s">
        <v>2275</v>
      </c>
      <c r="AM662" t="s">
        <v>90</v>
      </c>
      <c r="AN662" t="s">
        <v>2276</v>
      </c>
      <c r="AO662" t="s">
        <v>2277</v>
      </c>
      <c r="AP662" t="s">
        <v>2278</v>
      </c>
      <c r="AQ662" t="s">
        <v>74</v>
      </c>
      <c r="AR662" t="s">
        <v>2279</v>
      </c>
      <c r="AS662" t="s">
        <v>2280</v>
      </c>
      <c r="AT662" t="s">
        <v>3605</v>
      </c>
      <c r="AU662">
        <v>2022</v>
      </c>
      <c r="AV662">
        <v>182</v>
      </c>
      <c r="AW662" t="s">
        <v>74</v>
      </c>
      <c r="AX662" t="s">
        <v>74</v>
      </c>
      <c r="AY662" t="s">
        <v>74</v>
      </c>
      <c r="AZ662" t="s">
        <v>74</v>
      </c>
      <c r="BA662" t="s">
        <v>74</v>
      </c>
      <c r="BB662" t="s">
        <v>74</v>
      </c>
      <c r="BC662" t="s">
        <v>74</v>
      </c>
      <c r="BD662">
        <v>113963</v>
      </c>
      <c r="BE662" t="s">
        <v>13075</v>
      </c>
      <c r="BF662" t="str">
        <f>HYPERLINK("http://dx.doi.org/10.1016/j.marpolbul.2022.113963","http://dx.doi.org/10.1016/j.marpolbul.2022.113963")</f>
        <v>http://dx.doi.org/10.1016/j.marpolbul.2022.113963</v>
      </c>
      <c r="BG662" t="s">
        <v>74</v>
      </c>
      <c r="BH662" t="s">
        <v>12326</v>
      </c>
      <c r="BI662">
        <v>8</v>
      </c>
      <c r="BJ662" t="s">
        <v>263</v>
      </c>
      <c r="BK662" t="s">
        <v>100</v>
      </c>
      <c r="BL662" t="s">
        <v>264</v>
      </c>
      <c r="BM662" t="s">
        <v>13076</v>
      </c>
      <c r="BN662">
        <v>35878477</v>
      </c>
      <c r="BO662" t="s">
        <v>74</v>
      </c>
      <c r="BP662" t="s">
        <v>74</v>
      </c>
      <c r="BQ662" t="s">
        <v>74</v>
      </c>
      <c r="BR662" t="s">
        <v>103</v>
      </c>
      <c r="BS662" t="s">
        <v>13077</v>
      </c>
      <c r="BT662" t="str">
        <f>HYPERLINK("https%3A%2F%2Fwww.webofscience.com%2Fwos%2Fwoscc%2Ffull-record%2FWOS:000843012200009","View Full Record in Web of Science")</f>
        <v>View Full Record in Web of Science</v>
      </c>
    </row>
    <row r="663" spans="1:72" x14ac:dyDescent="0.15">
      <c r="A663" t="s">
        <v>72</v>
      </c>
      <c r="B663" t="s">
        <v>13078</v>
      </c>
      <c r="C663" t="s">
        <v>74</v>
      </c>
      <c r="D663" t="s">
        <v>74</v>
      </c>
      <c r="E663" t="s">
        <v>74</v>
      </c>
      <c r="F663" t="s">
        <v>13079</v>
      </c>
      <c r="G663" t="s">
        <v>74</v>
      </c>
      <c r="H663" t="s">
        <v>74</v>
      </c>
      <c r="I663" t="s">
        <v>13080</v>
      </c>
      <c r="J663" t="s">
        <v>247</v>
      </c>
      <c r="K663" t="s">
        <v>74</v>
      </c>
      <c r="L663" t="s">
        <v>74</v>
      </c>
      <c r="M663" t="s">
        <v>78</v>
      </c>
      <c r="N663" t="s">
        <v>79</v>
      </c>
      <c r="O663" t="s">
        <v>74</v>
      </c>
      <c r="P663" t="s">
        <v>74</v>
      </c>
      <c r="Q663" t="s">
        <v>74</v>
      </c>
      <c r="R663" t="s">
        <v>74</v>
      </c>
      <c r="S663" t="s">
        <v>74</v>
      </c>
      <c r="T663" t="s">
        <v>13081</v>
      </c>
      <c r="U663" t="s">
        <v>13082</v>
      </c>
      <c r="V663" t="s">
        <v>13083</v>
      </c>
      <c r="W663" t="s">
        <v>13084</v>
      </c>
      <c r="X663" t="s">
        <v>13085</v>
      </c>
      <c r="Y663" t="s">
        <v>13086</v>
      </c>
      <c r="Z663" t="s">
        <v>13087</v>
      </c>
      <c r="AA663" t="s">
        <v>13088</v>
      </c>
      <c r="AB663" t="s">
        <v>13089</v>
      </c>
      <c r="AC663" t="s">
        <v>13090</v>
      </c>
      <c r="AD663" t="s">
        <v>13091</v>
      </c>
      <c r="AE663" t="s">
        <v>13092</v>
      </c>
      <c r="AF663" t="s">
        <v>74</v>
      </c>
      <c r="AG663">
        <v>87</v>
      </c>
      <c r="AH663">
        <v>9</v>
      </c>
      <c r="AI663">
        <v>11</v>
      </c>
      <c r="AJ663">
        <v>8</v>
      </c>
      <c r="AK663">
        <v>28</v>
      </c>
      <c r="AL663" t="s">
        <v>121</v>
      </c>
      <c r="AM663" t="s">
        <v>122</v>
      </c>
      <c r="AN663" t="s">
        <v>123</v>
      </c>
      <c r="AO663" t="s">
        <v>74</v>
      </c>
      <c r="AP663" t="s">
        <v>258</v>
      </c>
      <c r="AQ663" t="s">
        <v>74</v>
      </c>
      <c r="AR663" t="s">
        <v>259</v>
      </c>
      <c r="AS663" t="s">
        <v>260</v>
      </c>
      <c r="AT663" t="s">
        <v>13093</v>
      </c>
      <c r="AU663">
        <v>2022</v>
      </c>
      <c r="AV663">
        <v>9</v>
      </c>
      <c r="AW663" t="s">
        <v>74</v>
      </c>
      <c r="AX663" t="s">
        <v>74</v>
      </c>
      <c r="AY663" t="s">
        <v>74</v>
      </c>
      <c r="AZ663" t="s">
        <v>74</v>
      </c>
      <c r="BA663" t="s">
        <v>74</v>
      </c>
      <c r="BB663" t="s">
        <v>74</v>
      </c>
      <c r="BC663" t="s">
        <v>74</v>
      </c>
      <c r="BD663">
        <v>802535</v>
      </c>
      <c r="BE663" t="s">
        <v>13094</v>
      </c>
      <c r="BF663" t="str">
        <f>HYPERLINK("http://dx.doi.org/10.3389/fmars.2022.802535","http://dx.doi.org/10.3389/fmars.2022.802535")</f>
        <v>http://dx.doi.org/10.3389/fmars.2022.802535</v>
      </c>
      <c r="BG663" t="s">
        <v>74</v>
      </c>
      <c r="BH663" t="s">
        <v>74</v>
      </c>
      <c r="BI663">
        <v>14</v>
      </c>
      <c r="BJ663" t="s">
        <v>263</v>
      </c>
      <c r="BK663" t="s">
        <v>100</v>
      </c>
      <c r="BL663" t="s">
        <v>264</v>
      </c>
      <c r="BM663" t="s">
        <v>13095</v>
      </c>
      <c r="BN663" t="s">
        <v>74</v>
      </c>
      <c r="BO663" t="s">
        <v>266</v>
      </c>
      <c r="BP663" t="s">
        <v>74</v>
      </c>
      <c r="BQ663" t="s">
        <v>74</v>
      </c>
      <c r="BR663" t="s">
        <v>103</v>
      </c>
      <c r="BS663" t="s">
        <v>13096</v>
      </c>
      <c r="BT663" t="str">
        <f>HYPERLINK("https%3A%2F%2Fwww.webofscience.com%2Fwos%2Fwoscc%2Ffull-record%2FWOS:000837258300001","View Full Record in Web of Science")</f>
        <v>View Full Record in Web of Science</v>
      </c>
    </row>
    <row r="664" spans="1:72" x14ac:dyDescent="0.15">
      <c r="A664" t="s">
        <v>72</v>
      </c>
      <c r="B664" t="s">
        <v>13097</v>
      </c>
      <c r="C664" t="s">
        <v>74</v>
      </c>
      <c r="D664" t="s">
        <v>74</v>
      </c>
      <c r="E664" t="s">
        <v>74</v>
      </c>
      <c r="F664" t="s">
        <v>13098</v>
      </c>
      <c r="G664" t="s">
        <v>74</v>
      </c>
      <c r="H664" t="s">
        <v>74</v>
      </c>
      <c r="I664" t="s">
        <v>13099</v>
      </c>
      <c r="J664" t="s">
        <v>247</v>
      </c>
      <c r="K664" t="s">
        <v>74</v>
      </c>
      <c r="L664" t="s">
        <v>74</v>
      </c>
      <c r="M664" t="s">
        <v>78</v>
      </c>
      <c r="N664" t="s">
        <v>165</v>
      </c>
      <c r="O664" t="s">
        <v>74</v>
      </c>
      <c r="P664" t="s">
        <v>74</v>
      </c>
      <c r="Q664" t="s">
        <v>74</v>
      </c>
      <c r="R664" t="s">
        <v>74</v>
      </c>
      <c r="S664" t="s">
        <v>74</v>
      </c>
      <c r="T664" t="s">
        <v>13100</v>
      </c>
      <c r="U664" t="s">
        <v>13101</v>
      </c>
      <c r="V664" t="s">
        <v>13102</v>
      </c>
      <c r="W664" t="s">
        <v>13103</v>
      </c>
      <c r="X664" t="s">
        <v>13104</v>
      </c>
      <c r="Y664" t="s">
        <v>13105</v>
      </c>
      <c r="Z664" t="s">
        <v>13106</v>
      </c>
      <c r="AA664" t="s">
        <v>13107</v>
      </c>
      <c r="AB664" t="s">
        <v>13108</v>
      </c>
      <c r="AC664" t="s">
        <v>13109</v>
      </c>
      <c r="AD664" t="s">
        <v>13110</v>
      </c>
      <c r="AE664" t="s">
        <v>13111</v>
      </c>
      <c r="AF664" t="s">
        <v>74</v>
      </c>
      <c r="AG664">
        <v>112</v>
      </c>
      <c r="AH664">
        <v>3</v>
      </c>
      <c r="AI664">
        <v>3</v>
      </c>
      <c r="AJ664">
        <v>1</v>
      </c>
      <c r="AK664">
        <v>14</v>
      </c>
      <c r="AL664" t="s">
        <v>121</v>
      </c>
      <c r="AM664" t="s">
        <v>122</v>
      </c>
      <c r="AN664" t="s">
        <v>123</v>
      </c>
      <c r="AO664" t="s">
        <v>74</v>
      </c>
      <c r="AP664" t="s">
        <v>258</v>
      </c>
      <c r="AQ664" t="s">
        <v>74</v>
      </c>
      <c r="AR664" t="s">
        <v>259</v>
      </c>
      <c r="AS664" t="s">
        <v>260</v>
      </c>
      <c r="AT664" t="s">
        <v>13093</v>
      </c>
      <c r="AU664">
        <v>2022</v>
      </c>
      <c r="AV664">
        <v>9</v>
      </c>
      <c r="AW664" t="s">
        <v>74</v>
      </c>
      <c r="AX664" t="s">
        <v>74</v>
      </c>
      <c r="AY664" t="s">
        <v>74</v>
      </c>
      <c r="AZ664" t="s">
        <v>74</v>
      </c>
      <c r="BA664" t="s">
        <v>74</v>
      </c>
      <c r="BB664" t="s">
        <v>74</v>
      </c>
      <c r="BC664" t="s">
        <v>74</v>
      </c>
      <c r="BD664">
        <v>929436</v>
      </c>
      <c r="BE664" t="s">
        <v>13112</v>
      </c>
      <c r="BF664" t="str">
        <f>HYPERLINK("http://dx.doi.org/10.3389/fmars.2022.929436","http://dx.doi.org/10.3389/fmars.2022.929436")</f>
        <v>http://dx.doi.org/10.3389/fmars.2022.929436</v>
      </c>
      <c r="BG664" t="s">
        <v>74</v>
      </c>
      <c r="BH664" t="s">
        <v>74</v>
      </c>
      <c r="BI664">
        <v>16</v>
      </c>
      <c r="BJ664" t="s">
        <v>263</v>
      </c>
      <c r="BK664" t="s">
        <v>100</v>
      </c>
      <c r="BL664" t="s">
        <v>264</v>
      </c>
      <c r="BM664" t="s">
        <v>13113</v>
      </c>
      <c r="BN664" t="s">
        <v>74</v>
      </c>
      <c r="BO664" t="s">
        <v>374</v>
      </c>
      <c r="BP664" t="s">
        <v>74</v>
      </c>
      <c r="BQ664" t="s">
        <v>74</v>
      </c>
      <c r="BR664" t="s">
        <v>103</v>
      </c>
      <c r="BS664" t="s">
        <v>13114</v>
      </c>
      <c r="BT664" t="str">
        <f>HYPERLINK("https%3A%2F%2Fwww.webofscience.com%2Fwos%2Fwoscc%2Ffull-record%2FWOS:000837408500001","View Full Record in Web of Science")</f>
        <v>View Full Record in Web of Science</v>
      </c>
    </row>
    <row r="665" spans="1:72" x14ac:dyDescent="0.15">
      <c r="A665" t="s">
        <v>72</v>
      </c>
      <c r="B665" t="s">
        <v>13115</v>
      </c>
      <c r="C665" t="s">
        <v>74</v>
      </c>
      <c r="D665" t="s">
        <v>74</v>
      </c>
      <c r="E665" t="s">
        <v>74</v>
      </c>
      <c r="F665" t="s">
        <v>13116</v>
      </c>
      <c r="G665" t="s">
        <v>74</v>
      </c>
      <c r="H665" t="s">
        <v>74</v>
      </c>
      <c r="I665" t="s">
        <v>13117</v>
      </c>
      <c r="J665" t="s">
        <v>247</v>
      </c>
      <c r="K665" t="s">
        <v>74</v>
      </c>
      <c r="L665" t="s">
        <v>74</v>
      </c>
      <c r="M665" t="s">
        <v>78</v>
      </c>
      <c r="N665" t="s">
        <v>79</v>
      </c>
      <c r="O665" t="s">
        <v>74</v>
      </c>
      <c r="P665" t="s">
        <v>74</v>
      </c>
      <c r="Q665" t="s">
        <v>74</v>
      </c>
      <c r="R665" t="s">
        <v>74</v>
      </c>
      <c r="S665" t="s">
        <v>74</v>
      </c>
      <c r="T665" t="s">
        <v>13118</v>
      </c>
      <c r="U665" t="s">
        <v>13119</v>
      </c>
      <c r="V665" t="s">
        <v>13120</v>
      </c>
      <c r="W665" t="s">
        <v>13121</v>
      </c>
      <c r="X665" t="s">
        <v>13122</v>
      </c>
      <c r="Y665" t="s">
        <v>13123</v>
      </c>
      <c r="Z665" t="s">
        <v>13124</v>
      </c>
      <c r="AA665" t="s">
        <v>74</v>
      </c>
      <c r="AB665" t="s">
        <v>13125</v>
      </c>
      <c r="AC665" t="s">
        <v>13126</v>
      </c>
      <c r="AD665" t="s">
        <v>13127</v>
      </c>
      <c r="AE665" t="s">
        <v>13128</v>
      </c>
      <c r="AF665" t="s">
        <v>74</v>
      </c>
      <c r="AG665">
        <v>55</v>
      </c>
      <c r="AH665">
        <v>0</v>
      </c>
      <c r="AI665">
        <v>0</v>
      </c>
      <c r="AJ665">
        <v>3</v>
      </c>
      <c r="AK665">
        <v>20</v>
      </c>
      <c r="AL665" t="s">
        <v>121</v>
      </c>
      <c r="AM665" t="s">
        <v>122</v>
      </c>
      <c r="AN665" t="s">
        <v>123</v>
      </c>
      <c r="AO665" t="s">
        <v>74</v>
      </c>
      <c r="AP665" t="s">
        <v>258</v>
      </c>
      <c r="AQ665" t="s">
        <v>74</v>
      </c>
      <c r="AR665" t="s">
        <v>259</v>
      </c>
      <c r="AS665" t="s">
        <v>260</v>
      </c>
      <c r="AT665" t="s">
        <v>13093</v>
      </c>
      <c r="AU665">
        <v>2022</v>
      </c>
      <c r="AV665">
        <v>9</v>
      </c>
      <c r="AW665" t="s">
        <v>74</v>
      </c>
      <c r="AX665" t="s">
        <v>74</v>
      </c>
      <c r="AY665" t="s">
        <v>74</v>
      </c>
      <c r="AZ665" t="s">
        <v>74</v>
      </c>
      <c r="BA665" t="s">
        <v>74</v>
      </c>
      <c r="BB665" t="s">
        <v>74</v>
      </c>
      <c r="BC665" t="s">
        <v>74</v>
      </c>
      <c r="BD665">
        <v>881306</v>
      </c>
      <c r="BE665" t="s">
        <v>13129</v>
      </c>
      <c r="BF665" t="str">
        <f>HYPERLINK("http://dx.doi.org/10.3389/fmars.2022.881306","http://dx.doi.org/10.3389/fmars.2022.881306")</f>
        <v>http://dx.doi.org/10.3389/fmars.2022.881306</v>
      </c>
      <c r="BG665" t="s">
        <v>74</v>
      </c>
      <c r="BH665" t="s">
        <v>74</v>
      </c>
      <c r="BI665">
        <v>9</v>
      </c>
      <c r="BJ665" t="s">
        <v>263</v>
      </c>
      <c r="BK665" t="s">
        <v>100</v>
      </c>
      <c r="BL665" t="s">
        <v>264</v>
      </c>
      <c r="BM665" t="s">
        <v>13130</v>
      </c>
      <c r="BN665" t="s">
        <v>74</v>
      </c>
      <c r="BO665" t="s">
        <v>266</v>
      </c>
      <c r="BP665" t="s">
        <v>74</v>
      </c>
      <c r="BQ665" t="s">
        <v>74</v>
      </c>
      <c r="BR665" t="s">
        <v>103</v>
      </c>
      <c r="BS665" t="s">
        <v>13131</v>
      </c>
      <c r="BT665" t="str">
        <f>HYPERLINK("https%3A%2F%2Fwww.webofscience.com%2Fwos%2Fwoscc%2Ffull-record%2FWOS:000837246500001","View Full Record in Web of Science")</f>
        <v>View Full Record in Web of Science</v>
      </c>
    </row>
    <row r="666" spans="1:72" x14ac:dyDescent="0.15">
      <c r="A666" t="s">
        <v>72</v>
      </c>
      <c r="B666" t="s">
        <v>13132</v>
      </c>
      <c r="C666" t="s">
        <v>74</v>
      </c>
      <c r="D666" t="s">
        <v>74</v>
      </c>
      <c r="E666" t="s">
        <v>74</v>
      </c>
      <c r="F666" t="s">
        <v>13133</v>
      </c>
      <c r="G666" t="s">
        <v>74</v>
      </c>
      <c r="H666" t="s">
        <v>74</v>
      </c>
      <c r="I666" t="s">
        <v>13134</v>
      </c>
      <c r="J666" t="s">
        <v>5194</v>
      </c>
      <c r="K666" t="s">
        <v>74</v>
      </c>
      <c r="L666" t="s">
        <v>74</v>
      </c>
      <c r="M666" t="s">
        <v>78</v>
      </c>
      <c r="N666" t="s">
        <v>79</v>
      </c>
      <c r="O666" t="s">
        <v>74</v>
      </c>
      <c r="P666" t="s">
        <v>74</v>
      </c>
      <c r="Q666" t="s">
        <v>74</v>
      </c>
      <c r="R666" t="s">
        <v>74</v>
      </c>
      <c r="S666" t="s">
        <v>74</v>
      </c>
      <c r="T666" t="s">
        <v>13135</v>
      </c>
      <c r="U666" t="s">
        <v>13136</v>
      </c>
      <c r="V666" t="s">
        <v>13137</v>
      </c>
      <c r="W666" t="s">
        <v>13138</v>
      </c>
      <c r="X666" t="s">
        <v>13139</v>
      </c>
      <c r="Y666" t="s">
        <v>13140</v>
      </c>
      <c r="Z666" t="s">
        <v>13141</v>
      </c>
      <c r="AA666" t="s">
        <v>13142</v>
      </c>
      <c r="AB666" t="s">
        <v>13143</v>
      </c>
      <c r="AC666" t="s">
        <v>13144</v>
      </c>
      <c r="AD666" t="s">
        <v>13145</v>
      </c>
      <c r="AE666" t="s">
        <v>13146</v>
      </c>
      <c r="AF666" t="s">
        <v>74</v>
      </c>
      <c r="AG666">
        <v>119</v>
      </c>
      <c r="AH666">
        <v>9</v>
      </c>
      <c r="AI666">
        <v>9</v>
      </c>
      <c r="AJ666">
        <v>2</v>
      </c>
      <c r="AK666">
        <v>23</v>
      </c>
      <c r="AL666" t="s">
        <v>231</v>
      </c>
      <c r="AM666" t="s">
        <v>232</v>
      </c>
      <c r="AN666" t="s">
        <v>233</v>
      </c>
      <c r="AO666" t="s">
        <v>5207</v>
      </c>
      <c r="AP666" t="s">
        <v>5208</v>
      </c>
      <c r="AQ666" t="s">
        <v>74</v>
      </c>
      <c r="AR666" t="s">
        <v>5209</v>
      </c>
      <c r="AS666" t="s">
        <v>5210</v>
      </c>
      <c r="AT666" t="s">
        <v>428</v>
      </c>
      <c r="AU666">
        <v>2022</v>
      </c>
      <c r="AV666">
        <v>28</v>
      </c>
      <c r="AW666">
        <v>20</v>
      </c>
      <c r="AX666" t="s">
        <v>74</v>
      </c>
      <c r="AY666" t="s">
        <v>74</v>
      </c>
      <c r="AZ666" t="s">
        <v>74</v>
      </c>
      <c r="BA666" t="s">
        <v>74</v>
      </c>
      <c r="BB666">
        <v>5914</v>
      </c>
      <c r="BC666">
        <v>5927</v>
      </c>
      <c r="BD666" t="s">
        <v>74</v>
      </c>
      <c r="BE666" t="s">
        <v>13147</v>
      </c>
      <c r="BF666" t="str">
        <f>HYPERLINK("http://dx.doi.org/10.1111/gcb.16338","http://dx.doi.org/10.1111/gcb.16338")</f>
        <v>http://dx.doi.org/10.1111/gcb.16338</v>
      </c>
      <c r="BG666" t="s">
        <v>74</v>
      </c>
      <c r="BH666" t="s">
        <v>12326</v>
      </c>
      <c r="BI666">
        <v>14</v>
      </c>
      <c r="BJ666" t="s">
        <v>3785</v>
      </c>
      <c r="BK666" t="s">
        <v>100</v>
      </c>
      <c r="BL666" t="s">
        <v>1170</v>
      </c>
      <c r="BM666" t="s">
        <v>13043</v>
      </c>
      <c r="BN666">
        <v>35811569</v>
      </c>
      <c r="BO666" t="s">
        <v>3952</v>
      </c>
      <c r="BP666" t="s">
        <v>74</v>
      </c>
      <c r="BQ666" t="s">
        <v>74</v>
      </c>
      <c r="BR666" t="s">
        <v>103</v>
      </c>
      <c r="BS666" t="s">
        <v>13148</v>
      </c>
      <c r="BT666" t="str">
        <f>HYPERLINK("https%3A%2F%2Fwww.webofscience.com%2Fwos%2Fwoscc%2Ffull-record%2FWOS:000828903200001","View Full Record in Web of Science")</f>
        <v>View Full Record in Web of Science</v>
      </c>
    </row>
    <row r="667" spans="1:72" x14ac:dyDescent="0.15">
      <c r="A667" t="s">
        <v>72</v>
      </c>
      <c r="B667" t="s">
        <v>13149</v>
      </c>
      <c r="C667" t="s">
        <v>74</v>
      </c>
      <c r="D667" t="s">
        <v>74</v>
      </c>
      <c r="E667" t="s">
        <v>74</v>
      </c>
      <c r="F667" t="s">
        <v>13150</v>
      </c>
      <c r="G667" t="s">
        <v>74</v>
      </c>
      <c r="H667" t="s">
        <v>74</v>
      </c>
      <c r="I667" t="s">
        <v>13151</v>
      </c>
      <c r="J667" t="s">
        <v>3244</v>
      </c>
      <c r="K667" t="s">
        <v>74</v>
      </c>
      <c r="L667" t="s">
        <v>74</v>
      </c>
      <c r="M667" t="s">
        <v>78</v>
      </c>
      <c r="N667" t="s">
        <v>79</v>
      </c>
      <c r="O667" t="s">
        <v>74</v>
      </c>
      <c r="P667" t="s">
        <v>74</v>
      </c>
      <c r="Q667" t="s">
        <v>74</v>
      </c>
      <c r="R667" t="s">
        <v>74</v>
      </c>
      <c r="S667" t="s">
        <v>74</v>
      </c>
      <c r="T667" t="s">
        <v>74</v>
      </c>
      <c r="U667" t="s">
        <v>13152</v>
      </c>
      <c r="V667" t="s">
        <v>13153</v>
      </c>
      <c r="W667" t="s">
        <v>13154</v>
      </c>
      <c r="X667" t="s">
        <v>13155</v>
      </c>
      <c r="Y667" t="s">
        <v>13156</v>
      </c>
      <c r="Z667" t="s">
        <v>13157</v>
      </c>
      <c r="AA667" t="s">
        <v>13158</v>
      </c>
      <c r="AB667" t="s">
        <v>13159</v>
      </c>
      <c r="AC667" t="s">
        <v>13160</v>
      </c>
      <c r="AD667" t="s">
        <v>13161</v>
      </c>
      <c r="AE667" t="s">
        <v>13162</v>
      </c>
      <c r="AF667" t="s">
        <v>74</v>
      </c>
      <c r="AG667">
        <v>128</v>
      </c>
      <c r="AH667">
        <v>9</v>
      </c>
      <c r="AI667">
        <v>10</v>
      </c>
      <c r="AJ667">
        <v>0</v>
      </c>
      <c r="AK667">
        <v>11</v>
      </c>
      <c r="AL667" t="s">
        <v>2460</v>
      </c>
      <c r="AM667" t="s">
        <v>2461</v>
      </c>
      <c r="AN667" t="s">
        <v>2462</v>
      </c>
      <c r="AO667" t="s">
        <v>3256</v>
      </c>
      <c r="AP667" t="s">
        <v>3257</v>
      </c>
      <c r="AQ667" t="s">
        <v>74</v>
      </c>
      <c r="AR667" t="s">
        <v>3258</v>
      </c>
      <c r="AS667" t="s">
        <v>3259</v>
      </c>
      <c r="AT667" t="s">
        <v>13093</v>
      </c>
      <c r="AU667">
        <v>2022</v>
      </c>
      <c r="AV667">
        <v>22</v>
      </c>
      <c r="AW667">
        <v>14</v>
      </c>
      <c r="AX667" t="s">
        <v>74</v>
      </c>
      <c r="AY667" t="s">
        <v>74</v>
      </c>
      <c r="AZ667" t="s">
        <v>74</v>
      </c>
      <c r="BA667" t="s">
        <v>74</v>
      </c>
      <c r="BB667">
        <v>9435</v>
      </c>
      <c r="BC667">
        <v>9459</v>
      </c>
      <c r="BD667" t="s">
        <v>74</v>
      </c>
      <c r="BE667" t="s">
        <v>13163</v>
      </c>
      <c r="BF667" t="str">
        <f>HYPERLINK("http://dx.doi.org/10.5194/acp-22-9435-2022","http://dx.doi.org/10.5194/acp-22-9435-2022")</f>
        <v>http://dx.doi.org/10.5194/acp-22-9435-2022</v>
      </c>
      <c r="BG667" t="s">
        <v>74</v>
      </c>
      <c r="BH667" t="s">
        <v>74</v>
      </c>
      <c r="BI667">
        <v>25</v>
      </c>
      <c r="BJ667" t="s">
        <v>1129</v>
      </c>
      <c r="BK667" t="s">
        <v>100</v>
      </c>
      <c r="BL667" t="s">
        <v>1130</v>
      </c>
      <c r="BM667" t="s">
        <v>13164</v>
      </c>
      <c r="BN667" t="s">
        <v>74</v>
      </c>
      <c r="BO667" t="s">
        <v>483</v>
      </c>
      <c r="BP667" t="s">
        <v>74</v>
      </c>
      <c r="BQ667" t="s">
        <v>74</v>
      </c>
      <c r="BR667" t="s">
        <v>103</v>
      </c>
      <c r="BS667" t="s">
        <v>13165</v>
      </c>
      <c r="BT667" t="str">
        <f>HYPERLINK("https%3A%2F%2Fwww.webofscience.com%2Fwos%2Fwoscc%2Ffull-record%2FWOS:000828645800001","View Full Record in Web of Science")</f>
        <v>View Full Record in Web of Science</v>
      </c>
    </row>
    <row r="668" spans="1:72" x14ac:dyDescent="0.15">
      <c r="A668" t="s">
        <v>72</v>
      </c>
      <c r="B668" t="s">
        <v>13166</v>
      </c>
      <c r="C668" t="s">
        <v>74</v>
      </c>
      <c r="D668" t="s">
        <v>74</v>
      </c>
      <c r="E668" t="s">
        <v>74</v>
      </c>
      <c r="F668" t="s">
        <v>13167</v>
      </c>
      <c r="G668" t="s">
        <v>74</v>
      </c>
      <c r="H668" t="s">
        <v>74</v>
      </c>
      <c r="I668" t="s">
        <v>13168</v>
      </c>
      <c r="J668" t="s">
        <v>2473</v>
      </c>
      <c r="K668" t="s">
        <v>74</v>
      </c>
      <c r="L668" t="s">
        <v>74</v>
      </c>
      <c r="M668" t="s">
        <v>78</v>
      </c>
      <c r="N668" t="s">
        <v>79</v>
      </c>
      <c r="O668" t="s">
        <v>74</v>
      </c>
      <c r="P668" t="s">
        <v>74</v>
      </c>
      <c r="Q668" t="s">
        <v>74</v>
      </c>
      <c r="R668" t="s">
        <v>74</v>
      </c>
      <c r="S668" t="s">
        <v>74</v>
      </c>
      <c r="T668" t="s">
        <v>74</v>
      </c>
      <c r="U668" t="s">
        <v>13169</v>
      </c>
      <c r="V668" t="s">
        <v>13170</v>
      </c>
      <c r="W668" t="s">
        <v>13171</v>
      </c>
      <c r="X668" t="s">
        <v>13172</v>
      </c>
      <c r="Y668" t="s">
        <v>13173</v>
      </c>
      <c r="Z668" t="s">
        <v>13174</v>
      </c>
      <c r="AA668" t="s">
        <v>13175</v>
      </c>
      <c r="AB668" t="s">
        <v>13176</v>
      </c>
      <c r="AC668" t="s">
        <v>13177</v>
      </c>
      <c r="AD668" t="s">
        <v>13178</v>
      </c>
      <c r="AE668" t="s">
        <v>13179</v>
      </c>
      <c r="AF668" t="s">
        <v>74</v>
      </c>
      <c r="AG668">
        <v>88</v>
      </c>
      <c r="AH668">
        <v>6</v>
      </c>
      <c r="AI668">
        <v>7</v>
      </c>
      <c r="AJ668">
        <v>2</v>
      </c>
      <c r="AK668">
        <v>4</v>
      </c>
      <c r="AL668" t="s">
        <v>2460</v>
      </c>
      <c r="AM668" t="s">
        <v>2461</v>
      </c>
      <c r="AN668" t="s">
        <v>2462</v>
      </c>
      <c r="AO668" t="s">
        <v>2485</v>
      </c>
      <c r="AP668" t="s">
        <v>2486</v>
      </c>
      <c r="AQ668" t="s">
        <v>74</v>
      </c>
      <c r="AR668" t="s">
        <v>2473</v>
      </c>
      <c r="AS668" t="s">
        <v>2487</v>
      </c>
      <c r="AT668" t="s">
        <v>13093</v>
      </c>
      <c r="AU668">
        <v>2022</v>
      </c>
      <c r="AV668">
        <v>16</v>
      </c>
      <c r="AW668">
        <v>7</v>
      </c>
      <c r="AX668" t="s">
        <v>74</v>
      </c>
      <c r="AY668" t="s">
        <v>74</v>
      </c>
      <c r="AZ668" t="s">
        <v>74</v>
      </c>
      <c r="BA668" t="s">
        <v>74</v>
      </c>
      <c r="BB668">
        <v>2947</v>
      </c>
      <c r="BC668">
        <v>2966</v>
      </c>
      <c r="BD668" t="s">
        <v>74</v>
      </c>
      <c r="BE668" t="s">
        <v>13180</v>
      </c>
      <c r="BF668" t="str">
        <f>HYPERLINK("http://dx.doi.org/10.5194/tc-16-2947-2022","http://dx.doi.org/10.5194/tc-16-2947-2022")</f>
        <v>http://dx.doi.org/10.5194/tc-16-2947-2022</v>
      </c>
      <c r="BG668" t="s">
        <v>74</v>
      </c>
      <c r="BH668" t="s">
        <v>74</v>
      </c>
      <c r="BI668">
        <v>20</v>
      </c>
      <c r="BJ668" t="s">
        <v>354</v>
      </c>
      <c r="BK668" t="s">
        <v>100</v>
      </c>
      <c r="BL668" t="s">
        <v>241</v>
      </c>
      <c r="BM668" t="s">
        <v>13181</v>
      </c>
      <c r="BN668" t="s">
        <v>74</v>
      </c>
      <c r="BO668" t="s">
        <v>1195</v>
      </c>
      <c r="BP668" t="s">
        <v>74</v>
      </c>
      <c r="BQ668" t="s">
        <v>74</v>
      </c>
      <c r="BR668" t="s">
        <v>103</v>
      </c>
      <c r="BS668" t="s">
        <v>13182</v>
      </c>
      <c r="BT668" t="str">
        <f>HYPERLINK("https%3A%2F%2Fwww.webofscience.com%2Fwos%2Fwoscc%2Ffull-record%2FWOS:000828708500001","View Full Record in Web of Science")</f>
        <v>View Full Record in Web of Science</v>
      </c>
    </row>
    <row r="669" spans="1:72" x14ac:dyDescent="0.15">
      <c r="A669" t="s">
        <v>72</v>
      </c>
      <c r="B669" t="s">
        <v>13183</v>
      </c>
      <c r="C669" t="s">
        <v>74</v>
      </c>
      <c r="D669" t="s">
        <v>74</v>
      </c>
      <c r="E669" t="s">
        <v>74</v>
      </c>
      <c r="F669" t="s">
        <v>13184</v>
      </c>
      <c r="G669" t="s">
        <v>74</v>
      </c>
      <c r="H669" t="s">
        <v>74</v>
      </c>
      <c r="I669" t="s">
        <v>13185</v>
      </c>
      <c r="J669" t="s">
        <v>4327</v>
      </c>
      <c r="K669" t="s">
        <v>74</v>
      </c>
      <c r="L669" t="s">
        <v>74</v>
      </c>
      <c r="M669" t="s">
        <v>78</v>
      </c>
      <c r="N669" t="s">
        <v>79</v>
      </c>
      <c r="O669" t="s">
        <v>74</v>
      </c>
      <c r="P669" t="s">
        <v>74</v>
      </c>
      <c r="Q669" t="s">
        <v>74</v>
      </c>
      <c r="R669" t="s">
        <v>74</v>
      </c>
      <c r="S669" t="s">
        <v>74</v>
      </c>
      <c r="T669" t="s">
        <v>13186</v>
      </c>
      <c r="U669" t="s">
        <v>13187</v>
      </c>
      <c r="V669" t="s">
        <v>13188</v>
      </c>
      <c r="W669" t="s">
        <v>13189</v>
      </c>
      <c r="X669" t="s">
        <v>13190</v>
      </c>
      <c r="Y669" t="s">
        <v>13191</v>
      </c>
      <c r="Z669" t="s">
        <v>13192</v>
      </c>
      <c r="AA669" t="s">
        <v>13193</v>
      </c>
      <c r="AB669" t="s">
        <v>13194</v>
      </c>
      <c r="AC669" t="s">
        <v>13195</v>
      </c>
      <c r="AD669" t="s">
        <v>13196</v>
      </c>
      <c r="AE669" t="s">
        <v>13197</v>
      </c>
      <c r="AF669" t="s">
        <v>74</v>
      </c>
      <c r="AG669">
        <v>48</v>
      </c>
      <c r="AH669">
        <v>4</v>
      </c>
      <c r="AI669">
        <v>4</v>
      </c>
      <c r="AJ669">
        <v>2</v>
      </c>
      <c r="AK669">
        <v>4</v>
      </c>
      <c r="AL669" t="s">
        <v>178</v>
      </c>
      <c r="AM669" t="s">
        <v>450</v>
      </c>
      <c r="AN669" t="s">
        <v>668</v>
      </c>
      <c r="AO669" t="s">
        <v>4340</v>
      </c>
      <c r="AP669" t="s">
        <v>4341</v>
      </c>
      <c r="AQ669" t="s">
        <v>74</v>
      </c>
      <c r="AR669" t="s">
        <v>4342</v>
      </c>
      <c r="AS669" t="s">
        <v>4343</v>
      </c>
      <c r="AT669" t="s">
        <v>184</v>
      </c>
      <c r="AU669">
        <v>2022</v>
      </c>
      <c r="AV669">
        <v>45</v>
      </c>
      <c r="AW669">
        <v>7</v>
      </c>
      <c r="AX669" t="s">
        <v>74</v>
      </c>
      <c r="AY669" t="s">
        <v>74</v>
      </c>
      <c r="AZ669" t="s">
        <v>74</v>
      </c>
      <c r="BA669" t="s">
        <v>74</v>
      </c>
      <c r="BB669">
        <v>1247</v>
      </c>
      <c r="BC669">
        <v>1256</v>
      </c>
      <c r="BD669" t="s">
        <v>74</v>
      </c>
      <c r="BE669" t="s">
        <v>13198</v>
      </c>
      <c r="BF669" t="str">
        <f>HYPERLINK("http://dx.doi.org/10.1007/s00300-022-03068-7","http://dx.doi.org/10.1007/s00300-022-03068-7")</f>
        <v>http://dx.doi.org/10.1007/s00300-022-03068-7</v>
      </c>
      <c r="BG669" t="s">
        <v>74</v>
      </c>
      <c r="BH669" t="s">
        <v>12326</v>
      </c>
      <c r="BI669">
        <v>10</v>
      </c>
      <c r="BJ669" t="s">
        <v>1169</v>
      </c>
      <c r="BK669" t="s">
        <v>100</v>
      </c>
      <c r="BL669" t="s">
        <v>1170</v>
      </c>
      <c r="BM669" t="s">
        <v>12991</v>
      </c>
      <c r="BN669" t="s">
        <v>74</v>
      </c>
      <c r="BO669" t="s">
        <v>1221</v>
      </c>
      <c r="BP669" t="s">
        <v>74</v>
      </c>
      <c r="BQ669" t="s">
        <v>74</v>
      </c>
      <c r="BR669" t="s">
        <v>103</v>
      </c>
      <c r="BS669" t="s">
        <v>13199</v>
      </c>
      <c r="BT669" t="str">
        <f>HYPERLINK("https%3A%2F%2Fwww.webofscience.com%2Fwos%2Fwoscc%2Ffull-record%2FWOS:000828435600001","View Full Record in Web of Science")</f>
        <v>View Full Record in Web of Science</v>
      </c>
    </row>
    <row r="670" spans="1:72" x14ac:dyDescent="0.15">
      <c r="A670" t="s">
        <v>72</v>
      </c>
      <c r="B670" t="s">
        <v>13200</v>
      </c>
      <c r="C670" t="s">
        <v>74</v>
      </c>
      <c r="D670" t="s">
        <v>74</v>
      </c>
      <c r="E670" t="s">
        <v>74</v>
      </c>
      <c r="F670" t="s">
        <v>13201</v>
      </c>
      <c r="G670" t="s">
        <v>74</v>
      </c>
      <c r="H670" t="s">
        <v>74</v>
      </c>
      <c r="I670" t="s">
        <v>13202</v>
      </c>
      <c r="J670" t="s">
        <v>13203</v>
      </c>
      <c r="K670" t="s">
        <v>74</v>
      </c>
      <c r="L670" t="s">
        <v>74</v>
      </c>
      <c r="M670" t="s">
        <v>78</v>
      </c>
      <c r="N670" t="s">
        <v>79</v>
      </c>
      <c r="O670" t="s">
        <v>74</v>
      </c>
      <c r="P670" t="s">
        <v>74</v>
      </c>
      <c r="Q670" t="s">
        <v>74</v>
      </c>
      <c r="R670" t="s">
        <v>74</v>
      </c>
      <c r="S670" t="s">
        <v>74</v>
      </c>
      <c r="T670" t="s">
        <v>13204</v>
      </c>
      <c r="U670" t="s">
        <v>13205</v>
      </c>
      <c r="V670" t="s">
        <v>13206</v>
      </c>
      <c r="W670" t="s">
        <v>13207</v>
      </c>
      <c r="X670" t="s">
        <v>13208</v>
      </c>
      <c r="Y670" t="s">
        <v>13209</v>
      </c>
      <c r="Z670" t="s">
        <v>13210</v>
      </c>
      <c r="AA670" t="s">
        <v>74</v>
      </c>
      <c r="AB670" t="s">
        <v>13211</v>
      </c>
      <c r="AC670" t="s">
        <v>13212</v>
      </c>
      <c r="AD670" t="s">
        <v>13213</v>
      </c>
      <c r="AE670" t="s">
        <v>13214</v>
      </c>
      <c r="AF670" t="s">
        <v>74</v>
      </c>
      <c r="AG670">
        <v>151</v>
      </c>
      <c r="AH670">
        <v>1</v>
      </c>
      <c r="AI670">
        <v>3</v>
      </c>
      <c r="AJ670">
        <v>4</v>
      </c>
      <c r="AK670">
        <v>16</v>
      </c>
      <c r="AL670" t="s">
        <v>501</v>
      </c>
      <c r="AM670" t="s">
        <v>502</v>
      </c>
      <c r="AN670" t="s">
        <v>503</v>
      </c>
      <c r="AO670" t="s">
        <v>13215</v>
      </c>
      <c r="AP670" t="s">
        <v>13216</v>
      </c>
      <c r="AQ670" t="s">
        <v>74</v>
      </c>
      <c r="AR670" t="s">
        <v>13217</v>
      </c>
      <c r="AS670" t="s">
        <v>13218</v>
      </c>
      <c r="AT670" t="s">
        <v>1633</v>
      </c>
      <c r="AU670">
        <v>2022</v>
      </c>
      <c r="AV670">
        <v>286</v>
      </c>
      <c r="AW670" t="s">
        <v>74</v>
      </c>
      <c r="AX670" t="s">
        <v>74</v>
      </c>
      <c r="AY670" t="s">
        <v>74</v>
      </c>
      <c r="AZ670" t="s">
        <v>74</v>
      </c>
      <c r="BA670" t="s">
        <v>74</v>
      </c>
      <c r="BB670" t="s">
        <v>74</v>
      </c>
      <c r="BC670" t="s">
        <v>74</v>
      </c>
      <c r="BD670">
        <v>108635</v>
      </c>
      <c r="BE670" t="s">
        <v>13219</v>
      </c>
      <c r="BF670" t="str">
        <f>HYPERLINK("http://dx.doi.org/10.1016/j.fcr.2022.108635","http://dx.doi.org/10.1016/j.fcr.2022.108635")</f>
        <v>http://dx.doi.org/10.1016/j.fcr.2022.108635</v>
      </c>
      <c r="BG670" t="s">
        <v>74</v>
      </c>
      <c r="BH670" t="s">
        <v>12326</v>
      </c>
      <c r="BI670">
        <v>12</v>
      </c>
      <c r="BJ670" t="s">
        <v>13220</v>
      </c>
      <c r="BK670" t="s">
        <v>100</v>
      </c>
      <c r="BL670" t="s">
        <v>3004</v>
      </c>
      <c r="BM670" t="s">
        <v>13221</v>
      </c>
      <c r="BN670" t="s">
        <v>74</v>
      </c>
      <c r="BO670" t="s">
        <v>74</v>
      </c>
      <c r="BP670" t="s">
        <v>74</v>
      </c>
      <c r="BQ670" t="s">
        <v>74</v>
      </c>
      <c r="BR670" t="s">
        <v>103</v>
      </c>
      <c r="BS670" t="s">
        <v>13222</v>
      </c>
      <c r="BT670" t="str">
        <f>HYPERLINK("https%3A%2F%2Fwww.webofscience.com%2Fwos%2Fwoscc%2Ffull-record%2FWOS:000881571800008","View Full Record in Web of Science")</f>
        <v>View Full Record in Web of Science</v>
      </c>
    </row>
    <row r="671" spans="1:72" x14ac:dyDescent="0.15">
      <c r="A671" t="s">
        <v>72</v>
      </c>
      <c r="B671" t="s">
        <v>13223</v>
      </c>
      <c r="C671" t="s">
        <v>74</v>
      </c>
      <c r="D671" t="s">
        <v>74</v>
      </c>
      <c r="E671" t="s">
        <v>74</v>
      </c>
      <c r="F671" t="s">
        <v>13224</v>
      </c>
      <c r="G671" t="s">
        <v>74</v>
      </c>
      <c r="H671" t="s">
        <v>74</v>
      </c>
      <c r="I671" t="s">
        <v>13225</v>
      </c>
      <c r="J671" t="s">
        <v>13226</v>
      </c>
      <c r="K671" t="s">
        <v>74</v>
      </c>
      <c r="L671" t="s">
        <v>74</v>
      </c>
      <c r="M671" t="s">
        <v>78</v>
      </c>
      <c r="N671" t="s">
        <v>79</v>
      </c>
      <c r="O671" t="s">
        <v>74</v>
      </c>
      <c r="P671" t="s">
        <v>74</v>
      </c>
      <c r="Q671" t="s">
        <v>74</v>
      </c>
      <c r="R671" t="s">
        <v>74</v>
      </c>
      <c r="S671" t="s">
        <v>74</v>
      </c>
      <c r="T671" t="s">
        <v>13227</v>
      </c>
      <c r="U671" t="s">
        <v>13228</v>
      </c>
      <c r="V671" t="s">
        <v>13229</v>
      </c>
      <c r="W671" t="s">
        <v>13230</v>
      </c>
      <c r="X671" t="s">
        <v>13231</v>
      </c>
      <c r="Y671" t="s">
        <v>13232</v>
      </c>
      <c r="Z671" t="s">
        <v>13233</v>
      </c>
      <c r="AA671" t="s">
        <v>13234</v>
      </c>
      <c r="AB671" t="s">
        <v>13235</v>
      </c>
      <c r="AC671" t="s">
        <v>13236</v>
      </c>
      <c r="AD671" t="s">
        <v>13237</v>
      </c>
      <c r="AE671" t="s">
        <v>13238</v>
      </c>
      <c r="AF671" t="s">
        <v>74</v>
      </c>
      <c r="AG671">
        <v>123</v>
      </c>
      <c r="AH671">
        <v>2</v>
      </c>
      <c r="AI671">
        <v>2</v>
      </c>
      <c r="AJ671">
        <v>4</v>
      </c>
      <c r="AK671">
        <v>21</v>
      </c>
      <c r="AL671" t="s">
        <v>501</v>
      </c>
      <c r="AM671" t="s">
        <v>502</v>
      </c>
      <c r="AN671" t="s">
        <v>503</v>
      </c>
      <c r="AO671" t="s">
        <v>13239</v>
      </c>
      <c r="AP671" t="s">
        <v>13240</v>
      </c>
      <c r="AQ671" t="s">
        <v>74</v>
      </c>
      <c r="AR671" t="s">
        <v>13241</v>
      </c>
      <c r="AS671" t="s">
        <v>13242</v>
      </c>
      <c r="AT671" t="s">
        <v>3605</v>
      </c>
      <c r="AU671">
        <v>2022</v>
      </c>
      <c r="AV671">
        <v>612</v>
      </c>
      <c r="AW671" t="s">
        <v>74</v>
      </c>
      <c r="AX671" t="s">
        <v>13243</v>
      </c>
      <c r="AY671" t="s">
        <v>74</v>
      </c>
      <c r="AZ671" t="s">
        <v>74</v>
      </c>
      <c r="BA671" t="s">
        <v>74</v>
      </c>
      <c r="BB671" t="s">
        <v>74</v>
      </c>
      <c r="BC671" t="s">
        <v>74</v>
      </c>
      <c r="BD671">
        <v>128211</v>
      </c>
      <c r="BE671" t="s">
        <v>13244</v>
      </c>
      <c r="BF671" t="str">
        <f>HYPERLINK("http://dx.doi.org/10.1016/j.jhydrol.2022.128211","http://dx.doi.org/10.1016/j.jhydrol.2022.128211")</f>
        <v>http://dx.doi.org/10.1016/j.jhydrol.2022.128211</v>
      </c>
      <c r="BG671" t="s">
        <v>74</v>
      </c>
      <c r="BH671" t="s">
        <v>12326</v>
      </c>
      <c r="BI671">
        <v>21</v>
      </c>
      <c r="BJ671" t="s">
        <v>13245</v>
      </c>
      <c r="BK671" t="s">
        <v>100</v>
      </c>
      <c r="BL671" t="s">
        <v>13246</v>
      </c>
      <c r="BM671" t="s">
        <v>13247</v>
      </c>
      <c r="BN671" t="s">
        <v>74</v>
      </c>
      <c r="BO671" t="s">
        <v>74</v>
      </c>
      <c r="BP671" t="s">
        <v>74</v>
      </c>
      <c r="BQ671" t="s">
        <v>74</v>
      </c>
      <c r="BR671" t="s">
        <v>103</v>
      </c>
      <c r="BS671" t="s">
        <v>13248</v>
      </c>
      <c r="BT671" t="str">
        <f>HYPERLINK("https%3A%2F%2Fwww.webofscience.com%2Fwos%2Fwoscc%2Ffull-record%2FWOS:000879067900001","View Full Record in Web of Science")</f>
        <v>View Full Record in Web of Science</v>
      </c>
    </row>
    <row r="672" spans="1:72" x14ac:dyDescent="0.15">
      <c r="A672" t="s">
        <v>72</v>
      </c>
      <c r="B672" t="s">
        <v>13249</v>
      </c>
      <c r="C672" t="s">
        <v>74</v>
      </c>
      <c r="D672" t="s">
        <v>74</v>
      </c>
      <c r="E672" t="s">
        <v>74</v>
      </c>
      <c r="F672" t="s">
        <v>13250</v>
      </c>
      <c r="G672" t="s">
        <v>74</v>
      </c>
      <c r="H672" t="s">
        <v>74</v>
      </c>
      <c r="I672" t="s">
        <v>13251</v>
      </c>
      <c r="J672" t="s">
        <v>3399</v>
      </c>
      <c r="K672" t="s">
        <v>74</v>
      </c>
      <c r="L672" t="s">
        <v>74</v>
      </c>
      <c r="M672" t="s">
        <v>78</v>
      </c>
      <c r="N672" t="s">
        <v>165</v>
      </c>
      <c r="O672" t="s">
        <v>74</v>
      </c>
      <c r="P672" t="s">
        <v>74</v>
      </c>
      <c r="Q672" t="s">
        <v>74</v>
      </c>
      <c r="R672" t="s">
        <v>74</v>
      </c>
      <c r="S672" t="s">
        <v>74</v>
      </c>
      <c r="T672" t="s">
        <v>13252</v>
      </c>
      <c r="U672" t="s">
        <v>13253</v>
      </c>
      <c r="V672" t="s">
        <v>13254</v>
      </c>
      <c r="W672" t="s">
        <v>13255</v>
      </c>
      <c r="X672" t="s">
        <v>13256</v>
      </c>
      <c r="Y672" t="s">
        <v>13257</v>
      </c>
      <c r="Z672" t="s">
        <v>13258</v>
      </c>
      <c r="AA672" t="s">
        <v>74</v>
      </c>
      <c r="AB672" t="s">
        <v>13259</v>
      </c>
      <c r="AC672" t="s">
        <v>13260</v>
      </c>
      <c r="AD672" t="s">
        <v>13261</v>
      </c>
      <c r="AE672" t="s">
        <v>13262</v>
      </c>
      <c r="AF672" t="s">
        <v>74</v>
      </c>
      <c r="AG672">
        <v>21</v>
      </c>
      <c r="AH672">
        <v>2</v>
      </c>
      <c r="AI672">
        <v>2</v>
      </c>
      <c r="AJ672">
        <v>0</v>
      </c>
      <c r="AK672">
        <v>7</v>
      </c>
      <c r="AL672" t="s">
        <v>2275</v>
      </c>
      <c r="AM672" t="s">
        <v>90</v>
      </c>
      <c r="AN672" t="s">
        <v>2276</v>
      </c>
      <c r="AO672" t="s">
        <v>3412</v>
      </c>
      <c r="AP672" t="s">
        <v>3413</v>
      </c>
      <c r="AQ672" t="s">
        <v>74</v>
      </c>
      <c r="AR672" t="s">
        <v>3414</v>
      </c>
      <c r="AS672" t="s">
        <v>3415</v>
      </c>
      <c r="AT672" t="s">
        <v>5386</v>
      </c>
      <c r="AU672">
        <v>2022</v>
      </c>
      <c r="AV672">
        <v>206</v>
      </c>
      <c r="AW672" t="s">
        <v>74</v>
      </c>
      <c r="AX672" t="s">
        <v>74</v>
      </c>
      <c r="AY672" t="s">
        <v>74</v>
      </c>
      <c r="AZ672" t="s">
        <v>74</v>
      </c>
      <c r="BA672" t="s">
        <v>74</v>
      </c>
      <c r="BB672" t="s">
        <v>74</v>
      </c>
      <c r="BC672" t="s">
        <v>74</v>
      </c>
      <c r="BD672">
        <v>102840</v>
      </c>
      <c r="BE672" t="s">
        <v>13263</v>
      </c>
      <c r="BF672" t="str">
        <f>HYPERLINK("http://dx.doi.org/10.1016/j.pocean.2022.102840","http://dx.doi.org/10.1016/j.pocean.2022.102840")</f>
        <v>http://dx.doi.org/10.1016/j.pocean.2022.102840</v>
      </c>
      <c r="BG672" t="s">
        <v>74</v>
      </c>
      <c r="BH672" t="s">
        <v>12326</v>
      </c>
      <c r="BI672">
        <v>18</v>
      </c>
      <c r="BJ672" t="s">
        <v>674</v>
      </c>
      <c r="BK672" t="s">
        <v>100</v>
      </c>
      <c r="BL672" t="s">
        <v>674</v>
      </c>
      <c r="BM672" t="s">
        <v>13264</v>
      </c>
      <c r="BN672" t="s">
        <v>74</v>
      </c>
      <c r="BO672" t="s">
        <v>1221</v>
      </c>
      <c r="BP672" t="s">
        <v>74</v>
      </c>
      <c r="BQ672" t="s">
        <v>74</v>
      </c>
      <c r="BR672" t="s">
        <v>103</v>
      </c>
      <c r="BS672" t="s">
        <v>13265</v>
      </c>
      <c r="BT672" t="str">
        <f>HYPERLINK("https%3A%2F%2Fwww.webofscience.com%2Fwos%2Fwoscc%2Ffull-record%2FWOS:000856893400001","View Full Record in Web of Science")</f>
        <v>View Full Record in Web of Science</v>
      </c>
    </row>
    <row r="673" spans="1:72" x14ac:dyDescent="0.15">
      <c r="A673" t="s">
        <v>72</v>
      </c>
      <c r="B673" t="s">
        <v>13266</v>
      </c>
      <c r="C673" t="s">
        <v>74</v>
      </c>
      <c r="D673" t="s">
        <v>74</v>
      </c>
      <c r="E673" t="s">
        <v>74</v>
      </c>
      <c r="F673" t="s">
        <v>13267</v>
      </c>
      <c r="G673" t="s">
        <v>74</v>
      </c>
      <c r="H673" t="s">
        <v>74</v>
      </c>
      <c r="I673" t="s">
        <v>13268</v>
      </c>
      <c r="J673" t="s">
        <v>13269</v>
      </c>
      <c r="K673" t="s">
        <v>74</v>
      </c>
      <c r="L673" t="s">
        <v>74</v>
      </c>
      <c r="M673" t="s">
        <v>78</v>
      </c>
      <c r="N673" t="s">
        <v>79</v>
      </c>
      <c r="O673" t="s">
        <v>74</v>
      </c>
      <c r="P673" t="s">
        <v>74</v>
      </c>
      <c r="Q673" t="s">
        <v>74</v>
      </c>
      <c r="R673" t="s">
        <v>74</v>
      </c>
      <c r="S673" t="s">
        <v>74</v>
      </c>
      <c r="T673" t="s">
        <v>13270</v>
      </c>
      <c r="U673" t="s">
        <v>13271</v>
      </c>
      <c r="V673" t="s">
        <v>13272</v>
      </c>
      <c r="W673" t="s">
        <v>13273</v>
      </c>
      <c r="X673" t="s">
        <v>13274</v>
      </c>
      <c r="Y673" t="s">
        <v>13275</v>
      </c>
      <c r="Z673" t="s">
        <v>13276</v>
      </c>
      <c r="AA673" t="s">
        <v>13277</v>
      </c>
      <c r="AB673" t="s">
        <v>13278</v>
      </c>
      <c r="AC673" t="s">
        <v>74</v>
      </c>
      <c r="AD673" t="s">
        <v>74</v>
      </c>
      <c r="AE673" t="s">
        <v>74</v>
      </c>
      <c r="AF673" t="s">
        <v>74</v>
      </c>
      <c r="AG673">
        <v>57</v>
      </c>
      <c r="AH673">
        <v>1</v>
      </c>
      <c r="AI673">
        <v>1</v>
      </c>
      <c r="AJ673">
        <v>1</v>
      </c>
      <c r="AK673">
        <v>3</v>
      </c>
      <c r="AL673" t="s">
        <v>13279</v>
      </c>
      <c r="AM673" t="s">
        <v>13280</v>
      </c>
      <c r="AN673" t="s">
        <v>13281</v>
      </c>
      <c r="AO673" t="s">
        <v>13282</v>
      </c>
      <c r="AP673" t="s">
        <v>13283</v>
      </c>
      <c r="AQ673" t="s">
        <v>74</v>
      </c>
      <c r="AR673" t="s">
        <v>13269</v>
      </c>
      <c r="AS673" t="s">
        <v>3857</v>
      </c>
      <c r="AT673" t="s">
        <v>11949</v>
      </c>
      <c r="AU673">
        <v>2022</v>
      </c>
      <c r="AV673">
        <v>139</v>
      </c>
      <c r="AW673">
        <v>4</v>
      </c>
      <c r="AX673" t="s">
        <v>74</v>
      </c>
      <c r="AY673" t="s">
        <v>74</v>
      </c>
      <c r="AZ673" t="s">
        <v>74</v>
      </c>
      <c r="BA673" t="s">
        <v>74</v>
      </c>
      <c r="BB673" t="s">
        <v>74</v>
      </c>
      <c r="BC673" t="s">
        <v>74</v>
      </c>
      <c r="BD673" t="s">
        <v>74</v>
      </c>
      <c r="BE673" t="s">
        <v>13284</v>
      </c>
      <c r="BF673" t="str">
        <f>HYPERLINK("http://dx.doi.org/10.1093/ornithology/ukac031","http://dx.doi.org/10.1093/ornithology/ukac031")</f>
        <v>http://dx.doi.org/10.1093/ornithology/ukac031</v>
      </c>
      <c r="BG673" t="s">
        <v>74</v>
      </c>
      <c r="BH673" t="s">
        <v>12326</v>
      </c>
      <c r="BI673">
        <v>13</v>
      </c>
      <c r="BJ673" t="s">
        <v>3857</v>
      </c>
      <c r="BK673" t="s">
        <v>100</v>
      </c>
      <c r="BL673" t="s">
        <v>2211</v>
      </c>
      <c r="BM673" t="s">
        <v>13285</v>
      </c>
      <c r="BN673" t="s">
        <v>74</v>
      </c>
      <c r="BO673" t="s">
        <v>1221</v>
      </c>
      <c r="BP673" t="s">
        <v>74</v>
      </c>
      <c r="BQ673" t="s">
        <v>74</v>
      </c>
      <c r="BR673" t="s">
        <v>103</v>
      </c>
      <c r="BS673" t="s">
        <v>13286</v>
      </c>
      <c r="BT673" t="str">
        <f>HYPERLINK("https%3A%2F%2Fwww.webofscience.com%2Fwos%2Fwoscc%2Ffull-record%2FWOS:000844759900001","View Full Record in Web of Science")</f>
        <v>View Full Record in Web of Science</v>
      </c>
    </row>
    <row r="674" spans="1:72" x14ac:dyDescent="0.15">
      <c r="A674" t="s">
        <v>72</v>
      </c>
      <c r="B674" t="s">
        <v>13287</v>
      </c>
      <c r="C674" t="s">
        <v>74</v>
      </c>
      <c r="D674" t="s">
        <v>74</v>
      </c>
      <c r="E674" t="s">
        <v>74</v>
      </c>
      <c r="F674" t="s">
        <v>13288</v>
      </c>
      <c r="G674" t="s">
        <v>74</v>
      </c>
      <c r="H674" t="s">
        <v>74</v>
      </c>
      <c r="I674" t="s">
        <v>13289</v>
      </c>
      <c r="J674" t="s">
        <v>247</v>
      </c>
      <c r="K674" t="s">
        <v>74</v>
      </c>
      <c r="L674" t="s">
        <v>74</v>
      </c>
      <c r="M674" t="s">
        <v>78</v>
      </c>
      <c r="N674" t="s">
        <v>79</v>
      </c>
      <c r="O674" t="s">
        <v>74</v>
      </c>
      <c r="P674" t="s">
        <v>74</v>
      </c>
      <c r="Q674" t="s">
        <v>74</v>
      </c>
      <c r="R674" t="s">
        <v>74</v>
      </c>
      <c r="S674" t="s">
        <v>74</v>
      </c>
      <c r="T674" t="s">
        <v>13290</v>
      </c>
      <c r="U674" t="s">
        <v>13291</v>
      </c>
      <c r="V674" t="s">
        <v>13292</v>
      </c>
      <c r="W674" t="s">
        <v>13293</v>
      </c>
      <c r="X674" t="s">
        <v>13294</v>
      </c>
      <c r="Y674" t="s">
        <v>13295</v>
      </c>
      <c r="Z674" t="s">
        <v>11978</v>
      </c>
      <c r="AA674" t="s">
        <v>13296</v>
      </c>
      <c r="AB674" t="s">
        <v>13297</v>
      </c>
      <c r="AC674" t="s">
        <v>13298</v>
      </c>
      <c r="AD674" t="s">
        <v>13299</v>
      </c>
      <c r="AE674" t="s">
        <v>13300</v>
      </c>
      <c r="AF674" t="s">
        <v>74</v>
      </c>
      <c r="AG674">
        <v>126</v>
      </c>
      <c r="AH674">
        <v>5</v>
      </c>
      <c r="AI674">
        <v>5</v>
      </c>
      <c r="AJ674">
        <v>11</v>
      </c>
      <c r="AK674">
        <v>31</v>
      </c>
      <c r="AL674" t="s">
        <v>121</v>
      </c>
      <c r="AM674" t="s">
        <v>122</v>
      </c>
      <c r="AN674" t="s">
        <v>123</v>
      </c>
      <c r="AO674" t="s">
        <v>74</v>
      </c>
      <c r="AP674" t="s">
        <v>258</v>
      </c>
      <c r="AQ674" t="s">
        <v>74</v>
      </c>
      <c r="AR674" t="s">
        <v>259</v>
      </c>
      <c r="AS674" t="s">
        <v>260</v>
      </c>
      <c r="AT674" t="s">
        <v>13301</v>
      </c>
      <c r="AU674">
        <v>2022</v>
      </c>
      <c r="AV674">
        <v>9</v>
      </c>
      <c r="AW674" t="s">
        <v>74</v>
      </c>
      <c r="AX674" t="s">
        <v>74</v>
      </c>
      <c r="AY674" t="s">
        <v>74</v>
      </c>
      <c r="AZ674" t="s">
        <v>74</v>
      </c>
      <c r="BA674" t="s">
        <v>74</v>
      </c>
      <c r="BB674" t="s">
        <v>74</v>
      </c>
      <c r="BC674" t="s">
        <v>74</v>
      </c>
      <c r="BD674">
        <v>914726</v>
      </c>
      <c r="BE674" t="s">
        <v>13302</v>
      </c>
      <c r="BF674" t="str">
        <f>HYPERLINK("http://dx.doi.org/10.3389/fmars.2022.914726","http://dx.doi.org/10.3389/fmars.2022.914726")</f>
        <v>http://dx.doi.org/10.3389/fmars.2022.914726</v>
      </c>
      <c r="BG674" t="s">
        <v>74</v>
      </c>
      <c r="BH674" t="s">
        <v>74</v>
      </c>
      <c r="BI674">
        <v>19</v>
      </c>
      <c r="BJ674" t="s">
        <v>263</v>
      </c>
      <c r="BK674" t="s">
        <v>100</v>
      </c>
      <c r="BL674" t="s">
        <v>264</v>
      </c>
      <c r="BM674" t="s">
        <v>13303</v>
      </c>
      <c r="BN674" t="s">
        <v>74</v>
      </c>
      <c r="BO674" t="s">
        <v>5447</v>
      </c>
      <c r="BP674" t="s">
        <v>74</v>
      </c>
      <c r="BQ674" t="s">
        <v>74</v>
      </c>
      <c r="BR674" t="s">
        <v>103</v>
      </c>
      <c r="BS674" t="s">
        <v>13304</v>
      </c>
      <c r="BT674" t="str">
        <f>HYPERLINK("https%3A%2F%2Fwww.webofscience.com%2Fwos%2Fwoscc%2Ffull-record%2FWOS:000837216700001","View Full Record in Web of Science")</f>
        <v>View Full Record in Web of Science</v>
      </c>
    </row>
    <row r="675" spans="1:72" x14ac:dyDescent="0.15">
      <c r="A675" t="s">
        <v>72</v>
      </c>
      <c r="B675" t="s">
        <v>13305</v>
      </c>
      <c r="C675" t="s">
        <v>74</v>
      </c>
      <c r="D675" t="s">
        <v>74</v>
      </c>
      <c r="E675" t="s">
        <v>74</v>
      </c>
      <c r="F675" t="s">
        <v>13306</v>
      </c>
      <c r="G675" t="s">
        <v>74</v>
      </c>
      <c r="H675" t="s">
        <v>74</v>
      </c>
      <c r="I675" t="s">
        <v>13307</v>
      </c>
      <c r="J675" t="s">
        <v>3791</v>
      </c>
      <c r="K675" t="s">
        <v>74</v>
      </c>
      <c r="L675" t="s">
        <v>74</v>
      </c>
      <c r="M675" t="s">
        <v>78</v>
      </c>
      <c r="N675" t="s">
        <v>79</v>
      </c>
      <c r="O675" t="s">
        <v>74</v>
      </c>
      <c r="P675" t="s">
        <v>74</v>
      </c>
      <c r="Q675" t="s">
        <v>74</v>
      </c>
      <c r="R675" t="s">
        <v>74</v>
      </c>
      <c r="S675" t="s">
        <v>74</v>
      </c>
      <c r="T675" t="s">
        <v>13308</v>
      </c>
      <c r="U675" t="s">
        <v>13309</v>
      </c>
      <c r="V675" t="s">
        <v>13310</v>
      </c>
      <c r="W675" t="s">
        <v>13311</v>
      </c>
      <c r="X675" t="s">
        <v>13312</v>
      </c>
      <c r="Y675" t="s">
        <v>13313</v>
      </c>
      <c r="Z675" t="s">
        <v>13314</v>
      </c>
      <c r="AA675" t="s">
        <v>13315</v>
      </c>
      <c r="AB675" t="s">
        <v>13316</v>
      </c>
      <c r="AC675" t="s">
        <v>13317</v>
      </c>
      <c r="AD675" t="s">
        <v>13318</v>
      </c>
      <c r="AE675" t="s">
        <v>13319</v>
      </c>
      <c r="AF675" t="s">
        <v>74</v>
      </c>
      <c r="AG675">
        <v>63</v>
      </c>
      <c r="AH675">
        <v>6</v>
      </c>
      <c r="AI675">
        <v>7</v>
      </c>
      <c r="AJ675">
        <v>12</v>
      </c>
      <c r="AK675">
        <v>56</v>
      </c>
      <c r="AL675" t="s">
        <v>2249</v>
      </c>
      <c r="AM675" t="s">
        <v>90</v>
      </c>
      <c r="AN675" t="s">
        <v>2250</v>
      </c>
      <c r="AO675" t="s">
        <v>3804</v>
      </c>
      <c r="AP675" t="s">
        <v>3805</v>
      </c>
      <c r="AQ675" t="s">
        <v>74</v>
      </c>
      <c r="AR675" t="s">
        <v>3806</v>
      </c>
      <c r="AS675" t="s">
        <v>3807</v>
      </c>
      <c r="AT675" t="s">
        <v>4180</v>
      </c>
      <c r="AU675">
        <v>2022</v>
      </c>
      <c r="AV675">
        <v>309</v>
      </c>
      <c r="AW675" t="s">
        <v>74</v>
      </c>
      <c r="AX675" t="s">
        <v>74</v>
      </c>
      <c r="AY675" t="s">
        <v>74</v>
      </c>
      <c r="AZ675" t="s">
        <v>74</v>
      </c>
      <c r="BA675" t="s">
        <v>74</v>
      </c>
      <c r="BB675" t="s">
        <v>74</v>
      </c>
      <c r="BC675" t="s">
        <v>74</v>
      </c>
      <c r="BD675">
        <v>119738</v>
      </c>
      <c r="BE675" t="s">
        <v>13320</v>
      </c>
      <c r="BF675" t="str">
        <f>HYPERLINK("http://dx.doi.org/10.1016/j.envpol.2022.119738","http://dx.doi.org/10.1016/j.envpol.2022.119738")</f>
        <v>http://dx.doi.org/10.1016/j.envpol.2022.119738</v>
      </c>
      <c r="BG675" t="s">
        <v>74</v>
      </c>
      <c r="BH675" t="s">
        <v>12326</v>
      </c>
      <c r="BI675">
        <v>11</v>
      </c>
      <c r="BJ675" t="s">
        <v>2040</v>
      </c>
      <c r="BK675" t="s">
        <v>100</v>
      </c>
      <c r="BL675" t="s">
        <v>2041</v>
      </c>
      <c r="BM675" t="s">
        <v>13321</v>
      </c>
      <c r="BN675">
        <v>35817298</v>
      </c>
      <c r="BO675" t="s">
        <v>74</v>
      </c>
      <c r="BP675" t="s">
        <v>74</v>
      </c>
      <c r="BQ675" t="s">
        <v>74</v>
      </c>
      <c r="BR675" t="s">
        <v>103</v>
      </c>
      <c r="BS675" t="s">
        <v>13322</v>
      </c>
      <c r="BT675" t="str">
        <f>HYPERLINK("https%3A%2F%2Fwww.webofscience.com%2Fwos%2Fwoscc%2Ffull-record%2FWOS:000835660400004","View Full Record in Web of Science")</f>
        <v>View Full Record in Web of Science</v>
      </c>
    </row>
    <row r="676" spans="1:72" x14ac:dyDescent="0.15">
      <c r="A676" t="s">
        <v>72</v>
      </c>
      <c r="B676" t="s">
        <v>13323</v>
      </c>
      <c r="C676" t="s">
        <v>74</v>
      </c>
      <c r="D676" t="s">
        <v>74</v>
      </c>
      <c r="E676" t="s">
        <v>74</v>
      </c>
      <c r="F676" t="s">
        <v>13324</v>
      </c>
      <c r="G676" t="s">
        <v>74</v>
      </c>
      <c r="H676" t="s">
        <v>74</v>
      </c>
      <c r="I676" t="s">
        <v>13325</v>
      </c>
      <c r="J676" t="s">
        <v>3244</v>
      </c>
      <c r="K676" t="s">
        <v>74</v>
      </c>
      <c r="L676" t="s">
        <v>74</v>
      </c>
      <c r="M676" t="s">
        <v>78</v>
      </c>
      <c r="N676" t="s">
        <v>79</v>
      </c>
      <c r="O676" t="s">
        <v>74</v>
      </c>
      <c r="P676" t="s">
        <v>74</v>
      </c>
      <c r="Q676" t="s">
        <v>74</v>
      </c>
      <c r="R676" t="s">
        <v>74</v>
      </c>
      <c r="S676" t="s">
        <v>74</v>
      </c>
      <c r="T676" t="s">
        <v>74</v>
      </c>
      <c r="U676" t="s">
        <v>13326</v>
      </c>
      <c r="V676" t="s">
        <v>13327</v>
      </c>
      <c r="W676" t="s">
        <v>13328</v>
      </c>
      <c r="X676" t="s">
        <v>13329</v>
      </c>
      <c r="Y676" t="s">
        <v>13330</v>
      </c>
      <c r="Z676" t="s">
        <v>13331</v>
      </c>
      <c r="AA676" t="s">
        <v>13332</v>
      </c>
      <c r="AB676" t="s">
        <v>13333</v>
      </c>
      <c r="AC676" t="s">
        <v>13334</v>
      </c>
      <c r="AD676" t="s">
        <v>13335</v>
      </c>
      <c r="AE676" t="s">
        <v>13336</v>
      </c>
      <c r="AF676" t="s">
        <v>74</v>
      </c>
      <c r="AG676">
        <v>50</v>
      </c>
      <c r="AH676">
        <v>2</v>
      </c>
      <c r="AI676">
        <v>2</v>
      </c>
      <c r="AJ676">
        <v>4</v>
      </c>
      <c r="AK676">
        <v>11</v>
      </c>
      <c r="AL676" t="s">
        <v>2460</v>
      </c>
      <c r="AM676" t="s">
        <v>2461</v>
      </c>
      <c r="AN676" t="s">
        <v>2462</v>
      </c>
      <c r="AO676" t="s">
        <v>3256</v>
      </c>
      <c r="AP676" t="s">
        <v>3257</v>
      </c>
      <c r="AQ676" t="s">
        <v>74</v>
      </c>
      <c r="AR676" t="s">
        <v>3258</v>
      </c>
      <c r="AS676" t="s">
        <v>3259</v>
      </c>
      <c r="AT676" t="s">
        <v>13301</v>
      </c>
      <c r="AU676">
        <v>2022</v>
      </c>
      <c r="AV676">
        <v>22</v>
      </c>
      <c r="AW676">
        <v>14</v>
      </c>
      <c r="AX676" t="s">
        <v>74</v>
      </c>
      <c r="AY676" t="s">
        <v>74</v>
      </c>
      <c r="AZ676" t="s">
        <v>74</v>
      </c>
      <c r="BA676" t="s">
        <v>74</v>
      </c>
      <c r="BB676">
        <v>9413</v>
      </c>
      <c r="BC676">
        <v>9433</v>
      </c>
      <c r="BD676" t="s">
        <v>74</v>
      </c>
      <c r="BE676" t="s">
        <v>13337</v>
      </c>
      <c r="BF676" t="str">
        <f>HYPERLINK("http://dx.doi.org/10.5194/acp-22-9413-2022","http://dx.doi.org/10.5194/acp-22-9413-2022")</f>
        <v>http://dx.doi.org/10.5194/acp-22-9413-2022</v>
      </c>
      <c r="BG676" t="s">
        <v>74</v>
      </c>
      <c r="BH676" t="s">
        <v>74</v>
      </c>
      <c r="BI676">
        <v>21</v>
      </c>
      <c r="BJ676" t="s">
        <v>1129</v>
      </c>
      <c r="BK676" t="s">
        <v>100</v>
      </c>
      <c r="BL676" t="s">
        <v>1130</v>
      </c>
      <c r="BM676" t="s">
        <v>13338</v>
      </c>
      <c r="BN676" t="s">
        <v>74</v>
      </c>
      <c r="BO676" t="s">
        <v>1655</v>
      </c>
      <c r="BP676" t="s">
        <v>74</v>
      </c>
      <c r="BQ676" t="s">
        <v>74</v>
      </c>
      <c r="BR676" t="s">
        <v>103</v>
      </c>
      <c r="BS676" t="s">
        <v>13339</v>
      </c>
      <c r="BT676" t="str">
        <f>HYPERLINK("https%3A%2F%2Fwww.webofscience.com%2Fwos%2Fwoscc%2Ffull-record%2FWOS:000829678600001","View Full Record in Web of Science")</f>
        <v>View Full Record in Web of Science</v>
      </c>
    </row>
    <row r="677" spans="1:72" x14ac:dyDescent="0.15">
      <c r="A677" t="s">
        <v>72</v>
      </c>
      <c r="B677" t="s">
        <v>13340</v>
      </c>
      <c r="C677" t="s">
        <v>74</v>
      </c>
      <c r="D677" t="s">
        <v>74</v>
      </c>
      <c r="E677" t="s">
        <v>74</v>
      </c>
      <c r="F677" t="s">
        <v>13341</v>
      </c>
      <c r="G677" t="s">
        <v>74</v>
      </c>
      <c r="H677" t="s">
        <v>74</v>
      </c>
      <c r="I677" t="s">
        <v>13342</v>
      </c>
      <c r="J677" t="s">
        <v>2448</v>
      </c>
      <c r="K677" t="s">
        <v>74</v>
      </c>
      <c r="L677" t="s">
        <v>74</v>
      </c>
      <c r="M677" t="s">
        <v>78</v>
      </c>
      <c r="N677" t="s">
        <v>79</v>
      </c>
      <c r="O677" t="s">
        <v>74</v>
      </c>
      <c r="P677" t="s">
        <v>74</v>
      </c>
      <c r="Q677" t="s">
        <v>74</v>
      </c>
      <c r="R677" t="s">
        <v>74</v>
      </c>
      <c r="S677" t="s">
        <v>74</v>
      </c>
      <c r="T677" t="s">
        <v>74</v>
      </c>
      <c r="U677" t="s">
        <v>13343</v>
      </c>
      <c r="V677" t="s">
        <v>13344</v>
      </c>
      <c r="W677" t="s">
        <v>13345</v>
      </c>
      <c r="X677" t="s">
        <v>13346</v>
      </c>
      <c r="Y677" t="s">
        <v>13347</v>
      </c>
      <c r="Z677" t="s">
        <v>13348</v>
      </c>
      <c r="AA677" t="s">
        <v>13349</v>
      </c>
      <c r="AB677" t="s">
        <v>13350</v>
      </c>
      <c r="AC677" t="s">
        <v>13351</v>
      </c>
      <c r="AD677" t="s">
        <v>13352</v>
      </c>
      <c r="AE677" t="s">
        <v>13353</v>
      </c>
      <c r="AF677" t="s">
        <v>74</v>
      </c>
      <c r="AG677">
        <v>145</v>
      </c>
      <c r="AH677">
        <v>6</v>
      </c>
      <c r="AI677">
        <v>6</v>
      </c>
      <c r="AJ677">
        <v>3</v>
      </c>
      <c r="AK677">
        <v>18</v>
      </c>
      <c r="AL677" t="s">
        <v>2460</v>
      </c>
      <c r="AM677" t="s">
        <v>2461</v>
      </c>
      <c r="AN677" t="s">
        <v>2462</v>
      </c>
      <c r="AO677" t="s">
        <v>2463</v>
      </c>
      <c r="AP677" t="s">
        <v>2464</v>
      </c>
      <c r="AQ677" t="s">
        <v>74</v>
      </c>
      <c r="AR677" t="s">
        <v>2448</v>
      </c>
      <c r="AS677" t="s">
        <v>2465</v>
      </c>
      <c r="AT677" t="s">
        <v>13301</v>
      </c>
      <c r="AU677">
        <v>2022</v>
      </c>
      <c r="AV677">
        <v>19</v>
      </c>
      <c r="AW677">
        <v>14</v>
      </c>
      <c r="AX677" t="s">
        <v>74</v>
      </c>
      <c r="AY677" t="s">
        <v>74</v>
      </c>
      <c r="AZ677" t="s">
        <v>74</v>
      </c>
      <c r="BA677" t="s">
        <v>74</v>
      </c>
      <c r="BB677">
        <v>3445</v>
      </c>
      <c r="BC677">
        <v>3467</v>
      </c>
      <c r="BD677" t="s">
        <v>74</v>
      </c>
      <c r="BE677" t="s">
        <v>13354</v>
      </c>
      <c r="BF677" t="str">
        <f>HYPERLINK("http://dx.doi.org/10.5194/bg-19-3445-2022","http://dx.doi.org/10.5194/bg-19-3445-2022")</f>
        <v>http://dx.doi.org/10.5194/bg-19-3445-2022</v>
      </c>
      <c r="BG677" t="s">
        <v>74</v>
      </c>
      <c r="BH677" t="s">
        <v>74</v>
      </c>
      <c r="BI677">
        <v>23</v>
      </c>
      <c r="BJ677" t="s">
        <v>2467</v>
      </c>
      <c r="BK677" t="s">
        <v>100</v>
      </c>
      <c r="BL677" t="s">
        <v>1219</v>
      </c>
      <c r="BM677" t="s">
        <v>13355</v>
      </c>
      <c r="BN677" t="s">
        <v>74</v>
      </c>
      <c r="BO677" t="s">
        <v>8942</v>
      </c>
      <c r="BP677" t="s">
        <v>74</v>
      </c>
      <c r="BQ677" t="s">
        <v>74</v>
      </c>
      <c r="BR677" t="s">
        <v>103</v>
      </c>
      <c r="BS677" t="s">
        <v>13356</v>
      </c>
      <c r="BT677" t="str">
        <f>HYPERLINK("https%3A%2F%2Fwww.webofscience.com%2Fwos%2Fwoscc%2Ffull-record%2FWOS:000829673100001","View Full Record in Web of Science")</f>
        <v>View Full Record in Web of Science</v>
      </c>
    </row>
    <row r="678" spans="1:72" x14ac:dyDescent="0.15">
      <c r="A678" t="s">
        <v>72</v>
      </c>
      <c r="B678" t="s">
        <v>13357</v>
      </c>
      <c r="C678" t="s">
        <v>74</v>
      </c>
      <c r="D678" t="s">
        <v>74</v>
      </c>
      <c r="E678" t="s">
        <v>74</v>
      </c>
      <c r="F678" t="s">
        <v>13358</v>
      </c>
      <c r="G678" t="s">
        <v>74</v>
      </c>
      <c r="H678" t="s">
        <v>74</v>
      </c>
      <c r="I678" t="s">
        <v>13359</v>
      </c>
      <c r="J678" t="s">
        <v>4627</v>
      </c>
      <c r="K678" t="s">
        <v>74</v>
      </c>
      <c r="L678" t="s">
        <v>74</v>
      </c>
      <c r="M678" t="s">
        <v>78</v>
      </c>
      <c r="N678" t="s">
        <v>79</v>
      </c>
      <c r="O678" t="s">
        <v>74</v>
      </c>
      <c r="P678" t="s">
        <v>74</v>
      </c>
      <c r="Q678" t="s">
        <v>74</v>
      </c>
      <c r="R678" t="s">
        <v>74</v>
      </c>
      <c r="S678" t="s">
        <v>74</v>
      </c>
      <c r="T678" t="s">
        <v>74</v>
      </c>
      <c r="U678" t="s">
        <v>13360</v>
      </c>
      <c r="V678" t="s">
        <v>13361</v>
      </c>
      <c r="W678" t="s">
        <v>13362</v>
      </c>
      <c r="X678" t="s">
        <v>13363</v>
      </c>
      <c r="Y678" t="s">
        <v>13364</v>
      </c>
      <c r="Z678" t="s">
        <v>13365</v>
      </c>
      <c r="AA678" t="s">
        <v>6519</v>
      </c>
      <c r="AB678" t="s">
        <v>13366</v>
      </c>
      <c r="AC678" t="s">
        <v>13367</v>
      </c>
      <c r="AD678" t="s">
        <v>13368</v>
      </c>
      <c r="AE678" t="s">
        <v>13369</v>
      </c>
      <c r="AF678" t="s">
        <v>74</v>
      </c>
      <c r="AG678">
        <v>126</v>
      </c>
      <c r="AH678">
        <v>1</v>
      </c>
      <c r="AI678">
        <v>1</v>
      </c>
      <c r="AJ678">
        <v>3</v>
      </c>
      <c r="AK678">
        <v>8</v>
      </c>
      <c r="AL678" t="s">
        <v>2460</v>
      </c>
      <c r="AM678" t="s">
        <v>2461</v>
      </c>
      <c r="AN678" t="s">
        <v>2462</v>
      </c>
      <c r="AO678" t="s">
        <v>4638</v>
      </c>
      <c r="AP678" t="s">
        <v>4639</v>
      </c>
      <c r="AQ678" t="s">
        <v>74</v>
      </c>
      <c r="AR678" t="s">
        <v>4640</v>
      </c>
      <c r="AS678" t="s">
        <v>4641</v>
      </c>
      <c r="AT678" t="s">
        <v>13301</v>
      </c>
      <c r="AU678">
        <v>2022</v>
      </c>
      <c r="AV678">
        <v>18</v>
      </c>
      <c r="AW678">
        <v>7</v>
      </c>
      <c r="AX678" t="s">
        <v>74</v>
      </c>
      <c r="AY678" t="s">
        <v>74</v>
      </c>
      <c r="AZ678" t="s">
        <v>74</v>
      </c>
      <c r="BA678" t="s">
        <v>74</v>
      </c>
      <c r="BB678">
        <v>1709</v>
      </c>
      <c r="BC678">
        <v>1727</v>
      </c>
      <c r="BD678" t="s">
        <v>74</v>
      </c>
      <c r="BE678" t="s">
        <v>13370</v>
      </c>
      <c r="BF678" t="str">
        <f>HYPERLINK("http://dx.doi.org/10.5194/cp-18-1709-2022","http://dx.doi.org/10.5194/cp-18-1709-2022")</f>
        <v>http://dx.doi.org/10.5194/cp-18-1709-2022</v>
      </c>
      <c r="BG678" t="s">
        <v>74</v>
      </c>
      <c r="BH678" t="s">
        <v>74</v>
      </c>
      <c r="BI678">
        <v>19</v>
      </c>
      <c r="BJ678" t="s">
        <v>3373</v>
      </c>
      <c r="BK678" t="s">
        <v>100</v>
      </c>
      <c r="BL678" t="s">
        <v>3374</v>
      </c>
      <c r="BM678" t="s">
        <v>13371</v>
      </c>
      <c r="BN678" t="s">
        <v>74</v>
      </c>
      <c r="BO678" t="s">
        <v>5447</v>
      </c>
      <c r="BP678" t="s">
        <v>74</v>
      </c>
      <c r="BQ678" t="s">
        <v>74</v>
      </c>
      <c r="BR678" t="s">
        <v>103</v>
      </c>
      <c r="BS678" t="s">
        <v>13372</v>
      </c>
      <c r="BT678" t="str">
        <f>HYPERLINK("https%3A%2F%2Fwww.webofscience.com%2Fwos%2Fwoscc%2Ffull-record%2FWOS:000828201500001","View Full Record in Web of Science")</f>
        <v>View Full Record in Web of Science</v>
      </c>
    </row>
    <row r="679" spans="1:72" x14ac:dyDescent="0.15">
      <c r="A679" t="s">
        <v>72</v>
      </c>
      <c r="B679" t="s">
        <v>13373</v>
      </c>
      <c r="C679" t="s">
        <v>74</v>
      </c>
      <c r="D679" t="s">
        <v>74</v>
      </c>
      <c r="E679" t="s">
        <v>74</v>
      </c>
      <c r="F679" t="s">
        <v>13374</v>
      </c>
      <c r="G679" t="s">
        <v>74</v>
      </c>
      <c r="H679" t="s">
        <v>74</v>
      </c>
      <c r="I679" t="s">
        <v>13375</v>
      </c>
      <c r="J679" t="s">
        <v>3465</v>
      </c>
      <c r="K679" t="s">
        <v>74</v>
      </c>
      <c r="L679" t="s">
        <v>74</v>
      </c>
      <c r="M679" t="s">
        <v>78</v>
      </c>
      <c r="N679" t="s">
        <v>79</v>
      </c>
      <c r="O679" t="s">
        <v>74</v>
      </c>
      <c r="P679" t="s">
        <v>74</v>
      </c>
      <c r="Q679" t="s">
        <v>74</v>
      </c>
      <c r="R679" t="s">
        <v>74</v>
      </c>
      <c r="S679" t="s">
        <v>74</v>
      </c>
      <c r="T679" t="s">
        <v>13376</v>
      </c>
      <c r="U679" t="s">
        <v>13377</v>
      </c>
      <c r="V679" t="s">
        <v>13378</v>
      </c>
      <c r="W679" t="s">
        <v>13379</v>
      </c>
      <c r="X679" t="s">
        <v>13380</v>
      </c>
      <c r="Y679" t="s">
        <v>13381</v>
      </c>
      <c r="Z679" t="s">
        <v>13382</v>
      </c>
      <c r="AA679" t="s">
        <v>13383</v>
      </c>
      <c r="AB679" t="s">
        <v>13384</v>
      </c>
      <c r="AC679" t="s">
        <v>13385</v>
      </c>
      <c r="AD679" t="s">
        <v>13386</v>
      </c>
      <c r="AE679" t="s">
        <v>13387</v>
      </c>
      <c r="AF679" t="s">
        <v>74</v>
      </c>
      <c r="AG679">
        <v>64</v>
      </c>
      <c r="AH679">
        <v>2</v>
      </c>
      <c r="AI679">
        <v>2</v>
      </c>
      <c r="AJ679">
        <v>5</v>
      </c>
      <c r="AK679">
        <v>13</v>
      </c>
      <c r="AL679" t="s">
        <v>3478</v>
      </c>
      <c r="AM679" t="s">
        <v>2774</v>
      </c>
      <c r="AN679" t="s">
        <v>3479</v>
      </c>
      <c r="AO679" t="s">
        <v>3480</v>
      </c>
      <c r="AP679" t="s">
        <v>74</v>
      </c>
      <c r="AQ679" t="s">
        <v>74</v>
      </c>
      <c r="AR679" t="s">
        <v>3465</v>
      </c>
      <c r="AS679" t="s">
        <v>3481</v>
      </c>
      <c r="AT679" t="s">
        <v>13388</v>
      </c>
      <c r="AU679">
        <v>2022</v>
      </c>
      <c r="AV679">
        <v>10</v>
      </c>
      <c r="AW679" t="s">
        <v>74</v>
      </c>
      <c r="AX679" t="s">
        <v>74</v>
      </c>
      <c r="AY679" t="s">
        <v>74</v>
      </c>
      <c r="AZ679" t="s">
        <v>74</v>
      </c>
      <c r="BA679" t="s">
        <v>74</v>
      </c>
      <c r="BB679" t="s">
        <v>74</v>
      </c>
      <c r="BC679" t="s">
        <v>74</v>
      </c>
      <c r="BD679" t="s">
        <v>13389</v>
      </c>
      <c r="BE679" t="s">
        <v>13390</v>
      </c>
      <c r="BF679" t="str">
        <f>HYPERLINK("http://dx.doi.org/10.7717/peerj.13724","http://dx.doi.org/10.7717/peerj.13724")</f>
        <v>http://dx.doi.org/10.7717/peerj.13724</v>
      </c>
      <c r="BG679" t="s">
        <v>74</v>
      </c>
      <c r="BH679" t="s">
        <v>74</v>
      </c>
      <c r="BI679">
        <v>25</v>
      </c>
      <c r="BJ679" t="s">
        <v>156</v>
      </c>
      <c r="BK679" t="s">
        <v>100</v>
      </c>
      <c r="BL679" t="s">
        <v>157</v>
      </c>
      <c r="BM679" t="s">
        <v>13391</v>
      </c>
      <c r="BN679">
        <v>35880219</v>
      </c>
      <c r="BO679" t="s">
        <v>13392</v>
      </c>
      <c r="BP679" t="s">
        <v>74</v>
      </c>
      <c r="BQ679" t="s">
        <v>74</v>
      </c>
      <c r="BR679" t="s">
        <v>103</v>
      </c>
      <c r="BS679" t="s">
        <v>13393</v>
      </c>
      <c r="BT679" t="str">
        <f>HYPERLINK("https%3A%2F%2Fwww.webofscience.com%2Fwos%2Fwoscc%2Ffull-record%2FWOS:000839383800003","View Full Record in Web of Science")</f>
        <v>View Full Record in Web of Science</v>
      </c>
    </row>
    <row r="680" spans="1:72" x14ac:dyDescent="0.15">
      <c r="A680" t="s">
        <v>72</v>
      </c>
      <c r="B680" t="s">
        <v>13394</v>
      </c>
      <c r="C680" t="s">
        <v>74</v>
      </c>
      <c r="D680" t="s">
        <v>74</v>
      </c>
      <c r="E680" t="s">
        <v>74</v>
      </c>
      <c r="F680" t="s">
        <v>13395</v>
      </c>
      <c r="G680" t="s">
        <v>74</v>
      </c>
      <c r="H680" t="s">
        <v>74</v>
      </c>
      <c r="I680" t="s">
        <v>13396</v>
      </c>
      <c r="J680" t="s">
        <v>247</v>
      </c>
      <c r="K680" t="s">
        <v>74</v>
      </c>
      <c r="L680" t="s">
        <v>74</v>
      </c>
      <c r="M680" t="s">
        <v>78</v>
      </c>
      <c r="N680" t="s">
        <v>79</v>
      </c>
      <c r="O680" t="s">
        <v>74</v>
      </c>
      <c r="P680" t="s">
        <v>74</v>
      </c>
      <c r="Q680" t="s">
        <v>74</v>
      </c>
      <c r="R680" t="s">
        <v>74</v>
      </c>
      <c r="S680" t="s">
        <v>74</v>
      </c>
      <c r="T680" t="s">
        <v>13397</v>
      </c>
      <c r="U680" t="s">
        <v>13398</v>
      </c>
      <c r="V680" t="s">
        <v>13399</v>
      </c>
      <c r="W680" t="s">
        <v>13400</v>
      </c>
      <c r="X680" t="s">
        <v>13401</v>
      </c>
      <c r="Y680" t="s">
        <v>13402</v>
      </c>
      <c r="Z680" t="s">
        <v>74</v>
      </c>
      <c r="AA680" t="s">
        <v>13403</v>
      </c>
      <c r="AB680" t="s">
        <v>13404</v>
      </c>
      <c r="AC680" t="s">
        <v>74</v>
      </c>
      <c r="AD680" t="s">
        <v>74</v>
      </c>
      <c r="AE680" t="s">
        <v>74</v>
      </c>
      <c r="AF680" t="s">
        <v>74</v>
      </c>
      <c r="AG680">
        <v>97</v>
      </c>
      <c r="AH680">
        <v>16</v>
      </c>
      <c r="AI680">
        <v>16</v>
      </c>
      <c r="AJ680">
        <v>5</v>
      </c>
      <c r="AK680">
        <v>34</v>
      </c>
      <c r="AL680" t="s">
        <v>121</v>
      </c>
      <c r="AM680" t="s">
        <v>122</v>
      </c>
      <c r="AN680" t="s">
        <v>123</v>
      </c>
      <c r="AO680" t="s">
        <v>74</v>
      </c>
      <c r="AP680" t="s">
        <v>258</v>
      </c>
      <c r="AQ680" t="s">
        <v>74</v>
      </c>
      <c r="AR680" t="s">
        <v>259</v>
      </c>
      <c r="AS680" t="s">
        <v>260</v>
      </c>
      <c r="AT680" t="s">
        <v>13388</v>
      </c>
      <c r="AU680">
        <v>2022</v>
      </c>
      <c r="AV680">
        <v>9</v>
      </c>
      <c r="AW680" t="s">
        <v>74</v>
      </c>
      <c r="AX680" t="s">
        <v>74</v>
      </c>
      <c r="AY680" t="s">
        <v>74</v>
      </c>
      <c r="AZ680" t="s">
        <v>74</v>
      </c>
      <c r="BA680" t="s">
        <v>74</v>
      </c>
      <c r="BB680" t="s">
        <v>74</v>
      </c>
      <c r="BC680" t="s">
        <v>74</v>
      </c>
      <c r="BD680">
        <v>897104</v>
      </c>
      <c r="BE680" t="s">
        <v>13405</v>
      </c>
      <c r="BF680" t="str">
        <f>HYPERLINK("http://dx.doi.org/10.3389/fmars.2022.897104","http://dx.doi.org/10.3389/fmars.2022.897104")</f>
        <v>http://dx.doi.org/10.3389/fmars.2022.897104</v>
      </c>
      <c r="BG680" t="s">
        <v>74</v>
      </c>
      <c r="BH680" t="s">
        <v>74</v>
      </c>
      <c r="BI680">
        <v>17</v>
      </c>
      <c r="BJ680" t="s">
        <v>263</v>
      </c>
      <c r="BK680" t="s">
        <v>100</v>
      </c>
      <c r="BL680" t="s">
        <v>264</v>
      </c>
      <c r="BM680" t="s">
        <v>13406</v>
      </c>
      <c r="BN680" t="s">
        <v>74</v>
      </c>
      <c r="BO680" t="s">
        <v>305</v>
      </c>
      <c r="BP680" t="s">
        <v>74</v>
      </c>
      <c r="BQ680" t="s">
        <v>74</v>
      </c>
      <c r="BR680" t="s">
        <v>103</v>
      </c>
      <c r="BS680" t="s">
        <v>13407</v>
      </c>
      <c r="BT680" t="str">
        <f>HYPERLINK("https%3A%2F%2Fwww.webofscience.com%2Fwos%2Fwoscc%2Ffull-record%2FWOS:000835967200001","View Full Record in Web of Science")</f>
        <v>View Full Record in Web of Science</v>
      </c>
    </row>
    <row r="681" spans="1:72" x14ac:dyDescent="0.15">
      <c r="A681" t="s">
        <v>72</v>
      </c>
      <c r="B681" t="s">
        <v>13408</v>
      </c>
      <c r="C681" t="s">
        <v>74</v>
      </c>
      <c r="D681" t="s">
        <v>74</v>
      </c>
      <c r="E681" t="s">
        <v>74</v>
      </c>
      <c r="F681" t="s">
        <v>13409</v>
      </c>
      <c r="G681" t="s">
        <v>74</v>
      </c>
      <c r="H681" t="s">
        <v>74</v>
      </c>
      <c r="I681" t="s">
        <v>13410</v>
      </c>
      <c r="J681" t="s">
        <v>271</v>
      </c>
      <c r="K681" t="s">
        <v>74</v>
      </c>
      <c r="L681" t="s">
        <v>74</v>
      </c>
      <c r="M681" t="s">
        <v>78</v>
      </c>
      <c r="N681" t="s">
        <v>79</v>
      </c>
      <c r="O681" t="s">
        <v>74</v>
      </c>
      <c r="P681" t="s">
        <v>74</v>
      </c>
      <c r="Q681" t="s">
        <v>74</v>
      </c>
      <c r="R681" t="s">
        <v>74</v>
      </c>
      <c r="S681" t="s">
        <v>74</v>
      </c>
      <c r="T681" t="s">
        <v>74</v>
      </c>
      <c r="U681" t="s">
        <v>74</v>
      </c>
      <c r="V681" t="s">
        <v>13411</v>
      </c>
      <c r="W681" t="s">
        <v>13412</v>
      </c>
      <c r="X681" t="s">
        <v>13413</v>
      </c>
      <c r="Y681" t="s">
        <v>13414</v>
      </c>
      <c r="Z681" t="s">
        <v>13415</v>
      </c>
      <c r="AA681" t="s">
        <v>13416</v>
      </c>
      <c r="AB681" t="s">
        <v>74</v>
      </c>
      <c r="AC681" t="s">
        <v>13417</v>
      </c>
      <c r="AD681" t="s">
        <v>13417</v>
      </c>
      <c r="AE681" t="s">
        <v>13418</v>
      </c>
      <c r="AF681" t="s">
        <v>74</v>
      </c>
      <c r="AG681">
        <v>23</v>
      </c>
      <c r="AH681">
        <v>5</v>
      </c>
      <c r="AI681">
        <v>5</v>
      </c>
      <c r="AJ681">
        <v>1</v>
      </c>
      <c r="AK681">
        <v>5</v>
      </c>
      <c r="AL681" t="s">
        <v>149</v>
      </c>
      <c r="AM681" t="s">
        <v>150</v>
      </c>
      <c r="AN681" t="s">
        <v>151</v>
      </c>
      <c r="AO681" t="s">
        <v>283</v>
      </c>
      <c r="AP681" t="s">
        <v>74</v>
      </c>
      <c r="AQ681" t="s">
        <v>74</v>
      </c>
      <c r="AR681" t="s">
        <v>284</v>
      </c>
      <c r="AS681" t="s">
        <v>285</v>
      </c>
      <c r="AT681" t="s">
        <v>13388</v>
      </c>
      <c r="AU681">
        <v>2022</v>
      </c>
      <c r="AV681">
        <v>12</v>
      </c>
      <c r="AW681">
        <v>1</v>
      </c>
      <c r="AX681" t="s">
        <v>74</v>
      </c>
      <c r="AY681" t="s">
        <v>74</v>
      </c>
      <c r="AZ681" t="s">
        <v>74</v>
      </c>
      <c r="BA681" t="s">
        <v>74</v>
      </c>
      <c r="BB681" t="s">
        <v>74</v>
      </c>
      <c r="BC681" t="s">
        <v>74</v>
      </c>
      <c r="BD681">
        <v>12360</v>
      </c>
      <c r="BE681" t="s">
        <v>13419</v>
      </c>
      <c r="BF681" t="str">
        <f>HYPERLINK("http://dx.doi.org/10.1038/s41598-022-16634-0","http://dx.doi.org/10.1038/s41598-022-16634-0")</f>
        <v>http://dx.doi.org/10.1038/s41598-022-16634-0</v>
      </c>
      <c r="BG681" t="s">
        <v>74</v>
      </c>
      <c r="BH681" t="s">
        <v>74</v>
      </c>
      <c r="BI681">
        <v>9</v>
      </c>
      <c r="BJ681" t="s">
        <v>156</v>
      </c>
      <c r="BK681" t="s">
        <v>100</v>
      </c>
      <c r="BL681" t="s">
        <v>157</v>
      </c>
      <c r="BM681" t="s">
        <v>13420</v>
      </c>
      <c r="BN681">
        <v>35858987</v>
      </c>
      <c r="BO681" t="s">
        <v>159</v>
      </c>
      <c r="BP681" t="s">
        <v>74</v>
      </c>
      <c r="BQ681" t="s">
        <v>74</v>
      </c>
      <c r="BR681" t="s">
        <v>103</v>
      </c>
      <c r="BS681" t="s">
        <v>13421</v>
      </c>
      <c r="BT681" t="str">
        <f>HYPERLINK("https%3A%2F%2Fwww.webofscience.com%2Fwos%2Fwoscc%2Ffull-record%2FWOS:000828314800065","View Full Record in Web of Science")</f>
        <v>View Full Record in Web of Science</v>
      </c>
    </row>
    <row r="682" spans="1:72" x14ac:dyDescent="0.15">
      <c r="A682" t="s">
        <v>72</v>
      </c>
      <c r="B682" t="s">
        <v>13422</v>
      </c>
      <c r="C682" t="s">
        <v>74</v>
      </c>
      <c r="D682" t="s">
        <v>74</v>
      </c>
      <c r="E682" t="s">
        <v>74</v>
      </c>
      <c r="F682" t="s">
        <v>13423</v>
      </c>
      <c r="G682" t="s">
        <v>74</v>
      </c>
      <c r="H682" t="s">
        <v>74</v>
      </c>
      <c r="I682" t="s">
        <v>13424</v>
      </c>
      <c r="J682" t="s">
        <v>6808</v>
      </c>
      <c r="K682" t="s">
        <v>74</v>
      </c>
      <c r="L682" t="s">
        <v>74</v>
      </c>
      <c r="M682" t="s">
        <v>78</v>
      </c>
      <c r="N682" t="s">
        <v>79</v>
      </c>
      <c r="O682" t="s">
        <v>74</v>
      </c>
      <c r="P682" t="s">
        <v>74</v>
      </c>
      <c r="Q682" t="s">
        <v>74</v>
      </c>
      <c r="R682" t="s">
        <v>74</v>
      </c>
      <c r="S682" t="s">
        <v>74</v>
      </c>
      <c r="T682" t="s">
        <v>74</v>
      </c>
      <c r="U682" t="s">
        <v>13425</v>
      </c>
      <c r="V682" t="s">
        <v>13426</v>
      </c>
      <c r="W682" t="s">
        <v>13427</v>
      </c>
      <c r="X682" t="s">
        <v>13428</v>
      </c>
      <c r="Y682" t="s">
        <v>13429</v>
      </c>
      <c r="Z682" t="s">
        <v>13430</v>
      </c>
      <c r="AA682" t="s">
        <v>74</v>
      </c>
      <c r="AB682" t="s">
        <v>13431</v>
      </c>
      <c r="AC682" t="s">
        <v>13432</v>
      </c>
      <c r="AD682" t="s">
        <v>13433</v>
      </c>
      <c r="AE682" t="s">
        <v>13434</v>
      </c>
      <c r="AF682" t="s">
        <v>74</v>
      </c>
      <c r="AG682">
        <v>73</v>
      </c>
      <c r="AH682">
        <v>2</v>
      </c>
      <c r="AI682">
        <v>2</v>
      </c>
      <c r="AJ682">
        <v>0</v>
      </c>
      <c r="AK682">
        <v>9</v>
      </c>
      <c r="AL682" t="s">
        <v>231</v>
      </c>
      <c r="AM682" t="s">
        <v>232</v>
      </c>
      <c r="AN682" t="s">
        <v>233</v>
      </c>
      <c r="AO682" t="s">
        <v>6811</v>
      </c>
      <c r="AP682" t="s">
        <v>6812</v>
      </c>
      <c r="AQ682" t="s">
        <v>74</v>
      </c>
      <c r="AR682" t="s">
        <v>6813</v>
      </c>
      <c r="AS682" t="s">
        <v>6814</v>
      </c>
      <c r="AT682" t="s">
        <v>325</v>
      </c>
      <c r="AU682">
        <v>2022</v>
      </c>
      <c r="AV682">
        <v>24</v>
      </c>
      <c r="AW682">
        <v>12</v>
      </c>
      <c r="AX682" t="s">
        <v>74</v>
      </c>
      <c r="AY682" t="s">
        <v>74</v>
      </c>
      <c r="AZ682" t="s">
        <v>74</v>
      </c>
      <c r="BA682" t="s">
        <v>74</v>
      </c>
      <c r="BB682">
        <v>6017</v>
      </c>
      <c r="BC682">
        <v>6032</v>
      </c>
      <c r="BD682" t="s">
        <v>74</v>
      </c>
      <c r="BE682" t="s">
        <v>13435</v>
      </c>
      <c r="BF682" t="str">
        <f>HYPERLINK("http://dx.doi.org/10.1111/1462-2920.16113","http://dx.doi.org/10.1111/1462-2920.16113")</f>
        <v>http://dx.doi.org/10.1111/1462-2920.16113</v>
      </c>
      <c r="BG682" t="s">
        <v>74</v>
      </c>
      <c r="BH682" t="s">
        <v>12326</v>
      </c>
      <c r="BI682">
        <v>16</v>
      </c>
      <c r="BJ682" t="s">
        <v>214</v>
      </c>
      <c r="BK682" t="s">
        <v>100</v>
      </c>
      <c r="BL682" t="s">
        <v>214</v>
      </c>
      <c r="BM682" t="s">
        <v>13436</v>
      </c>
      <c r="BN682">
        <v>35860854</v>
      </c>
      <c r="BO682" t="s">
        <v>1341</v>
      </c>
      <c r="BP682" t="s">
        <v>74</v>
      </c>
      <c r="BQ682" t="s">
        <v>74</v>
      </c>
      <c r="BR682" t="s">
        <v>103</v>
      </c>
      <c r="BS682" t="s">
        <v>13437</v>
      </c>
      <c r="BT682" t="str">
        <f>HYPERLINK("https%3A%2F%2Fwww.webofscience.com%2Fwos%2Fwoscc%2Ffull-record%2FWOS:000827897200001","View Full Record in Web of Science")</f>
        <v>View Full Record in Web of Science</v>
      </c>
    </row>
    <row r="683" spans="1:72" x14ac:dyDescent="0.15">
      <c r="A683" t="s">
        <v>72</v>
      </c>
      <c r="B683" t="s">
        <v>13438</v>
      </c>
      <c r="C683" t="s">
        <v>74</v>
      </c>
      <c r="D683" t="s">
        <v>74</v>
      </c>
      <c r="E683" t="s">
        <v>74</v>
      </c>
      <c r="F683" t="s">
        <v>13439</v>
      </c>
      <c r="G683" t="s">
        <v>74</v>
      </c>
      <c r="H683" t="s">
        <v>74</v>
      </c>
      <c r="I683" t="s">
        <v>13440</v>
      </c>
      <c r="J683" t="s">
        <v>5194</v>
      </c>
      <c r="K683" t="s">
        <v>74</v>
      </c>
      <c r="L683" t="s">
        <v>74</v>
      </c>
      <c r="M683" t="s">
        <v>78</v>
      </c>
      <c r="N683" t="s">
        <v>79</v>
      </c>
      <c r="O683" t="s">
        <v>74</v>
      </c>
      <c r="P683" t="s">
        <v>74</v>
      </c>
      <c r="Q683" t="s">
        <v>74</v>
      </c>
      <c r="R683" t="s">
        <v>74</v>
      </c>
      <c r="S683" t="s">
        <v>74</v>
      </c>
      <c r="T683" t="s">
        <v>13441</v>
      </c>
      <c r="U683" t="s">
        <v>13442</v>
      </c>
      <c r="V683" t="s">
        <v>13443</v>
      </c>
      <c r="W683" t="s">
        <v>13444</v>
      </c>
      <c r="X683" t="s">
        <v>13445</v>
      </c>
      <c r="Y683" t="s">
        <v>13446</v>
      </c>
      <c r="Z683" t="s">
        <v>13447</v>
      </c>
      <c r="AA683" t="s">
        <v>13448</v>
      </c>
      <c r="AB683" t="s">
        <v>13449</v>
      </c>
      <c r="AC683" t="s">
        <v>13450</v>
      </c>
      <c r="AD683" t="s">
        <v>13451</v>
      </c>
      <c r="AE683" t="s">
        <v>13452</v>
      </c>
      <c r="AF683" t="s">
        <v>74</v>
      </c>
      <c r="AG683">
        <v>77</v>
      </c>
      <c r="AH683">
        <v>1</v>
      </c>
      <c r="AI683">
        <v>3</v>
      </c>
      <c r="AJ683">
        <v>7</v>
      </c>
      <c r="AK683">
        <v>30</v>
      </c>
      <c r="AL683" t="s">
        <v>231</v>
      </c>
      <c r="AM683" t="s">
        <v>232</v>
      </c>
      <c r="AN683" t="s">
        <v>233</v>
      </c>
      <c r="AO683" t="s">
        <v>5207</v>
      </c>
      <c r="AP683" t="s">
        <v>5208</v>
      </c>
      <c r="AQ683" t="s">
        <v>74</v>
      </c>
      <c r="AR683" t="s">
        <v>5209</v>
      </c>
      <c r="AS683" t="s">
        <v>5210</v>
      </c>
      <c r="AT683" t="s">
        <v>428</v>
      </c>
      <c r="AU683">
        <v>2022</v>
      </c>
      <c r="AV683">
        <v>28</v>
      </c>
      <c r="AW683">
        <v>19</v>
      </c>
      <c r="AX683" t="s">
        <v>74</v>
      </c>
      <c r="AY683" t="s">
        <v>74</v>
      </c>
      <c r="AZ683" t="s">
        <v>74</v>
      </c>
      <c r="BA683" t="s">
        <v>74</v>
      </c>
      <c r="BB683">
        <v>5741</v>
      </c>
      <c r="BC683">
        <v>5754</v>
      </c>
      <c r="BD683" t="s">
        <v>74</v>
      </c>
      <c r="BE683" t="s">
        <v>13453</v>
      </c>
      <c r="BF683" t="str">
        <f>HYPERLINK("http://dx.doi.org/10.1111/gcb.16330","http://dx.doi.org/10.1111/gcb.16330")</f>
        <v>http://dx.doi.org/10.1111/gcb.16330</v>
      </c>
      <c r="BG683" t="s">
        <v>74</v>
      </c>
      <c r="BH683" t="s">
        <v>12326</v>
      </c>
      <c r="BI683">
        <v>14</v>
      </c>
      <c r="BJ683" t="s">
        <v>3785</v>
      </c>
      <c r="BK683" t="s">
        <v>100</v>
      </c>
      <c r="BL683" t="s">
        <v>1170</v>
      </c>
      <c r="BM683" t="s">
        <v>13454</v>
      </c>
      <c r="BN683">
        <v>35795906</v>
      </c>
      <c r="BO683" t="s">
        <v>1221</v>
      </c>
      <c r="BP683" t="s">
        <v>74</v>
      </c>
      <c r="BQ683" t="s">
        <v>74</v>
      </c>
      <c r="BR683" t="s">
        <v>103</v>
      </c>
      <c r="BS683" t="s">
        <v>13455</v>
      </c>
      <c r="BT683" t="str">
        <f>HYPERLINK("https%3A%2F%2Fwww.webofscience.com%2Fwos%2Fwoscc%2Ffull-record%2FWOS:000827888600001","View Full Record in Web of Science")</f>
        <v>View Full Record in Web of Science</v>
      </c>
    </row>
    <row r="684" spans="1:72" x14ac:dyDescent="0.15">
      <c r="A684" t="s">
        <v>72</v>
      </c>
      <c r="B684" t="s">
        <v>13456</v>
      </c>
      <c r="C684" t="s">
        <v>74</v>
      </c>
      <c r="D684" t="s">
        <v>74</v>
      </c>
      <c r="E684" t="s">
        <v>74</v>
      </c>
      <c r="F684" t="s">
        <v>13457</v>
      </c>
      <c r="G684" t="s">
        <v>74</v>
      </c>
      <c r="H684" t="s">
        <v>74</v>
      </c>
      <c r="I684" t="s">
        <v>13458</v>
      </c>
      <c r="J684" t="s">
        <v>2473</v>
      </c>
      <c r="K684" t="s">
        <v>74</v>
      </c>
      <c r="L684" t="s">
        <v>74</v>
      </c>
      <c r="M684" t="s">
        <v>78</v>
      </c>
      <c r="N684" t="s">
        <v>79</v>
      </c>
      <c r="O684" t="s">
        <v>74</v>
      </c>
      <c r="P684" t="s">
        <v>74</v>
      </c>
      <c r="Q684" t="s">
        <v>74</v>
      </c>
      <c r="R684" t="s">
        <v>74</v>
      </c>
      <c r="S684" t="s">
        <v>74</v>
      </c>
      <c r="T684" t="s">
        <v>74</v>
      </c>
      <c r="U684" t="s">
        <v>13459</v>
      </c>
      <c r="V684" t="s">
        <v>13460</v>
      </c>
      <c r="W684" t="s">
        <v>13461</v>
      </c>
      <c r="X684" t="s">
        <v>13462</v>
      </c>
      <c r="Y684" t="s">
        <v>13463</v>
      </c>
      <c r="Z684" t="s">
        <v>13464</v>
      </c>
      <c r="AA684" t="s">
        <v>13465</v>
      </c>
      <c r="AB684" t="s">
        <v>13466</v>
      </c>
      <c r="AC684" t="s">
        <v>13467</v>
      </c>
      <c r="AD684" t="s">
        <v>13468</v>
      </c>
      <c r="AE684" t="s">
        <v>13469</v>
      </c>
      <c r="AF684" t="s">
        <v>74</v>
      </c>
      <c r="AG684">
        <v>78</v>
      </c>
      <c r="AH684">
        <v>7</v>
      </c>
      <c r="AI684">
        <v>7</v>
      </c>
      <c r="AJ684">
        <v>5</v>
      </c>
      <c r="AK684">
        <v>13</v>
      </c>
      <c r="AL684" t="s">
        <v>2460</v>
      </c>
      <c r="AM684" t="s">
        <v>2461</v>
      </c>
      <c r="AN684" t="s">
        <v>2462</v>
      </c>
      <c r="AO684" t="s">
        <v>2485</v>
      </c>
      <c r="AP684" t="s">
        <v>2486</v>
      </c>
      <c r="AQ684" t="s">
        <v>74</v>
      </c>
      <c r="AR684" t="s">
        <v>2473</v>
      </c>
      <c r="AS684" t="s">
        <v>2487</v>
      </c>
      <c r="AT684" t="s">
        <v>13388</v>
      </c>
      <c r="AU684">
        <v>2022</v>
      </c>
      <c r="AV684">
        <v>16</v>
      </c>
      <c r="AW684">
        <v>7</v>
      </c>
      <c r="AX684" t="s">
        <v>74</v>
      </c>
      <c r="AY684" t="s">
        <v>74</v>
      </c>
      <c r="AZ684" t="s">
        <v>74</v>
      </c>
      <c r="BA684" t="s">
        <v>74</v>
      </c>
      <c r="BB684">
        <v>2899</v>
      </c>
      <c r="BC684">
        <v>2925</v>
      </c>
      <c r="BD684" t="s">
        <v>74</v>
      </c>
      <c r="BE684" t="s">
        <v>13470</v>
      </c>
      <c r="BF684" t="str">
        <f>HYPERLINK("http://dx.doi.org/10.5194/tc-16-2899-2022","http://dx.doi.org/10.5194/tc-16-2899-2022")</f>
        <v>http://dx.doi.org/10.5194/tc-16-2899-2022</v>
      </c>
      <c r="BG684" t="s">
        <v>74</v>
      </c>
      <c r="BH684" t="s">
        <v>74</v>
      </c>
      <c r="BI684">
        <v>27</v>
      </c>
      <c r="BJ684" t="s">
        <v>354</v>
      </c>
      <c r="BK684" t="s">
        <v>100</v>
      </c>
      <c r="BL684" t="s">
        <v>241</v>
      </c>
      <c r="BM684" t="s">
        <v>13471</v>
      </c>
      <c r="BN684" t="s">
        <v>74</v>
      </c>
      <c r="BO684" t="s">
        <v>3262</v>
      </c>
      <c r="BP684" t="s">
        <v>74</v>
      </c>
      <c r="BQ684" t="s">
        <v>74</v>
      </c>
      <c r="BR684" t="s">
        <v>103</v>
      </c>
      <c r="BS684" t="s">
        <v>13472</v>
      </c>
      <c r="BT684" t="str">
        <f>HYPERLINK("https%3A%2F%2Fwww.webofscience.com%2Fwos%2Fwoscc%2Ffull-record%2FWOS:000827466200001","View Full Record in Web of Science")</f>
        <v>View Full Record in Web of Science</v>
      </c>
    </row>
    <row r="685" spans="1:72" x14ac:dyDescent="0.15">
      <c r="A685" t="s">
        <v>72</v>
      </c>
      <c r="B685" t="s">
        <v>13473</v>
      </c>
      <c r="C685" t="s">
        <v>74</v>
      </c>
      <c r="D685" t="s">
        <v>74</v>
      </c>
      <c r="E685" t="s">
        <v>74</v>
      </c>
      <c r="F685" t="s">
        <v>13474</v>
      </c>
      <c r="G685" t="s">
        <v>74</v>
      </c>
      <c r="H685" t="s">
        <v>74</v>
      </c>
      <c r="I685" t="s">
        <v>13475</v>
      </c>
      <c r="J685" t="s">
        <v>2448</v>
      </c>
      <c r="K685" t="s">
        <v>74</v>
      </c>
      <c r="L685" t="s">
        <v>74</v>
      </c>
      <c r="M685" t="s">
        <v>78</v>
      </c>
      <c r="N685" t="s">
        <v>79</v>
      </c>
      <c r="O685" t="s">
        <v>74</v>
      </c>
      <c r="P685" t="s">
        <v>74</v>
      </c>
      <c r="Q685" t="s">
        <v>74</v>
      </c>
      <c r="R685" t="s">
        <v>74</v>
      </c>
      <c r="S685" t="s">
        <v>74</v>
      </c>
      <c r="T685" t="s">
        <v>74</v>
      </c>
      <c r="U685" t="s">
        <v>13476</v>
      </c>
      <c r="V685" t="s">
        <v>13477</v>
      </c>
      <c r="W685" t="s">
        <v>13478</v>
      </c>
      <c r="X685" t="s">
        <v>13479</v>
      </c>
      <c r="Y685" t="s">
        <v>13480</v>
      </c>
      <c r="Z685" t="s">
        <v>13481</v>
      </c>
      <c r="AA685" t="s">
        <v>74</v>
      </c>
      <c r="AB685" t="s">
        <v>13482</v>
      </c>
      <c r="AC685" t="s">
        <v>13483</v>
      </c>
      <c r="AD685" t="s">
        <v>13484</v>
      </c>
      <c r="AE685" t="s">
        <v>13485</v>
      </c>
      <c r="AF685" t="s">
        <v>74</v>
      </c>
      <c r="AG685">
        <v>116</v>
      </c>
      <c r="AH685">
        <v>5</v>
      </c>
      <c r="AI685">
        <v>5</v>
      </c>
      <c r="AJ685">
        <v>2</v>
      </c>
      <c r="AK685">
        <v>17</v>
      </c>
      <c r="AL685" t="s">
        <v>2460</v>
      </c>
      <c r="AM685" t="s">
        <v>2461</v>
      </c>
      <c r="AN685" t="s">
        <v>2462</v>
      </c>
      <c r="AO685" t="s">
        <v>2463</v>
      </c>
      <c r="AP685" t="s">
        <v>2464</v>
      </c>
      <c r="AQ685" t="s">
        <v>74</v>
      </c>
      <c r="AR685" t="s">
        <v>2448</v>
      </c>
      <c r="AS685" t="s">
        <v>2465</v>
      </c>
      <c r="AT685" t="s">
        <v>13388</v>
      </c>
      <c r="AU685">
        <v>2022</v>
      </c>
      <c r="AV685">
        <v>19</v>
      </c>
      <c r="AW685">
        <v>14</v>
      </c>
      <c r="AX685" t="s">
        <v>74</v>
      </c>
      <c r="AY685" t="s">
        <v>74</v>
      </c>
      <c r="AZ685" t="s">
        <v>74</v>
      </c>
      <c r="BA685" t="s">
        <v>74</v>
      </c>
      <c r="BB685">
        <v>3425</v>
      </c>
      <c r="BC685">
        <v>3444</v>
      </c>
      <c r="BD685" t="s">
        <v>74</v>
      </c>
      <c r="BE685" t="s">
        <v>13486</v>
      </c>
      <c r="BF685" t="str">
        <f>HYPERLINK("http://dx.doi.org/10.5194/bg-19-3425-2022","http://dx.doi.org/10.5194/bg-19-3425-2022")</f>
        <v>http://dx.doi.org/10.5194/bg-19-3425-2022</v>
      </c>
      <c r="BG685" t="s">
        <v>74</v>
      </c>
      <c r="BH685" t="s">
        <v>74</v>
      </c>
      <c r="BI685">
        <v>20</v>
      </c>
      <c r="BJ685" t="s">
        <v>2467</v>
      </c>
      <c r="BK685" t="s">
        <v>100</v>
      </c>
      <c r="BL685" t="s">
        <v>1219</v>
      </c>
      <c r="BM685" t="s">
        <v>13487</v>
      </c>
      <c r="BN685" t="s">
        <v>74</v>
      </c>
      <c r="BO685" t="s">
        <v>3262</v>
      </c>
      <c r="BP685" t="s">
        <v>74</v>
      </c>
      <c r="BQ685" t="s">
        <v>74</v>
      </c>
      <c r="BR685" t="s">
        <v>103</v>
      </c>
      <c r="BS685" t="s">
        <v>13488</v>
      </c>
      <c r="BT685" t="str">
        <f>HYPERLINK("https%3A%2F%2Fwww.webofscience.com%2Fwos%2Fwoscc%2Ffull-record%2FWOS:000827627300001","View Full Record in Web of Science")</f>
        <v>View Full Record in Web of Science</v>
      </c>
    </row>
    <row r="686" spans="1:72" x14ac:dyDescent="0.15">
      <c r="A686" t="s">
        <v>72</v>
      </c>
      <c r="B686" t="s">
        <v>13489</v>
      </c>
      <c r="C686" t="s">
        <v>74</v>
      </c>
      <c r="D686" t="s">
        <v>74</v>
      </c>
      <c r="E686" t="s">
        <v>74</v>
      </c>
      <c r="F686" t="s">
        <v>13490</v>
      </c>
      <c r="G686" t="s">
        <v>74</v>
      </c>
      <c r="H686" t="s">
        <v>74</v>
      </c>
      <c r="I686" t="s">
        <v>13491</v>
      </c>
      <c r="J686" t="s">
        <v>13492</v>
      </c>
      <c r="K686" t="s">
        <v>74</v>
      </c>
      <c r="L686" t="s">
        <v>74</v>
      </c>
      <c r="M686" t="s">
        <v>78</v>
      </c>
      <c r="N686" t="s">
        <v>79</v>
      </c>
      <c r="O686" t="s">
        <v>74</v>
      </c>
      <c r="P686" t="s">
        <v>74</v>
      </c>
      <c r="Q686" t="s">
        <v>74</v>
      </c>
      <c r="R686" t="s">
        <v>74</v>
      </c>
      <c r="S686" t="s">
        <v>74</v>
      </c>
      <c r="T686" t="s">
        <v>13493</v>
      </c>
      <c r="U686" t="s">
        <v>13494</v>
      </c>
      <c r="V686" t="s">
        <v>13495</v>
      </c>
      <c r="W686" t="s">
        <v>13496</v>
      </c>
      <c r="X686" t="s">
        <v>13497</v>
      </c>
      <c r="Y686" t="s">
        <v>13498</v>
      </c>
      <c r="Z686" t="s">
        <v>13499</v>
      </c>
      <c r="AA686" t="s">
        <v>13500</v>
      </c>
      <c r="AB686" t="s">
        <v>13501</v>
      </c>
      <c r="AC686" t="s">
        <v>13502</v>
      </c>
      <c r="AD686" t="s">
        <v>13503</v>
      </c>
      <c r="AE686" t="s">
        <v>13504</v>
      </c>
      <c r="AF686" t="s">
        <v>74</v>
      </c>
      <c r="AG686">
        <v>36</v>
      </c>
      <c r="AH686">
        <v>1</v>
      </c>
      <c r="AI686">
        <v>1</v>
      </c>
      <c r="AJ686">
        <v>5</v>
      </c>
      <c r="AK686">
        <v>23</v>
      </c>
      <c r="AL686" t="s">
        <v>2275</v>
      </c>
      <c r="AM686" t="s">
        <v>90</v>
      </c>
      <c r="AN686" t="s">
        <v>2276</v>
      </c>
      <c r="AO686" t="s">
        <v>13505</v>
      </c>
      <c r="AP686" t="s">
        <v>13506</v>
      </c>
      <c r="AQ686" t="s">
        <v>74</v>
      </c>
      <c r="AR686" t="s">
        <v>13507</v>
      </c>
      <c r="AS686" t="s">
        <v>13508</v>
      </c>
      <c r="AT686" t="s">
        <v>2670</v>
      </c>
      <c r="AU686">
        <v>2022</v>
      </c>
      <c r="AV686">
        <v>287</v>
      </c>
      <c r="AW686" t="s">
        <v>74</v>
      </c>
      <c r="AX686" t="s">
        <v>74</v>
      </c>
      <c r="AY686" t="s">
        <v>74</v>
      </c>
      <c r="AZ686" t="s">
        <v>74</v>
      </c>
      <c r="BA686" t="s">
        <v>74</v>
      </c>
      <c r="BB686" t="s">
        <v>74</v>
      </c>
      <c r="BC686" t="s">
        <v>74</v>
      </c>
      <c r="BD686">
        <v>119287</v>
      </c>
      <c r="BE686" t="s">
        <v>13509</v>
      </c>
      <c r="BF686" t="str">
        <f>HYPERLINK("http://dx.doi.org/10.1016/j.atmosenv.2022.119287","http://dx.doi.org/10.1016/j.atmosenv.2022.119287")</f>
        <v>http://dx.doi.org/10.1016/j.atmosenv.2022.119287</v>
      </c>
      <c r="BG686" t="s">
        <v>74</v>
      </c>
      <c r="BH686" t="s">
        <v>12326</v>
      </c>
      <c r="BI686">
        <v>7</v>
      </c>
      <c r="BJ686" t="s">
        <v>1129</v>
      </c>
      <c r="BK686" t="s">
        <v>100</v>
      </c>
      <c r="BL686" t="s">
        <v>1130</v>
      </c>
      <c r="BM686" t="s">
        <v>13510</v>
      </c>
      <c r="BN686" t="s">
        <v>74</v>
      </c>
      <c r="BO686" t="s">
        <v>74</v>
      </c>
      <c r="BP686" t="s">
        <v>74</v>
      </c>
      <c r="BQ686" t="s">
        <v>74</v>
      </c>
      <c r="BR686" t="s">
        <v>103</v>
      </c>
      <c r="BS686" t="s">
        <v>13511</v>
      </c>
      <c r="BT686" t="str">
        <f>HYPERLINK("https%3A%2F%2Fwww.webofscience.com%2Fwos%2Fwoscc%2Ffull-record%2FWOS:000879667600002","View Full Record in Web of Science")</f>
        <v>View Full Record in Web of Science</v>
      </c>
    </row>
    <row r="687" spans="1:72" x14ac:dyDescent="0.15">
      <c r="A687" t="s">
        <v>72</v>
      </c>
      <c r="B687" t="s">
        <v>13512</v>
      </c>
      <c r="C687" t="s">
        <v>74</v>
      </c>
      <c r="D687" t="s">
        <v>74</v>
      </c>
      <c r="E687" t="s">
        <v>74</v>
      </c>
      <c r="F687" t="s">
        <v>13513</v>
      </c>
      <c r="G687" t="s">
        <v>74</v>
      </c>
      <c r="H687" t="s">
        <v>74</v>
      </c>
      <c r="I687" t="s">
        <v>13514</v>
      </c>
      <c r="J687" t="s">
        <v>4531</v>
      </c>
      <c r="K687" t="s">
        <v>74</v>
      </c>
      <c r="L687" t="s">
        <v>74</v>
      </c>
      <c r="M687" t="s">
        <v>78</v>
      </c>
      <c r="N687" t="s">
        <v>165</v>
      </c>
      <c r="O687" t="s">
        <v>74</v>
      </c>
      <c r="P687" t="s">
        <v>74</v>
      </c>
      <c r="Q687" t="s">
        <v>74</v>
      </c>
      <c r="R687" t="s">
        <v>74</v>
      </c>
      <c r="S687" t="s">
        <v>74</v>
      </c>
      <c r="T687" t="s">
        <v>13515</v>
      </c>
      <c r="U687" t="s">
        <v>13516</v>
      </c>
      <c r="V687" t="s">
        <v>13517</v>
      </c>
      <c r="W687" t="s">
        <v>13518</v>
      </c>
      <c r="X687" t="s">
        <v>13519</v>
      </c>
      <c r="Y687" t="s">
        <v>13520</v>
      </c>
      <c r="Z687" t="s">
        <v>13521</v>
      </c>
      <c r="AA687" t="s">
        <v>13522</v>
      </c>
      <c r="AB687" t="s">
        <v>13523</v>
      </c>
      <c r="AC687" t="s">
        <v>74</v>
      </c>
      <c r="AD687" t="s">
        <v>74</v>
      </c>
      <c r="AE687" t="s">
        <v>74</v>
      </c>
      <c r="AF687" t="s">
        <v>74</v>
      </c>
      <c r="AG687">
        <v>96</v>
      </c>
      <c r="AH687">
        <v>6</v>
      </c>
      <c r="AI687">
        <v>6</v>
      </c>
      <c r="AJ687">
        <v>9</v>
      </c>
      <c r="AK687">
        <v>27</v>
      </c>
      <c r="AL687" t="s">
        <v>121</v>
      </c>
      <c r="AM687" t="s">
        <v>122</v>
      </c>
      <c r="AN687" t="s">
        <v>123</v>
      </c>
      <c r="AO687" t="s">
        <v>4541</v>
      </c>
      <c r="AP687" t="s">
        <v>74</v>
      </c>
      <c r="AQ687" t="s">
        <v>74</v>
      </c>
      <c r="AR687" t="s">
        <v>4542</v>
      </c>
      <c r="AS687" t="s">
        <v>4543</v>
      </c>
      <c r="AT687" t="s">
        <v>13524</v>
      </c>
      <c r="AU687">
        <v>2022</v>
      </c>
      <c r="AV687">
        <v>13</v>
      </c>
      <c r="AW687" t="s">
        <v>74</v>
      </c>
      <c r="AX687" t="s">
        <v>74</v>
      </c>
      <c r="AY687" t="s">
        <v>74</v>
      </c>
      <c r="AZ687" t="s">
        <v>74</v>
      </c>
      <c r="BA687" t="s">
        <v>74</v>
      </c>
      <c r="BB687" t="s">
        <v>74</v>
      </c>
      <c r="BC687" t="s">
        <v>74</v>
      </c>
      <c r="BD687">
        <v>945394</v>
      </c>
      <c r="BE687" t="s">
        <v>13525</v>
      </c>
      <c r="BF687" t="str">
        <f>HYPERLINK("http://dx.doi.org/10.3389/fpls.2022.945394","http://dx.doi.org/10.3389/fpls.2022.945394")</f>
        <v>http://dx.doi.org/10.3389/fpls.2022.945394</v>
      </c>
      <c r="BG687" t="s">
        <v>74</v>
      </c>
      <c r="BH687" t="s">
        <v>74</v>
      </c>
      <c r="BI687">
        <v>10</v>
      </c>
      <c r="BJ687" t="s">
        <v>1438</v>
      </c>
      <c r="BK687" t="s">
        <v>100</v>
      </c>
      <c r="BL687" t="s">
        <v>1438</v>
      </c>
      <c r="BM687" t="s">
        <v>13526</v>
      </c>
      <c r="BN687">
        <v>35928713</v>
      </c>
      <c r="BO687" t="s">
        <v>132</v>
      </c>
      <c r="BP687" t="s">
        <v>74</v>
      </c>
      <c r="BQ687" t="s">
        <v>74</v>
      </c>
      <c r="BR687" t="s">
        <v>103</v>
      </c>
      <c r="BS687" t="s">
        <v>13527</v>
      </c>
      <c r="BT687" t="str">
        <f>HYPERLINK("https%3A%2F%2Fwww.webofscience.com%2Fwos%2Fwoscc%2Ffull-record%2FWOS:000835074600001","View Full Record in Web of Science")</f>
        <v>View Full Record in Web of Science</v>
      </c>
    </row>
    <row r="688" spans="1:72" x14ac:dyDescent="0.15">
      <c r="A688" t="s">
        <v>72</v>
      </c>
      <c r="B688" t="s">
        <v>13528</v>
      </c>
      <c r="C688" t="s">
        <v>74</v>
      </c>
      <c r="D688" t="s">
        <v>74</v>
      </c>
      <c r="E688" t="s">
        <v>74</v>
      </c>
      <c r="F688" t="s">
        <v>13529</v>
      </c>
      <c r="G688" t="s">
        <v>74</v>
      </c>
      <c r="H688" t="s">
        <v>74</v>
      </c>
      <c r="I688" t="s">
        <v>13530</v>
      </c>
      <c r="J688" t="s">
        <v>137</v>
      </c>
      <c r="K688" t="s">
        <v>74</v>
      </c>
      <c r="L688" t="s">
        <v>74</v>
      </c>
      <c r="M688" t="s">
        <v>78</v>
      </c>
      <c r="N688" t="s">
        <v>79</v>
      </c>
      <c r="O688" t="s">
        <v>74</v>
      </c>
      <c r="P688" t="s">
        <v>74</v>
      </c>
      <c r="Q688" t="s">
        <v>74</v>
      </c>
      <c r="R688" t="s">
        <v>74</v>
      </c>
      <c r="S688" t="s">
        <v>74</v>
      </c>
      <c r="T688" t="s">
        <v>74</v>
      </c>
      <c r="U688" t="s">
        <v>13531</v>
      </c>
      <c r="V688" t="s">
        <v>13532</v>
      </c>
      <c r="W688" t="s">
        <v>13533</v>
      </c>
      <c r="X688" t="s">
        <v>13534</v>
      </c>
      <c r="Y688" t="s">
        <v>13535</v>
      </c>
      <c r="Z688" t="s">
        <v>13536</v>
      </c>
      <c r="AA688" t="s">
        <v>13537</v>
      </c>
      <c r="AB688" t="s">
        <v>13538</v>
      </c>
      <c r="AC688" t="s">
        <v>13539</v>
      </c>
      <c r="AD688" t="s">
        <v>13540</v>
      </c>
      <c r="AE688" t="s">
        <v>13541</v>
      </c>
      <c r="AF688" t="s">
        <v>74</v>
      </c>
      <c r="AG688">
        <v>70</v>
      </c>
      <c r="AH688">
        <v>9</v>
      </c>
      <c r="AI688">
        <v>11</v>
      </c>
      <c r="AJ688">
        <v>10</v>
      </c>
      <c r="AK688">
        <v>71</v>
      </c>
      <c r="AL688" t="s">
        <v>149</v>
      </c>
      <c r="AM688" t="s">
        <v>150</v>
      </c>
      <c r="AN688" t="s">
        <v>151</v>
      </c>
      <c r="AO688" t="s">
        <v>74</v>
      </c>
      <c r="AP688" t="s">
        <v>152</v>
      </c>
      <c r="AQ688" t="s">
        <v>74</v>
      </c>
      <c r="AR688" t="s">
        <v>153</v>
      </c>
      <c r="AS688" t="s">
        <v>154</v>
      </c>
      <c r="AT688" t="s">
        <v>13524</v>
      </c>
      <c r="AU688">
        <v>2022</v>
      </c>
      <c r="AV688">
        <v>13</v>
      </c>
      <c r="AW688">
        <v>1</v>
      </c>
      <c r="AX688" t="s">
        <v>74</v>
      </c>
      <c r="AY688" t="s">
        <v>74</v>
      </c>
      <c r="AZ688" t="s">
        <v>74</v>
      </c>
      <c r="BA688" t="s">
        <v>74</v>
      </c>
      <c r="BB688" t="s">
        <v>74</v>
      </c>
      <c r="BC688" t="s">
        <v>74</v>
      </c>
      <c r="BD688">
        <v>3912</v>
      </c>
      <c r="BE688" t="s">
        <v>13542</v>
      </c>
      <c r="BF688" t="str">
        <f>HYPERLINK("http://dx.doi.org/10.1038/s41467-022-31508-9","http://dx.doi.org/10.1038/s41467-022-31508-9")</f>
        <v>http://dx.doi.org/10.1038/s41467-022-31508-9</v>
      </c>
      <c r="BG688" t="s">
        <v>74</v>
      </c>
      <c r="BH688" t="s">
        <v>74</v>
      </c>
      <c r="BI688">
        <v>13</v>
      </c>
      <c r="BJ688" t="s">
        <v>156</v>
      </c>
      <c r="BK688" t="s">
        <v>100</v>
      </c>
      <c r="BL688" t="s">
        <v>157</v>
      </c>
      <c r="BM688" t="s">
        <v>13543</v>
      </c>
      <c r="BN688">
        <v>35853876</v>
      </c>
      <c r="BO688" t="s">
        <v>3537</v>
      </c>
      <c r="BP688" t="s">
        <v>74</v>
      </c>
      <c r="BQ688" t="s">
        <v>74</v>
      </c>
      <c r="BR688" t="s">
        <v>103</v>
      </c>
      <c r="BS688" t="s">
        <v>13544</v>
      </c>
      <c r="BT688" t="str">
        <f>HYPERLINK("https%3A%2F%2Fwww.webofscience.com%2Fwos%2Fwoscc%2Ffull-record%2FWOS:000827790500016","View Full Record in Web of Science")</f>
        <v>View Full Record in Web of Science</v>
      </c>
    </row>
    <row r="689" spans="1:72" x14ac:dyDescent="0.15">
      <c r="A689" t="s">
        <v>72</v>
      </c>
      <c r="B689" t="s">
        <v>13545</v>
      </c>
      <c r="C689" t="s">
        <v>74</v>
      </c>
      <c r="D689" t="s">
        <v>74</v>
      </c>
      <c r="E689" t="s">
        <v>74</v>
      </c>
      <c r="F689" t="s">
        <v>13546</v>
      </c>
      <c r="G689" t="s">
        <v>74</v>
      </c>
      <c r="H689" t="s">
        <v>74</v>
      </c>
      <c r="I689" t="s">
        <v>13547</v>
      </c>
      <c r="J689" t="s">
        <v>13548</v>
      </c>
      <c r="K689" t="s">
        <v>74</v>
      </c>
      <c r="L689" t="s">
        <v>74</v>
      </c>
      <c r="M689" t="s">
        <v>78</v>
      </c>
      <c r="N689" t="s">
        <v>79</v>
      </c>
      <c r="O689" t="s">
        <v>74</v>
      </c>
      <c r="P689" t="s">
        <v>74</v>
      </c>
      <c r="Q689" t="s">
        <v>74</v>
      </c>
      <c r="R689" t="s">
        <v>74</v>
      </c>
      <c r="S689" t="s">
        <v>74</v>
      </c>
      <c r="T689" t="s">
        <v>13549</v>
      </c>
      <c r="U689" t="s">
        <v>13550</v>
      </c>
      <c r="V689" t="s">
        <v>13551</v>
      </c>
      <c r="W689" t="s">
        <v>13552</v>
      </c>
      <c r="X689" t="s">
        <v>13553</v>
      </c>
      <c r="Y689" t="s">
        <v>13554</v>
      </c>
      <c r="Z689" t="s">
        <v>13555</v>
      </c>
      <c r="AA689" t="s">
        <v>13556</v>
      </c>
      <c r="AB689" t="s">
        <v>13557</v>
      </c>
      <c r="AC689" t="s">
        <v>13558</v>
      </c>
      <c r="AD689" t="s">
        <v>13558</v>
      </c>
      <c r="AE689" t="s">
        <v>13558</v>
      </c>
      <c r="AF689" t="s">
        <v>74</v>
      </c>
      <c r="AG689">
        <v>42</v>
      </c>
      <c r="AH689">
        <v>1</v>
      </c>
      <c r="AI689">
        <v>1</v>
      </c>
      <c r="AJ689">
        <v>0</v>
      </c>
      <c r="AK689">
        <v>2</v>
      </c>
      <c r="AL689" t="s">
        <v>231</v>
      </c>
      <c r="AM689" t="s">
        <v>232</v>
      </c>
      <c r="AN689" t="s">
        <v>233</v>
      </c>
      <c r="AO689" t="s">
        <v>13559</v>
      </c>
      <c r="AP689" t="s">
        <v>13560</v>
      </c>
      <c r="AQ689" t="s">
        <v>74</v>
      </c>
      <c r="AR689" t="s">
        <v>13561</v>
      </c>
      <c r="AS689" t="s">
        <v>13562</v>
      </c>
      <c r="AT689" t="s">
        <v>325</v>
      </c>
      <c r="AU689">
        <v>2022</v>
      </c>
      <c r="AV689">
        <v>29</v>
      </c>
      <c r="AW689">
        <v>6</v>
      </c>
      <c r="AX689" t="s">
        <v>74</v>
      </c>
      <c r="AY689" t="s">
        <v>74</v>
      </c>
      <c r="AZ689" t="s">
        <v>74</v>
      </c>
      <c r="BA689" t="s">
        <v>74</v>
      </c>
      <c r="BB689">
        <v>841</v>
      </c>
      <c r="BC689">
        <v>850</v>
      </c>
      <c r="BD689" t="s">
        <v>74</v>
      </c>
      <c r="BE689" t="s">
        <v>13563</v>
      </c>
      <c r="BF689" t="str">
        <f>HYPERLINK("http://dx.doi.org/10.1111/fme.12586","http://dx.doi.org/10.1111/fme.12586")</f>
        <v>http://dx.doi.org/10.1111/fme.12586</v>
      </c>
      <c r="BG689" t="s">
        <v>74</v>
      </c>
      <c r="BH689" t="s">
        <v>12326</v>
      </c>
      <c r="BI689">
        <v>10</v>
      </c>
      <c r="BJ689" t="s">
        <v>1931</v>
      </c>
      <c r="BK689" t="s">
        <v>100</v>
      </c>
      <c r="BL689" t="s">
        <v>1931</v>
      </c>
      <c r="BM689" t="s">
        <v>13564</v>
      </c>
      <c r="BN689" t="s">
        <v>74</v>
      </c>
      <c r="BO689" t="s">
        <v>831</v>
      </c>
      <c r="BP689" t="s">
        <v>74</v>
      </c>
      <c r="BQ689" t="s">
        <v>74</v>
      </c>
      <c r="BR689" t="s">
        <v>103</v>
      </c>
      <c r="BS689" t="s">
        <v>13565</v>
      </c>
      <c r="BT689" t="str">
        <f>HYPERLINK("https%3A%2F%2Fwww.webofscience.com%2Fwos%2Fwoscc%2Ffull-record%2FWOS:000827301600001","View Full Record in Web of Science")</f>
        <v>View Full Record in Web of Science</v>
      </c>
    </row>
    <row r="690" spans="1:72" x14ac:dyDescent="0.15">
      <c r="A690" t="s">
        <v>72</v>
      </c>
      <c r="B690" t="s">
        <v>13566</v>
      </c>
      <c r="C690" t="s">
        <v>74</v>
      </c>
      <c r="D690" t="s">
        <v>74</v>
      </c>
      <c r="E690" t="s">
        <v>74</v>
      </c>
      <c r="F690" t="s">
        <v>13567</v>
      </c>
      <c r="G690" t="s">
        <v>74</v>
      </c>
      <c r="H690" t="s">
        <v>74</v>
      </c>
      <c r="I690" t="s">
        <v>13568</v>
      </c>
      <c r="J690" t="s">
        <v>2630</v>
      </c>
      <c r="K690" t="s">
        <v>74</v>
      </c>
      <c r="L690" t="s">
        <v>74</v>
      </c>
      <c r="M690" t="s">
        <v>78</v>
      </c>
      <c r="N690" t="s">
        <v>79</v>
      </c>
      <c r="O690" t="s">
        <v>74</v>
      </c>
      <c r="P690" t="s">
        <v>74</v>
      </c>
      <c r="Q690" t="s">
        <v>74</v>
      </c>
      <c r="R690" t="s">
        <v>74</v>
      </c>
      <c r="S690" t="s">
        <v>74</v>
      </c>
      <c r="T690" t="s">
        <v>13569</v>
      </c>
      <c r="U690" t="s">
        <v>13570</v>
      </c>
      <c r="V690" t="s">
        <v>13571</v>
      </c>
      <c r="W690" t="s">
        <v>13572</v>
      </c>
      <c r="X690" t="s">
        <v>13573</v>
      </c>
      <c r="Y690" t="s">
        <v>13574</v>
      </c>
      <c r="Z690" t="s">
        <v>13575</v>
      </c>
      <c r="AA690" t="s">
        <v>13576</v>
      </c>
      <c r="AB690" t="s">
        <v>13577</v>
      </c>
      <c r="AC690" t="s">
        <v>13578</v>
      </c>
      <c r="AD690" t="s">
        <v>13579</v>
      </c>
      <c r="AE690" t="s">
        <v>13580</v>
      </c>
      <c r="AF690" t="s">
        <v>74</v>
      </c>
      <c r="AG690">
        <v>84</v>
      </c>
      <c r="AH690">
        <v>1</v>
      </c>
      <c r="AI690">
        <v>1</v>
      </c>
      <c r="AJ690">
        <v>4</v>
      </c>
      <c r="AK690">
        <v>9</v>
      </c>
      <c r="AL690" t="s">
        <v>231</v>
      </c>
      <c r="AM690" t="s">
        <v>232</v>
      </c>
      <c r="AN690" t="s">
        <v>233</v>
      </c>
      <c r="AO690" t="s">
        <v>2643</v>
      </c>
      <c r="AP690" t="s">
        <v>2644</v>
      </c>
      <c r="AQ690" t="s">
        <v>74</v>
      </c>
      <c r="AR690" t="s">
        <v>2645</v>
      </c>
      <c r="AS690" t="s">
        <v>2646</v>
      </c>
      <c r="AT690" t="s">
        <v>3605</v>
      </c>
      <c r="AU690">
        <v>2022</v>
      </c>
      <c r="AV690">
        <v>28</v>
      </c>
      <c r="AW690">
        <v>9</v>
      </c>
      <c r="AX690" t="s">
        <v>74</v>
      </c>
      <c r="AY690" t="s">
        <v>74</v>
      </c>
      <c r="AZ690" t="s">
        <v>74</v>
      </c>
      <c r="BA690" t="s">
        <v>74</v>
      </c>
      <c r="BB690">
        <v>1891</v>
      </c>
      <c r="BC690">
        <v>1907</v>
      </c>
      <c r="BD690" t="s">
        <v>74</v>
      </c>
      <c r="BE690" t="s">
        <v>13581</v>
      </c>
      <c r="BF690" t="str">
        <f>HYPERLINK("http://dx.doi.org/10.1111/ddi.13590","http://dx.doi.org/10.1111/ddi.13590")</f>
        <v>http://dx.doi.org/10.1111/ddi.13590</v>
      </c>
      <c r="BG690" t="s">
        <v>74</v>
      </c>
      <c r="BH690" t="s">
        <v>12326</v>
      </c>
      <c r="BI690">
        <v>17</v>
      </c>
      <c r="BJ690" t="s">
        <v>1169</v>
      </c>
      <c r="BK690" t="s">
        <v>100</v>
      </c>
      <c r="BL690" t="s">
        <v>1170</v>
      </c>
      <c r="BM690" t="s">
        <v>13582</v>
      </c>
      <c r="BN690" t="s">
        <v>74</v>
      </c>
      <c r="BO690" t="s">
        <v>159</v>
      </c>
      <c r="BP690" t="s">
        <v>74</v>
      </c>
      <c r="BQ690" t="s">
        <v>74</v>
      </c>
      <c r="BR690" t="s">
        <v>103</v>
      </c>
      <c r="BS690" t="s">
        <v>13583</v>
      </c>
      <c r="BT690" t="str">
        <f>HYPERLINK("https%3A%2F%2Fwww.webofscience.com%2Fwos%2Fwoscc%2Ffull-record%2FWOS:000827312900001","View Full Record in Web of Science")</f>
        <v>View Full Record in Web of Science</v>
      </c>
    </row>
    <row r="691" spans="1:72" x14ac:dyDescent="0.15">
      <c r="A691" t="s">
        <v>72</v>
      </c>
      <c r="B691" t="s">
        <v>13584</v>
      </c>
      <c r="C691" t="s">
        <v>74</v>
      </c>
      <c r="D691" t="s">
        <v>74</v>
      </c>
      <c r="E691" t="s">
        <v>74</v>
      </c>
      <c r="F691" t="s">
        <v>13585</v>
      </c>
      <c r="G691" t="s">
        <v>74</v>
      </c>
      <c r="H691" t="s">
        <v>74</v>
      </c>
      <c r="I691" t="s">
        <v>13586</v>
      </c>
      <c r="J691" t="s">
        <v>3356</v>
      </c>
      <c r="K691" t="s">
        <v>74</v>
      </c>
      <c r="L691" t="s">
        <v>74</v>
      </c>
      <c r="M691" t="s">
        <v>78</v>
      </c>
      <c r="N691" t="s">
        <v>3357</v>
      </c>
      <c r="O691" t="s">
        <v>74</v>
      </c>
      <c r="P691" t="s">
        <v>74</v>
      </c>
      <c r="Q691" t="s">
        <v>74</v>
      </c>
      <c r="R691" t="s">
        <v>74</v>
      </c>
      <c r="S691" t="s">
        <v>74</v>
      </c>
      <c r="T691" t="s">
        <v>74</v>
      </c>
      <c r="U691" t="s">
        <v>13587</v>
      </c>
      <c r="V691" t="s">
        <v>13588</v>
      </c>
      <c r="W691" t="s">
        <v>13589</v>
      </c>
      <c r="X691" t="s">
        <v>13590</v>
      </c>
      <c r="Y691" t="s">
        <v>13591</v>
      </c>
      <c r="Z691" t="s">
        <v>13592</v>
      </c>
      <c r="AA691" t="s">
        <v>13593</v>
      </c>
      <c r="AB691" t="s">
        <v>13594</v>
      </c>
      <c r="AC691" t="s">
        <v>13595</v>
      </c>
      <c r="AD691" t="s">
        <v>13596</v>
      </c>
      <c r="AE691" t="s">
        <v>13597</v>
      </c>
      <c r="AF691" t="s">
        <v>74</v>
      </c>
      <c r="AG691">
        <v>41</v>
      </c>
      <c r="AH691">
        <v>5</v>
      </c>
      <c r="AI691">
        <v>5</v>
      </c>
      <c r="AJ691">
        <v>0</v>
      </c>
      <c r="AK691">
        <v>5</v>
      </c>
      <c r="AL691" t="s">
        <v>2460</v>
      </c>
      <c r="AM691" t="s">
        <v>2461</v>
      </c>
      <c r="AN691" t="s">
        <v>2462</v>
      </c>
      <c r="AO691" t="s">
        <v>3368</v>
      </c>
      <c r="AP691" t="s">
        <v>3369</v>
      </c>
      <c r="AQ691" t="s">
        <v>74</v>
      </c>
      <c r="AR691" t="s">
        <v>3370</v>
      </c>
      <c r="AS691" t="s">
        <v>3371</v>
      </c>
      <c r="AT691" t="s">
        <v>13524</v>
      </c>
      <c r="AU691">
        <v>2022</v>
      </c>
      <c r="AV691">
        <v>14</v>
      </c>
      <c r="AW691">
        <v>7</v>
      </c>
      <c r="AX691" t="s">
        <v>74</v>
      </c>
      <c r="AY691" t="s">
        <v>74</v>
      </c>
      <c r="AZ691" t="s">
        <v>74</v>
      </c>
      <c r="BA691" t="s">
        <v>74</v>
      </c>
      <c r="BB691">
        <v>3313</v>
      </c>
      <c r="BC691">
        <v>3328</v>
      </c>
      <c r="BD691" t="s">
        <v>74</v>
      </c>
      <c r="BE691" t="s">
        <v>13598</v>
      </c>
      <c r="BF691" t="str">
        <f>HYPERLINK("http://dx.doi.org/10.5194/essd-14-3313-2022","http://dx.doi.org/10.5194/essd-14-3313-2022")</f>
        <v>http://dx.doi.org/10.5194/essd-14-3313-2022</v>
      </c>
      <c r="BG691" t="s">
        <v>74</v>
      </c>
      <c r="BH691" t="s">
        <v>74</v>
      </c>
      <c r="BI691">
        <v>16</v>
      </c>
      <c r="BJ691" t="s">
        <v>3373</v>
      </c>
      <c r="BK691" t="s">
        <v>100</v>
      </c>
      <c r="BL691" t="s">
        <v>3374</v>
      </c>
      <c r="BM691" t="s">
        <v>13599</v>
      </c>
      <c r="BN691" t="s">
        <v>74</v>
      </c>
      <c r="BO691" t="s">
        <v>483</v>
      </c>
      <c r="BP691" t="s">
        <v>74</v>
      </c>
      <c r="BQ691" t="s">
        <v>74</v>
      </c>
      <c r="BR691" t="s">
        <v>103</v>
      </c>
      <c r="BS691" t="s">
        <v>13600</v>
      </c>
      <c r="BT691" t="str">
        <f>HYPERLINK("https%3A%2F%2Fwww.webofscience.com%2Fwos%2Fwoscc%2Ffull-record%2FWOS:000826905400001","View Full Record in Web of Science")</f>
        <v>View Full Record in Web of Science</v>
      </c>
    </row>
    <row r="692" spans="1:72" x14ac:dyDescent="0.15">
      <c r="A692" t="s">
        <v>72</v>
      </c>
      <c r="B692" t="s">
        <v>13601</v>
      </c>
      <c r="C692" t="s">
        <v>74</v>
      </c>
      <c r="D692" t="s">
        <v>74</v>
      </c>
      <c r="E692" t="s">
        <v>74</v>
      </c>
      <c r="F692" t="s">
        <v>13602</v>
      </c>
      <c r="G692" t="s">
        <v>74</v>
      </c>
      <c r="H692" t="s">
        <v>74</v>
      </c>
      <c r="I692" t="s">
        <v>13603</v>
      </c>
      <c r="J692" t="s">
        <v>247</v>
      </c>
      <c r="K692" t="s">
        <v>74</v>
      </c>
      <c r="L692" t="s">
        <v>74</v>
      </c>
      <c r="M692" t="s">
        <v>78</v>
      </c>
      <c r="N692" t="s">
        <v>79</v>
      </c>
      <c r="O692" t="s">
        <v>74</v>
      </c>
      <c r="P692" t="s">
        <v>74</v>
      </c>
      <c r="Q692" t="s">
        <v>74</v>
      </c>
      <c r="R692" t="s">
        <v>74</v>
      </c>
      <c r="S692" t="s">
        <v>74</v>
      </c>
      <c r="T692" t="s">
        <v>13604</v>
      </c>
      <c r="U692" t="s">
        <v>13605</v>
      </c>
      <c r="V692" t="s">
        <v>13606</v>
      </c>
      <c r="W692" t="s">
        <v>13607</v>
      </c>
      <c r="X692" t="s">
        <v>13608</v>
      </c>
      <c r="Y692" t="s">
        <v>13609</v>
      </c>
      <c r="Z692" t="s">
        <v>13610</v>
      </c>
      <c r="AA692" t="s">
        <v>13611</v>
      </c>
      <c r="AB692" t="s">
        <v>13612</v>
      </c>
      <c r="AC692" t="s">
        <v>13613</v>
      </c>
      <c r="AD692" t="s">
        <v>13614</v>
      </c>
      <c r="AE692" t="s">
        <v>13615</v>
      </c>
      <c r="AF692" t="s">
        <v>74</v>
      </c>
      <c r="AG692">
        <v>49</v>
      </c>
      <c r="AH692">
        <v>3</v>
      </c>
      <c r="AI692">
        <v>3</v>
      </c>
      <c r="AJ692">
        <v>2</v>
      </c>
      <c r="AK692">
        <v>9</v>
      </c>
      <c r="AL692" t="s">
        <v>121</v>
      </c>
      <c r="AM692" t="s">
        <v>122</v>
      </c>
      <c r="AN692" t="s">
        <v>123</v>
      </c>
      <c r="AO692" t="s">
        <v>74</v>
      </c>
      <c r="AP692" t="s">
        <v>258</v>
      </c>
      <c r="AQ692" t="s">
        <v>74</v>
      </c>
      <c r="AR692" t="s">
        <v>259</v>
      </c>
      <c r="AS692" t="s">
        <v>260</v>
      </c>
      <c r="AT692" t="s">
        <v>13616</v>
      </c>
      <c r="AU692">
        <v>2022</v>
      </c>
      <c r="AV692">
        <v>9</v>
      </c>
      <c r="AW692" t="s">
        <v>74</v>
      </c>
      <c r="AX692" t="s">
        <v>74</v>
      </c>
      <c r="AY692" t="s">
        <v>74</v>
      </c>
      <c r="AZ692" t="s">
        <v>74</v>
      </c>
      <c r="BA692" t="s">
        <v>74</v>
      </c>
      <c r="BB692" t="s">
        <v>74</v>
      </c>
      <c r="BC692" t="s">
        <v>74</v>
      </c>
      <c r="BD692">
        <v>884715</v>
      </c>
      <c r="BE692" t="s">
        <v>13617</v>
      </c>
      <c r="BF692" t="str">
        <f>HYPERLINK("http://dx.doi.org/10.3389/fmars.2022.884715","http://dx.doi.org/10.3389/fmars.2022.884715")</f>
        <v>http://dx.doi.org/10.3389/fmars.2022.884715</v>
      </c>
      <c r="BG692" t="s">
        <v>74</v>
      </c>
      <c r="BH692" t="s">
        <v>74</v>
      </c>
      <c r="BI692">
        <v>17</v>
      </c>
      <c r="BJ692" t="s">
        <v>263</v>
      </c>
      <c r="BK692" t="s">
        <v>100</v>
      </c>
      <c r="BL692" t="s">
        <v>264</v>
      </c>
      <c r="BM692" t="s">
        <v>13618</v>
      </c>
      <c r="BN692" t="s">
        <v>74</v>
      </c>
      <c r="BO692" t="s">
        <v>266</v>
      </c>
      <c r="BP692" t="s">
        <v>74</v>
      </c>
      <c r="BQ692" t="s">
        <v>74</v>
      </c>
      <c r="BR692" t="s">
        <v>103</v>
      </c>
      <c r="BS692" t="s">
        <v>13619</v>
      </c>
      <c r="BT692" t="str">
        <f>HYPERLINK("https%3A%2F%2Fwww.webofscience.com%2Fwos%2Fwoscc%2Ffull-record%2FWOS:000892063700001","View Full Record in Web of Science")</f>
        <v>View Full Record in Web of Science</v>
      </c>
    </row>
    <row r="693" spans="1:72" x14ac:dyDescent="0.15">
      <c r="A693" t="s">
        <v>72</v>
      </c>
      <c r="B693" t="s">
        <v>13620</v>
      </c>
      <c r="C693" t="s">
        <v>74</v>
      </c>
      <c r="D693" t="s">
        <v>74</v>
      </c>
      <c r="E693" t="s">
        <v>74</v>
      </c>
      <c r="F693" t="s">
        <v>13621</v>
      </c>
      <c r="G693" t="s">
        <v>74</v>
      </c>
      <c r="H693" t="s">
        <v>74</v>
      </c>
      <c r="I693" t="s">
        <v>13622</v>
      </c>
      <c r="J693" t="s">
        <v>13623</v>
      </c>
      <c r="K693" t="s">
        <v>74</v>
      </c>
      <c r="L693" t="s">
        <v>74</v>
      </c>
      <c r="M693" t="s">
        <v>78</v>
      </c>
      <c r="N693" t="s">
        <v>79</v>
      </c>
      <c r="O693" t="s">
        <v>74</v>
      </c>
      <c r="P693" t="s">
        <v>74</v>
      </c>
      <c r="Q693" t="s">
        <v>74</v>
      </c>
      <c r="R693" t="s">
        <v>74</v>
      </c>
      <c r="S693" t="s">
        <v>74</v>
      </c>
      <c r="T693" t="s">
        <v>13624</v>
      </c>
      <c r="U693" t="s">
        <v>13625</v>
      </c>
      <c r="V693" t="s">
        <v>13626</v>
      </c>
      <c r="W693" t="s">
        <v>13627</v>
      </c>
      <c r="X693" t="s">
        <v>13628</v>
      </c>
      <c r="Y693" t="s">
        <v>13629</v>
      </c>
      <c r="Z693" t="s">
        <v>13630</v>
      </c>
      <c r="AA693" t="s">
        <v>74</v>
      </c>
      <c r="AB693" t="s">
        <v>74</v>
      </c>
      <c r="AC693" t="s">
        <v>13631</v>
      </c>
      <c r="AD693" t="s">
        <v>13632</v>
      </c>
      <c r="AE693" t="s">
        <v>13633</v>
      </c>
      <c r="AF693" t="s">
        <v>74</v>
      </c>
      <c r="AG693">
        <v>78</v>
      </c>
      <c r="AH693">
        <v>1</v>
      </c>
      <c r="AI693">
        <v>1</v>
      </c>
      <c r="AJ693">
        <v>2</v>
      </c>
      <c r="AK693">
        <v>5</v>
      </c>
      <c r="AL693" t="s">
        <v>501</v>
      </c>
      <c r="AM693" t="s">
        <v>502</v>
      </c>
      <c r="AN693" t="s">
        <v>503</v>
      </c>
      <c r="AO693" t="s">
        <v>13634</v>
      </c>
      <c r="AP693" t="s">
        <v>13635</v>
      </c>
      <c r="AQ693" t="s">
        <v>74</v>
      </c>
      <c r="AR693" t="s">
        <v>13636</v>
      </c>
      <c r="AS693" t="s">
        <v>13637</v>
      </c>
      <c r="AT693" t="s">
        <v>13638</v>
      </c>
      <c r="AU693">
        <v>2022</v>
      </c>
      <c r="AV693">
        <v>329</v>
      </c>
      <c r="AW693" t="s">
        <v>74</v>
      </c>
      <c r="AX693" t="s">
        <v>74</v>
      </c>
      <c r="AY693" t="s">
        <v>74</v>
      </c>
      <c r="AZ693" t="s">
        <v>74</v>
      </c>
      <c r="BA693" t="s">
        <v>74</v>
      </c>
      <c r="BB693" t="s">
        <v>74</v>
      </c>
      <c r="BC693" t="s">
        <v>74</v>
      </c>
      <c r="BD693">
        <v>106910</v>
      </c>
      <c r="BE693" t="s">
        <v>13639</v>
      </c>
      <c r="BF693" t="str">
        <f>HYPERLINK("http://dx.doi.org/10.1016/j.pepi.2022.106910","http://dx.doi.org/10.1016/j.pepi.2022.106910")</f>
        <v>http://dx.doi.org/10.1016/j.pepi.2022.106910</v>
      </c>
      <c r="BG693" t="s">
        <v>74</v>
      </c>
      <c r="BH693" t="s">
        <v>12326</v>
      </c>
      <c r="BI693">
        <v>18</v>
      </c>
      <c r="BJ693" t="s">
        <v>1379</v>
      </c>
      <c r="BK693" t="s">
        <v>100</v>
      </c>
      <c r="BL693" t="s">
        <v>1379</v>
      </c>
      <c r="BM693" t="s">
        <v>13640</v>
      </c>
      <c r="BN693" t="s">
        <v>74</v>
      </c>
      <c r="BO693" t="s">
        <v>74</v>
      </c>
      <c r="BP693" t="s">
        <v>74</v>
      </c>
      <c r="BQ693" t="s">
        <v>74</v>
      </c>
      <c r="BR693" t="s">
        <v>103</v>
      </c>
      <c r="BS693" t="s">
        <v>13641</v>
      </c>
      <c r="BT693" t="str">
        <f>HYPERLINK("https%3A%2F%2Fwww.webofscience.com%2Fwos%2Fwoscc%2Ffull-record%2FWOS:000843862800001","View Full Record in Web of Science")</f>
        <v>View Full Record in Web of Science</v>
      </c>
    </row>
    <row r="694" spans="1:72" x14ac:dyDescent="0.15">
      <c r="A694" t="s">
        <v>72</v>
      </c>
      <c r="B694" t="s">
        <v>13642</v>
      </c>
      <c r="C694" t="s">
        <v>74</v>
      </c>
      <c r="D694" t="s">
        <v>74</v>
      </c>
      <c r="E694" t="s">
        <v>74</v>
      </c>
      <c r="F694" t="s">
        <v>13643</v>
      </c>
      <c r="G694" t="s">
        <v>74</v>
      </c>
      <c r="H694" t="s">
        <v>74</v>
      </c>
      <c r="I694" t="s">
        <v>13644</v>
      </c>
      <c r="J694" t="s">
        <v>3747</v>
      </c>
      <c r="K694" t="s">
        <v>74</v>
      </c>
      <c r="L694" t="s">
        <v>74</v>
      </c>
      <c r="M694" t="s">
        <v>78</v>
      </c>
      <c r="N694" t="s">
        <v>2873</v>
      </c>
      <c r="O694" t="s">
        <v>74</v>
      </c>
      <c r="P694" t="s">
        <v>74</v>
      </c>
      <c r="Q694" t="s">
        <v>74</v>
      </c>
      <c r="R694" t="s">
        <v>74</v>
      </c>
      <c r="S694" t="s">
        <v>74</v>
      </c>
      <c r="T694" t="s">
        <v>74</v>
      </c>
      <c r="U694" t="s">
        <v>74</v>
      </c>
      <c r="V694" t="s">
        <v>74</v>
      </c>
      <c r="W694" t="s">
        <v>13645</v>
      </c>
      <c r="X694" t="s">
        <v>13646</v>
      </c>
      <c r="Y694" t="s">
        <v>13647</v>
      </c>
      <c r="Z694" t="s">
        <v>13648</v>
      </c>
      <c r="AA694" t="s">
        <v>13649</v>
      </c>
      <c r="AB694" t="s">
        <v>13650</v>
      </c>
      <c r="AC694" t="s">
        <v>74</v>
      </c>
      <c r="AD694" t="s">
        <v>74</v>
      </c>
      <c r="AE694" t="s">
        <v>74</v>
      </c>
      <c r="AF694" t="s">
        <v>74</v>
      </c>
      <c r="AG694">
        <v>1</v>
      </c>
      <c r="AH694">
        <v>0</v>
      </c>
      <c r="AI694">
        <v>0</v>
      </c>
      <c r="AJ694">
        <v>1</v>
      </c>
      <c r="AK694">
        <v>10</v>
      </c>
      <c r="AL694" t="s">
        <v>501</v>
      </c>
      <c r="AM694" t="s">
        <v>502</v>
      </c>
      <c r="AN694" t="s">
        <v>503</v>
      </c>
      <c r="AO694" t="s">
        <v>3759</v>
      </c>
      <c r="AP694" t="s">
        <v>3760</v>
      </c>
      <c r="AQ694" t="s">
        <v>74</v>
      </c>
      <c r="AR694" t="s">
        <v>3761</v>
      </c>
      <c r="AS694" t="s">
        <v>3762</v>
      </c>
      <c r="AT694" t="s">
        <v>2731</v>
      </c>
      <c r="AU694">
        <v>2022</v>
      </c>
      <c r="AV694">
        <v>845</v>
      </c>
      <c r="AW694" t="s">
        <v>74</v>
      </c>
      <c r="AX694" t="s">
        <v>74</v>
      </c>
      <c r="AY694" t="s">
        <v>74</v>
      </c>
      <c r="AZ694" t="s">
        <v>74</v>
      </c>
      <c r="BA694" t="s">
        <v>74</v>
      </c>
      <c r="BB694" t="s">
        <v>74</v>
      </c>
      <c r="BC694" t="s">
        <v>74</v>
      </c>
      <c r="BD694">
        <v>157380</v>
      </c>
      <c r="BE694" t="s">
        <v>13651</v>
      </c>
      <c r="BF694" t="str">
        <f>HYPERLINK("http://dx.doi.org/10.1016/j.scitotenv.2022.157380","http://dx.doi.org/10.1016/j.scitotenv.2022.157380")</f>
        <v>http://dx.doi.org/10.1016/j.scitotenv.2022.157380</v>
      </c>
      <c r="BG694" t="s">
        <v>74</v>
      </c>
      <c r="BH694" t="s">
        <v>12326</v>
      </c>
      <c r="BI694">
        <v>1</v>
      </c>
      <c r="BJ694" t="s">
        <v>2040</v>
      </c>
      <c r="BK694" t="s">
        <v>100</v>
      </c>
      <c r="BL694" t="s">
        <v>2041</v>
      </c>
      <c r="BM694" t="s">
        <v>13652</v>
      </c>
      <c r="BN694">
        <v>35915569</v>
      </c>
      <c r="BO694" t="s">
        <v>74</v>
      </c>
      <c r="BP694" t="s">
        <v>74</v>
      </c>
      <c r="BQ694" t="s">
        <v>74</v>
      </c>
      <c r="BR694" t="s">
        <v>103</v>
      </c>
      <c r="BS694" t="s">
        <v>13653</v>
      </c>
      <c r="BT694" t="str">
        <f>HYPERLINK("https%3A%2F%2Fwww.webofscience.com%2Fwos%2Fwoscc%2Ffull-record%2FWOS:000831563300008","View Full Record in Web of Science")</f>
        <v>View Full Record in Web of Science</v>
      </c>
    </row>
    <row r="695" spans="1:72" x14ac:dyDescent="0.15">
      <c r="A695" t="s">
        <v>72</v>
      </c>
      <c r="B695" t="s">
        <v>13654</v>
      </c>
      <c r="C695" t="s">
        <v>74</v>
      </c>
      <c r="D695" t="s">
        <v>74</v>
      </c>
      <c r="E695" t="s">
        <v>74</v>
      </c>
      <c r="F695" t="s">
        <v>13655</v>
      </c>
      <c r="G695" t="s">
        <v>74</v>
      </c>
      <c r="H695" t="s">
        <v>74</v>
      </c>
      <c r="I695" t="s">
        <v>13656</v>
      </c>
      <c r="J695" t="s">
        <v>3791</v>
      </c>
      <c r="K695" t="s">
        <v>74</v>
      </c>
      <c r="L695" t="s">
        <v>74</v>
      </c>
      <c r="M695" t="s">
        <v>78</v>
      </c>
      <c r="N695" t="s">
        <v>79</v>
      </c>
      <c r="O695" t="s">
        <v>74</v>
      </c>
      <c r="P695" t="s">
        <v>74</v>
      </c>
      <c r="Q695" t="s">
        <v>74</v>
      </c>
      <c r="R695" t="s">
        <v>74</v>
      </c>
      <c r="S695" t="s">
        <v>74</v>
      </c>
      <c r="T695" t="s">
        <v>13657</v>
      </c>
      <c r="U695" t="s">
        <v>13658</v>
      </c>
      <c r="V695" t="s">
        <v>13659</v>
      </c>
      <c r="W695" t="s">
        <v>13660</v>
      </c>
      <c r="X695" t="s">
        <v>13661</v>
      </c>
      <c r="Y695" t="s">
        <v>13662</v>
      </c>
      <c r="Z695" t="s">
        <v>1921</v>
      </c>
      <c r="AA695" t="s">
        <v>13663</v>
      </c>
      <c r="AB695" t="s">
        <v>13664</v>
      </c>
      <c r="AC695" t="s">
        <v>13665</v>
      </c>
      <c r="AD695" t="s">
        <v>13666</v>
      </c>
      <c r="AE695" t="s">
        <v>13667</v>
      </c>
      <c r="AF695" t="s">
        <v>74</v>
      </c>
      <c r="AG695">
        <v>82</v>
      </c>
      <c r="AH695">
        <v>5</v>
      </c>
      <c r="AI695">
        <v>5</v>
      </c>
      <c r="AJ695">
        <v>3</v>
      </c>
      <c r="AK695">
        <v>15</v>
      </c>
      <c r="AL695" t="s">
        <v>2249</v>
      </c>
      <c r="AM695" t="s">
        <v>90</v>
      </c>
      <c r="AN695" t="s">
        <v>2250</v>
      </c>
      <c r="AO695" t="s">
        <v>3804</v>
      </c>
      <c r="AP695" t="s">
        <v>3805</v>
      </c>
      <c r="AQ695" t="s">
        <v>74</v>
      </c>
      <c r="AR695" t="s">
        <v>3806</v>
      </c>
      <c r="AS695" t="s">
        <v>3807</v>
      </c>
      <c r="AT695" t="s">
        <v>4180</v>
      </c>
      <c r="AU695">
        <v>2022</v>
      </c>
      <c r="AV695">
        <v>309</v>
      </c>
      <c r="AW695" t="s">
        <v>74</v>
      </c>
      <c r="AX695" t="s">
        <v>74</v>
      </c>
      <c r="AY695" t="s">
        <v>74</v>
      </c>
      <c r="AZ695" t="s">
        <v>74</v>
      </c>
      <c r="BA695" t="s">
        <v>74</v>
      </c>
      <c r="BB695" t="s">
        <v>74</v>
      </c>
      <c r="BC695" t="s">
        <v>74</v>
      </c>
      <c r="BD695">
        <v>119699</v>
      </c>
      <c r="BE695" t="s">
        <v>13668</v>
      </c>
      <c r="BF695" t="str">
        <f>HYPERLINK("http://dx.doi.org/10.1016/j.envpol.2022.119699","http://dx.doi.org/10.1016/j.envpol.2022.119699")</f>
        <v>http://dx.doi.org/10.1016/j.envpol.2022.119699</v>
      </c>
      <c r="BG695" t="s">
        <v>74</v>
      </c>
      <c r="BH695" t="s">
        <v>12326</v>
      </c>
      <c r="BI695">
        <v>12</v>
      </c>
      <c r="BJ695" t="s">
        <v>2040</v>
      </c>
      <c r="BK695" t="s">
        <v>100</v>
      </c>
      <c r="BL695" t="s">
        <v>2041</v>
      </c>
      <c r="BM695" t="s">
        <v>13669</v>
      </c>
      <c r="BN695">
        <v>35787424</v>
      </c>
      <c r="BO695" t="s">
        <v>74</v>
      </c>
      <c r="BP695" t="s">
        <v>74</v>
      </c>
      <c r="BQ695" t="s">
        <v>74</v>
      </c>
      <c r="BR695" t="s">
        <v>103</v>
      </c>
      <c r="BS695" t="s">
        <v>13670</v>
      </c>
      <c r="BT695" t="str">
        <f>HYPERLINK("https%3A%2F%2Fwww.webofscience.com%2Fwos%2Fwoscc%2Ffull-record%2FWOS:000830882600002","View Full Record in Web of Science")</f>
        <v>View Full Record in Web of Science</v>
      </c>
    </row>
    <row r="696" spans="1:72" x14ac:dyDescent="0.15">
      <c r="A696" t="s">
        <v>72</v>
      </c>
      <c r="B696" t="s">
        <v>13671</v>
      </c>
      <c r="C696" t="s">
        <v>74</v>
      </c>
      <c r="D696" t="s">
        <v>74</v>
      </c>
      <c r="E696" t="s">
        <v>74</v>
      </c>
      <c r="F696" t="s">
        <v>13672</v>
      </c>
      <c r="G696" t="s">
        <v>74</v>
      </c>
      <c r="H696" t="s">
        <v>74</v>
      </c>
      <c r="I696" t="s">
        <v>13673</v>
      </c>
      <c r="J696" t="s">
        <v>3171</v>
      </c>
      <c r="K696" t="s">
        <v>74</v>
      </c>
      <c r="L696" t="s">
        <v>74</v>
      </c>
      <c r="M696" t="s">
        <v>78</v>
      </c>
      <c r="N696" t="s">
        <v>79</v>
      </c>
      <c r="O696" t="s">
        <v>74</v>
      </c>
      <c r="P696" t="s">
        <v>74</v>
      </c>
      <c r="Q696" t="s">
        <v>74</v>
      </c>
      <c r="R696" t="s">
        <v>74</v>
      </c>
      <c r="S696" t="s">
        <v>74</v>
      </c>
      <c r="T696" t="s">
        <v>13674</v>
      </c>
      <c r="U696" t="s">
        <v>13675</v>
      </c>
      <c r="V696" t="s">
        <v>13676</v>
      </c>
      <c r="W696" t="s">
        <v>13677</v>
      </c>
      <c r="X696" t="s">
        <v>13678</v>
      </c>
      <c r="Y696" t="s">
        <v>13679</v>
      </c>
      <c r="Z696" t="s">
        <v>13680</v>
      </c>
      <c r="AA696" t="s">
        <v>13681</v>
      </c>
      <c r="AB696" t="s">
        <v>13682</v>
      </c>
      <c r="AC696" t="s">
        <v>74</v>
      </c>
      <c r="AD696" t="s">
        <v>74</v>
      </c>
      <c r="AE696" t="s">
        <v>74</v>
      </c>
      <c r="AF696" t="s">
        <v>74</v>
      </c>
      <c r="AG696">
        <v>62</v>
      </c>
      <c r="AH696">
        <v>2</v>
      </c>
      <c r="AI696">
        <v>2</v>
      </c>
      <c r="AJ696">
        <v>9</v>
      </c>
      <c r="AK696">
        <v>27</v>
      </c>
      <c r="AL696" t="s">
        <v>121</v>
      </c>
      <c r="AM696" t="s">
        <v>122</v>
      </c>
      <c r="AN696" t="s">
        <v>123</v>
      </c>
      <c r="AO696" t="s">
        <v>74</v>
      </c>
      <c r="AP696" t="s">
        <v>3183</v>
      </c>
      <c r="AQ696" t="s">
        <v>74</v>
      </c>
      <c r="AR696" t="s">
        <v>3184</v>
      </c>
      <c r="AS696" t="s">
        <v>3185</v>
      </c>
      <c r="AT696" t="s">
        <v>13616</v>
      </c>
      <c r="AU696">
        <v>2022</v>
      </c>
      <c r="AV696">
        <v>13</v>
      </c>
      <c r="AW696" t="s">
        <v>74</v>
      </c>
      <c r="AX696" t="s">
        <v>74</v>
      </c>
      <c r="AY696" t="s">
        <v>74</v>
      </c>
      <c r="AZ696" t="s">
        <v>74</v>
      </c>
      <c r="BA696" t="s">
        <v>74</v>
      </c>
      <c r="BB696" t="s">
        <v>74</v>
      </c>
      <c r="BC696" t="s">
        <v>74</v>
      </c>
      <c r="BD696">
        <v>827228</v>
      </c>
      <c r="BE696" t="s">
        <v>13683</v>
      </c>
      <c r="BF696" t="str">
        <f>HYPERLINK("http://dx.doi.org/10.3389/fmicb.2022.827228","http://dx.doi.org/10.3389/fmicb.2022.827228")</f>
        <v>http://dx.doi.org/10.3389/fmicb.2022.827228</v>
      </c>
      <c r="BG696" t="s">
        <v>74</v>
      </c>
      <c r="BH696" t="s">
        <v>74</v>
      </c>
      <c r="BI696">
        <v>14</v>
      </c>
      <c r="BJ696" t="s">
        <v>214</v>
      </c>
      <c r="BK696" t="s">
        <v>100</v>
      </c>
      <c r="BL696" t="s">
        <v>214</v>
      </c>
      <c r="BM696" t="s">
        <v>13684</v>
      </c>
      <c r="BN696">
        <v>35923392</v>
      </c>
      <c r="BO696" t="s">
        <v>132</v>
      </c>
      <c r="BP696" t="s">
        <v>74</v>
      </c>
      <c r="BQ696" t="s">
        <v>74</v>
      </c>
      <c r="BR696" t="s">
        <v>103</v>
      </c>
      <c r="BS696" t="s">
        <v>13685</v>
      </c>
      <c r="BT696" t="str">
        <f>HYPERLINK("https%3A%2F%2Fwww.webofscience.com%2Fwos%2Fwoscc%2Ffull-record%2FWOS:000837860300001","View Full Record in Web of Science")</f>
        <v>View Full Record in Web of Science</v>
      </c>
    </row>
    <row r="697" spans="1:72" x14ac:dyDescent="0.15">
      <c r="A697" t="s">
        <v>72</v>
      </c>
      <c r="B697" t="s">
        <v>13686</v>
      </c>
      <c r="C697" t="s">
        <v>74</v>
      </c>
      <c r="D697" t="s">
        <v>74</v>
      </c>
      <c r="E697" t="s">
        <v>74</v>
      </c>
      <c r="F697" t="s">
        <v>13687</v>
      </c>
      <c r="G697" t="s">
        <v>74</v>
      </c>
      <c r="H697" t="s">
        <v>74</v>
      </c>
      <c r="I697" t="s">
        <v>13688</v>
      </c>
      <c r="J697" t="s">
        <v>3244</v>
      </c>
      <c r="K697" t="s">
        <v>74</v>
      </c>
      <c r="L697" t="s">
        <v>74</v>
      </c>
      <c r="M697" t="s">
        <v>78</v>
      </c>
      <c r="N697" t="s">
        <v>79</v>
      </c>
      <c r="O697" t="s">
        <v>74</v>
      </c>
      <c r="P697" t="s">
        <v>74</v>
      </c>
      <c r="Q697" t="s">
        <v>74</v>
      </c>
      <c r="R697" t="s">
        <v>74</v>
      </c>
      <c r="S697" t="s">
        <v>74</v>
      </c>
      <c r="T697" t="s">
        <v>74</v>
      </c>
      <c r="U697" t="s">
        <v>13689</v>
      </c>
      <c r="V697" t="s">
        <v>13690</v>
      </c>
      <c r="W697" t="s">
        <v>13691</v>
      </c>
      <c r="X697" t="s">
        <v>13692</v>
      </c>
      <c r="Y697" t="s">
        <v>13693</v>
      </c>
      <c r="Z697" t="s">
        <v>13694</v>
      </c>
      <c r="AA697" t="s">
        <v>13695</v>
      </c>
      <c r="AB697" t="s">
        <v>13696</v>
      </c>
      <c r="AC697" t="s">
        <v>13697</v>
      </c>
      <c r="AD697" t="s">
        <v>13698</v>
      </c>
      <c r="AE697" t="s">
        <v>13699</v>
      </c>
      <c r="AF697" t="s">
        <v>74</v>
      </c>
      <c r="AG697">
        <v>91</v>
      </c>
      <c r="AH697">
        <v>5</v>
      </c>
      <c r="AI697">
        <v>5</v>
      </c>
      <c r="AJ697">
        <v>5</v>
      </c>
      <c r="AK697">
        <v>16</v>
      </c>
      <c r="AL697" t="s">
        <v>2460</v>
      </c>
      <c r="AM697" t="s">
        <v>2461</v>
      </c>
      <c r="AN697" t="s">
        <v>2462</v>
      </c>
      <c r="AO697" t="s">
        <v>3256</v>
      </c>
      <c r="AP697" t="s">
        <v>3257</v>
      </c>
      <c r="AQ697" t="s">
        <v>74</v>
      </c>
      <c r="AR697" t="s">
        <v>3258</v>
      </c>
      <c r="AS697" t="s">
        <v>3259</v>
      </c>
      <c r="AT697" t="s">
        <v>13616</v>
      </c>
      <c r="AU697">
        <v>2022</v>
      </c>
      <c r="AV697">
        <v>22</v>
      </c>
      <c r="AW697">
        <v>14</v>
      </c>
      <c r="AX697" t="s">
        <v>74</v>
      </c>
      <c r="AY697" t="s">
        <v>74</v>
      </c>
      <c r="AZ697" t="s">
        <v>74</v>
      </c>
      <c r="BA697" t="s">
        <v>74</v>
      </c>
      <c r="BB697">
        <v>9245</v>
      </c>
      <c r="BC697">
        <v>9263</v>
      </c>
      <c r="BD697" t="s">
        <v>74</v>
      </c>
      <c r="BE697" t="s">
        <v>13700</v>
      </c>
      <c r="BF697" t="str">
        <f>HYPERLINK("http://dx.doi.org/10.5194/acp-22-9245-2022","http://dx.doi.org/10.5194/acp-22-9245-2022")</f>
        <v>http://dx.doi.org/10.5194/acp-22-9245-2022</v>
      </c>
      <c r="BG697" t="s">
        <v>74</v>
      </c>
      <c r="BH697" t="s">
        <v>74</v>
      </c>
      <c r="BI697">
        <v>19</v>
      </c>
      <c r="BJ697" t="s">
        <v>1129</v>
      </c>
      <c r="BK697" t="s">
        <v>100</v>
      </c>
      <c r="BL697" t="s">
        <v>1130</v>
      </c>
      <c r="BM697" t="s">
        <v>13701</v>
      </c>
      <c r="BN697" t="s">
        <v>74</v>
      </c>
      <c r="BO697" t="s">
        <v>1195</v>
      </c>
      <c r="BP697" t="s">
        <v>74</v>
      </c>
      <c r="BQ697" t="s">
        <v>74</v>
      </c>
      <c r="BR697" t="s">
        <v>103</v>
      </c>
      <c r="BS697" t="s">
        <v>13702</v>
      </c>
      <c r="BT697" t="str">
        <f>HYPERLINK("https%3A%2F%2Fwww.webofscience.com%2Fwos%2Fwoscc%2Ffull-record%2FWOS:000826513700001","View Full Record in Web of Science")</f>
        <v>View Full Record in Web of Science</v>
      </c>
    </row>
    <row r="698" spans="1:72" x14ac:dyDescent="0.15">
      <c r="A698" t="s">
        <v>72</v>
      </c>
      <c r="B698" t="s">
        <v>13703</v>
      </c>
      <c r="C698" t="s">
        <v>74</v>
      </c>
      <c r="D698" t="s">
        <v>74</v>
      </c>
      <c r="E698" t="s">
        <v>74</v>
      </c>
      <c r="F698" t="s">
        <v>13704</v>
      </c>
      <c r="G698" t="s">
        <v>74</v>
      </c>
      <c r="H698" t="s">
        <v>74</v>
      </c>
      <c r="I698" t="s">
        <v>13705</v>
      </c>
      <c r="J698" t="s">
        <v>13706</v>
      </c>
      <c r="K698" t="s">
        <v>74</v>
      </c>
      <c r="L698" t="s">
        <v>74</v>
      </c>
      <c r="M698" t="s">
        <v>78</v>
      </c>
      <c r="N698" t="s">
        <v>79</v>
      </c>
      <c r="O698" t="s">
        <v>74</v>
      </c>
      <c r="P698" t="s">
        <v>74</v>
      </c>
      <c r="Q698" t="s">
        <v>74</v>
      </c>
      <c r="R698" t="s">
        <v>74</v>
      </c>
      <c r="S698" t="s">
        <v>74</v>
      </c>
      <c r="T698" t="s">
        <v>13707</v>
      </c>
      <c r="U698" t="s">
        <v>13708</v>
      </c>
      <c r="V698" t="s">
        <v>13709</v>
      </c>
      <c r="W698" t="s">
        <v>13710</v>
      </c>
      <c r="X698" t="s">
        <v>13711</v>
      </c>
      <c r="Y698" t="s">
        <v>13712</v>
      </c>
      <c r="Z698" t="s">
        <v>13713</v>
      </c>
      <c r="AA698" t="s">
        <v>13714</v>
      </c>
      <c r="AB698" t="s">
        <v>13715</v>
      </c>
      <c r="AC698" t="s">
        <v>74</v>
      </c>
      <c r="AD698" t="s">
        <v>74</v>
      </c>
      <c r="AE698" t="s">
        <v>74</v>
      </c>
      <c r="AF698" t="s">
        <v>74</v>
      </c>
      <c r="AG698">
        <v>28</v>
      </c>
      <c r="AH698">
        <v>7</v>
      </c>
      <c r="AI698">
        <v>7</v>
      </c>
      <c r="AJ698">
        <v>4</v>
      </c>
      <c r="AK698">
        <v>10</v>
      </c>
      <c r="AL698" t="s">
        <v>178</v>
      </c>
      <c r="AM698" t="s">
        <v>450</v>
      </c>
      <c r="AN698" t="s">
        <v>668</v>
      </c>
      <c r="AO698" t="s">
        <v>13716</v>
      </c>
      <c r="AP698" t="s">
        <v>74</v>
      </c>
      <c r="AQ698" t="s">
        <v>74</v>
      </c>
      <c r="AR698" t="s">
        <v>13717</v>
      </c>
      <c r="AS698" t="s">
        <v>13718</v>
      </c>
      <c r="AT698" t="s">
        <v>13616</v>
      </c>
      <c r="AU698">
        <v>2022</v>
      </c>
      <c r="AV698">
        <v>12</v>
      </c>
      <c r="AW698">
        <v>1</v>
      </c>
      <c r="AX698" t="s">
        <v>74</v>
      </c>
      <c r="AY698" t="s">
        <v>74</v>
      </c>
      <c r="AZ698" t="s">
        <v>74</v>
      </c>
      <c r="BA698" t="s">
        <v>74</v>
      </c>
      <c r="BB698" t="s">
        <v>74</v>
      </c>
      <c r="BC698" t="s">
        <v>74</v>
      </c>
      <c r="BD698">
        <v>69</v>
      </c>
      <c r="BE698" t="s">
        <v>13719</v>
      </c>
      <c r="BF698" t="str">
        <f>HYPERLINK("http://dx.doi.org/10.1186/s13613-022-01045-1","http://dx.doi.org/10.1186/s13613-022-01045-1")</f>
        <v>http://dx.doi.org/10.1186/s13613-022-01045-1</v>
      </c>
      <c r="BG698" t="s">
        <v>74</v>
      </c>
      <c r="BH698" t="s">
        <v>74</v>
      </c>
      <c r="BI698">
        <v>10</v>
      </c>
      <c r="BJ698" t="s">
        <v>13720</v>
      </c>
      <c r="BK698" t="s">
        <v>100</v>
      </c>
      <c r="BL698" t="s">
        <v>13721</v>
      </c>
      <c r="BM698" t="s">
        <v>13722</v>
      </c>
      <c r="BN698">
        <v>35843964</v>
      </c>
      <c r="BO698" t="s">
        <v>159</v>
      </c>
      <c r="BP698" t="s">
        <v>74</v>
      </c>
      <c r="BQ698" t="s">
        <v>74</v>
      </c>
      <c r="BR698" t="s">
        <v>103</v>
      </c>
      <c r="BS698" t="s">
        <v>13723</v>
      </c>
      <c r="BT698" t="str">
        <f>HYPERLINK("https%3A%2F%2Fwww.webofscience.com%2Fwos%2Fwoscc%2Ffull-record%2FWOS:000826489400001","View Full Record in Web of Science")</f>
        <v>View Full Record in Web of Science</v>
      </c>
    </row>
    <row r="699" spans="1:72" x14ac:dyDescent="0.15">
      <c r="A699" t="s">
        <v>72</v>
      </c>
      <c r="B699" t="s">
        <v>13724</v>
      </c>
      <c r="C699" t="s">
        <v>74</v>
      </c>
      <c r="D699" t="s">
        <v>74</v>
      </c>
      <c r="E699" t="s">
        <v>74</v>
      </c>
      <c r="F699" t="s">
        <v>13725</v>
      </c>
      <c r="G699" t="s">
        <v>74</v>
      </c>
      <c r="H699" t="s">
        <v>74</v>
      </c>
      <c r="I699" t="s">
        <v>13726</v>
      </c>
      <c r="J699" t="s">
        <v>335</v>
      </c>
      <c r="K699" t="s">
        <v>74</v>
      </c>
      <c r="L699" t="s">
        <v>74</v>
      </c>
      <c r="M699" t="s">
        <v>78</v>
      </c>
      <c r="N699" t="s">
        <v>79</v>
      </c>
      <c r="O699" t="s">
        <v>74</v>
      </c>
      <c r="P699" t="s">
        <v>74</v>
      </c>
      <c r="Q699" t="s">
        <v>74</v>
      </c>
      <c r="R699" t="s">
        <v>74</v>
      </c>
      <c r="S699" t="s">
        <v>74</v>
      </c>
      <c r="T699" t="s">
        <v>13727</v>
      </c>
      <c r="U699" t="s">
        <v>13728</v>
      </c>
      <c r="V699" t="s">
        <v>13729</v>
      </c>
      <c r="W699" t="s">
        <v>13730</v>
      </c>
      <c r="X699" t="s">
        <v>13731</v>
      </c>
      <c r="Y699" t="s">
        <v>13732</v>
      </c>
      <c r="Z699" t="s">
        <v>13733</v>
      </c>
      <c r="AA699" t="s">
        <v>13734</v>
      </c>
      <c r="AB699" t="s">
        <v>13735</v>
      </c>
      <c r="AC699" t="s">
        <v>13736</v>
      </c>
      <c r="AD699" t="s">
        <v>13737</v>
      </c>
      <c r="AE699" t="s">
        <v>13738</v>
      </c>
      <c r="AF699" t="s">
        <v>74</v>
      </c>
      <c r="AG699">
        <v>75</v>
      </c>
      <c r="AH699">
        <v>4</v>
      </c>
      <c r="AI699">
        <v>5</v>
      </c>
      <c r="AJ699">
        <v>5</v>
      </c>
      <c r="AK699">
        <v>19</v>
      </c>
      <c r="AL699" t="s">
        <v>345</v>
      </c>
      <c r="AM699" t="s">
        <v>346</v>
      </c>
      <c r="AN699" t="s">
        <v>347</v>
      </c>
      <c r="AO699" t="s">
        <v>348</v>
      </c>
      <c r="AP699" t="s">
        <v>349</v>
      </c>
      <c r="AQ699" t="s">
        <v>74</v>
      </c>
      <c r="AR699" t="s">
        <v>350</v>
      </c>
      <c r="AS699" t="s">
        <v>351</v>
      </c>
      <c r="AT699" t="s">
        <v>2418</v>
      </c>
      <c r="AU699">
        <v>2023</v>
      </c>
      <c r="AV699">
        <v>69</v>
      </c>
      <c r="AW699">
        <v>274</v>
      </c>
      <c r="AX699" t="s">
        <v>74</v>
      </c>
      <c r="AY699" t="s">
        <v>74</v>
      </c>
      <c r="AZ699" t="s">
        <v>74</v>
      </c>
      <c r="BA699" t="s">
        <v>74</v>
      </c>
      <c r="BB699">
        <v>281</v>
      </c>
      <c r="BC699">
        <v>300</v>
      </c>
      <c r="BD699" t="s">
        <v>13739</v>
      </c>
      <c r="BE699" t="s">
        <v>13740</v>
      </c>
      <c r="BF699" t="str">
        <f>HYPERLINK("http://dx.doi.org/10.1017/jog.2022.58","http://dx.doi.org/10.1017/jog.2022.58")</f>
        <v>http://dx.doi.org/10.1017/jog.2022.58</v>
      </c>
      <c r="BG699" t="s">
        <v>74</v>
      </c>
      <c r="BH699" t="s">
        <v>12326</v>
      </c>
      <c r="BI699">
        <v>20</v>
      </c>
      <c r="BJ699" t="s">
        <v>354</v>
      </c>
      <c r="BK699" t="s">
        <v>100</v>
      </c>
      <c r="BL699" t="s">
        <v>241</v>
      </c>
      <c r="BM699" t="s">
        <v>9422</v>
      </c>
      <c r="BN699" t="s">
        <v>74</v>
      </c>
      <c r="BO699" t="s">
        <v>266</v>
      </c>
      <c r="BP699" t="s">
        <v>74</v>
      </c>
      <c r="BQ699" t="s">
        <v>74</v>
      </c>
      <c r="BR699" t="s">
        <v>103</v>
      </c>
      <c r="BS699" t="s">
        <v>13741</v>
      </c>
      <c r="BT699" t="str">
        <f>HYPERLINK("https%3A%2F%2Fwww.webofscience.com%2Fwos%2Fwoscc%2Ffull-record%2FWOS:000826254600001","View Full Record in Web of Science")</f>
        <v>View Full Record in Web of Science</v>
      </c>
    </row>
    <row r="700" spans="1:72" x14ac:dyDescent="0.15">
      <c r="A700" t="s">
        <v>72</v>
      </c>
      <c r="B700" t="s">
        <v>13742</v>
      </c>
      <c r="C700" t="s">
        <v>74</v>
      </c>
      <c r="D700" t="s">
        <v>74</v>
      </c>
      <c r="E700" t="s">
        <v>74</v>
      </c>
      <c r="F700" t="s">
        <v>13743</v>
      </c>
      <c r="G700" t="s">
        <v>74</v>
      </c>
      <c r="H700" t="s">
        <v>74</v>
      </c>
      <c r="I700" t="s">
        <v>13744</v>
      </c>
      <c r="J700" t="s">
        <v>13745</v>
      </c>
      <c r="K700" t="s">
        <v>74</v>
      </c>
      <c r="L700" t="s">
        <v>74</v>
      </c>
      <c r="M700" t="s">
        <v>78</v>
      </c>
      <c r="N700" t="s">
        <v>79</v>
      </c>
      <c r="O700" t="s">
        <v>74</v>
      </c>
      <c r="P700" t="s">
        <v>74</v>
      </c>
      <c r="Q700" t="s">
        <v>74</v>
      </c>
      <c r="R700" t="s">
        <v>74</v>
      </c>
      <c r="S700" t="s">
        <v>74</v>
      </c>
      <c r="T700" t="s">
        <v>13746</v>
      </c>
      <c r="U700" t="s">
        <v>13747</v>
      </c>
      <c r="V700" t="s">
        <v>13748</v>
      </c>
      <c r="W700" t="s">
        <v>13749</v>
      </c>
      <c r="X700" t="s">
        <v>13750</v>
      </c>
      <c r="Y700" t="s">
        <v>13751</v>
      </c>
      <c r="Z700" t="s">
        <v>13752</v>
      </c>
      <c r="AA700" t="s">
        <v>13753</v>
      </c>
      <c r="AB700" t="s">
        <v>13754</v>
      </c>
      <c r="AC700" t="s">
        <v>13755</v>
      </c>
      <c r="AD700" t="s">
        <v>13756</v>
      </c>
      <c r="AE700" t="s">
        <v>13755</v>
      </c>
      <c r="AF700" t="s">
        <v>74</v>
      </c>
      <c r="AG700">
        <v>110</v>
      </c>
      <c r="AH700">
        <v>5</v>
      </c>
      <c r="AI700">
        <v>5</v>
      </c>
      <c r="AJ700">
        <v>3</v>
      </c>
      <c r="AK700">
        <v>16</v>
      </c>
      <c r="AL700" t="s">
        <v>231</v>
      </c>
      <c r="AM700" t="s">
        <v>232</v>
      </c>
      <c r="AN700" t="s">
        <v>233</v>
      </c>
      <c r="AO700" t="s">
        <v>13757</v>
      </c>
      <c r="AP700" t="s">
        <v>13758</v>
      </c>
      <c r="AQ700" t="s">
        <v>74</v>
      </c>
      <c r="AR700" t="s">
        <v>13759</v>
      </c>
      <c r="AS700" t="s">
        <v>13760</v>
      </c>
      <c r="AT700" t="s">
        <v>2281</v>
      </c>
      <c r="AU700">
        <v>2022</v>
      </c>
      <c r="AV700">
        <v>23</v>
      </c>
      <c r="AW700">
        <v>6</v>
      </c>
      <c r="AX700" t="s">
        <v>74</v>
      </c>
      <c r="AY700" t="s">
        <v>74</v>
      </c>
      <c r="AZ700" t="s">
        <v>74</v>
      </c>
      <c r="BA700" t="s">
        <v>74</v>
      </c>
      <c r="BB700">
        <v>1383</v>
      </c>
      <c r="BC700">
        <v>1399</v>
      </c>
      <c r="BD700" t="s">
        <v>74</v>
      </c>
      <c r="BE700" t="s">
        <v>13761</v>
      </c>
      <c r="BF700" t="str">
        <f>HYPERLINK("http://dx.doi.org/10.1111/faf.12695","http://dx.doi.org/10.1111/faf.12695")</f>
        <v>http://dx.doi.org/10.1111/faf.12695</v>
      </c>
      <c r="BG700" t="s">
        <v>74</v>
      </c>
      <c r="BH700" t="s">
        <v>12326</v>
      </c>
      <c r="BI700">
        <v>17</v>
      </c>
      <c r="BJ700" t="s">
        <v>1931</v>
      </c>
      <c r="BK700" t="s">
        <v>100</v>
      </c>
      <c r="BL700" t="s">
        <v>1931</v>
      </c>
      <c r="BM700" t="s">
        <v>13762</v>
      </c>
      <c r="BN700" t="s">
        <v>74</v>
      </c>
      <c r="BO700" t="s">
        <v>3327</v>
      </c>
      <c r="BP700" t="s">
        <v>74</v>
      </c>
      <c r="BQ700" t="s">
        <v>74</v>
      </c>
      <c r="BR700" t="s">
        <v>103</v>
      </c>
      <c r="BS700" t="s">
        <v>13763</v>
      </c>
      <c r="BT700" t="str">
        <f>HYPERLINK("https%3A%2F%2Fwww.webofscience.com%2Fwos%2Fwoscc%2Ffull-record%2FWOS:000826316200001","View Full Record in Web of Science")</f>
        <v>View Full Record in Web of Science</v>
      </c>
    </row>
    <row r="701" spans="1:72" x14ac:dyDescent="0.15">
      <c r="A701" t="s">
        <v>72</v>
      </c>
      <c r="B701" t="s">
        <v>13764</v>
      </c>
      <c r="C701" t="s">
        <v>74</v>
      </c>
      <c r="D701" t="s">
        <v>74</v>
      </c>
      <c r="E701" t="s">
        <v>74</v>
      </c>
      <c r="F701" t="s">
        <v>13765</v>
      </c>
      <c r="G701" t="s">
        <v>74</v>
      </c>
      <c r="H701" t="s">
        <v>74</v>
      </c>
      <c r="I701" t="s">
        <v>13766</v>
      </c>
      <c r="J701" t="s">
        <v>5518</v>
      </c>
      <c r="K701" t="s">
        <v>74</v>
      </c>
      <c r="L701" t="s">
        <v>74</v>
      </c>
      <c r="M701" t="s">
        <v>78</v>
      </c>
      <c r="N701" t="s">
        <v>79</v>
      </c>
      <c r="O701" t="s">
        <v>74</v>
      </c>
      <c r="P701" t="s">
        <v>74</v>
      </c>
      <c r="Q701" t="s">
        <v>74</v>
      </c>
      <c r="R701" t="s">
        <v>74</v>
      </c>
      <c r="S701" t="s">
        <v>74</v>
      </c>
      <c r="T701" t="s">
        <v>74</v>
      </c>
      <c r="U701" t="s">
        <v>13767</v>
      </c>
      <c r="V701" t="s">
        <v>13768</v>
      </c>
      <c r="W701" t="s">
        <v>13769</v>
      </c>
      <c r="X701" t="s">
        <v>13770</v>
      </c>
      <c r="Y701" t="s">
        <v>13771</v>
      </c>
      <c r="Z701" t="s">
        <v>13772</v>
      </c>
      <c r="AA701" t="s">
        <v>13773</v>
      </c>
      <c r="AB701" t="s">
        <v>13774</v>
      </c>
      <c r="AC701" t="s">
        <v>13775</v>
      </c>
      <c r="AD701" t="s">
        <v>13775</v>
      </c>
      <c r="AE701" t="s">
        <v>13776</v>
      </c>
      <c r="AF701" t="s">
        <v>74</v>
      </c>
      <c r="AG701">
        <v>36</v>
      </c>
      <c r="AH701">
        <v>18</v>
      </c>
      <c r="AI701">
        <v>23</v>
      </c>
      <c r="AJ701">
        <v>6</v>
      </c>
      <c r="AK701">
        <v>57</v>
      </c>
      <c r="AL701" t="s">
        <v>231</v>
      </c>
      <c r="AM701" t="s">
        <v>232</v>
      </c>
      <c r="AN701" t="s">
        <v>233</v>
      </c>
      <c r="AO701" t="s">
        <v>5530</v>
      </c>
      <c r="AP701" t="s">
        <v>5531</v>
      </c>
      <c r="AQ701" t="s">
        <v>74</v>
      </c>
      <c r="AR701" t="s">
        <v>5532</v>
      </c>
      <c r="AS701" t="s">
        <v>5533</v>
      </c>
      <c r="AT701" t="s">
        <v>8743</v>
      </c>
      <c r="AU701">
        <v>2023</v>
      </c>
      <c r="AV701">
        <v>21</v>
      </c>
      <c r="AW701">
        <v>2</v>
      </c>
      <c r="AX701" t="s">
        <v>74</v>
      </c>
      <c r="AY701" t="s">
        <v>74</v>
      </c>
      <c r="AZ701" t="s">
        <v>74</v>
      </c>
      <c r="BA701" t="s">
        <v>74</v>
      </c>
      <c r="BB701">
        <v>64</v>
      </c>
      <c r="BC701">
        <v>70</v>
      </c>
      <c r="BD701" t="s">
        <v>74</v>
      </c>
      <c r="BE701" t="s">
        <v>13777</v>
      </c>
      <c r="BF701" t="str">
        <f>HYPERLINK("http://dx.doi.org/10.1002/fee.2537","http://dx.doi.org/10.1002/fee.2537")</f>
        <v>http://dx.doi.org/10.1002/fee.2537</v>
      </c>
      <c r="BG701" t="s">
        <v>74</v>
      </c>
      <c r="BH701" t="s">
        <v>12326</v>
      </c>
      <c r="BI701">
        <v>7</v>
      </c>
      <c r="BJ701" t="s">
        <v>2442</v>
      </c>
      <c r="BK701" t="s">
        <v>100</v>
      </c>
      <c r="BL701" t="s">
        <v>2041</v>
      </c>
      <c r="BM701" t="s">
        <v>13778</v>
      </c>
      <c r="BN701" t="s">
        <v>74</v>
      </c>
      <c r="BO701" t="s">
        <v>1221</v>
      </c>
      <c r="BP701" t="s">
        <v>74</v>
      </c>
      <c r="BQ701" t="s">
        <v>74</v>
      </c>
      <c r="BR701" t="s">
        <v>103</v>
      </c>
      <c r="BS701" t="s">
        <v>13779</v>
      </c>
      <c r="BT701" t="str">
        <f>HYPERLINK("https%3A%2F%2Fwww.webofscience.com%2Fwos%2Fwoscc%2Ffull-record%2FWOS:000826435800001","View Full Record in Web of Science")</f>
        <v>View Full Record in Web of Science</v>
      </c>
    </row>
    <row r="702" spans="1:72" x14ac:dyDescent="0.15">
      <c r="A702" t="s">
        <v>72</v>
      </c>
      <c r="B702" t="s">
        <v>13780</v>
      </c>
      <c r="C702" t="s">
        <v>74</v>
      </c>
      <c r="D702" t="s">
        <v>74</v>
      </c>
      <c r="E702" t="s">
        <v>74</v>
      </c>
      <c r="F702" t="s">
        <v>13781</v>
      </c>
      <c r="G702" t="s">
        <v>74</v>
      </c>
      <c r="H702" t="s">
        <v>74</v>
      </c>
      <c r="I702" t="s">
        <v>13782</v>
      </c>
      <c r="J702" t="s">
        <v>4327</v>
      </c>
      <c r="K702" t="s">
        <v>74</v>
      </c>
      <c r="L702" t="s">
        <v>74</v>
      </c>
      <c r="M702" t="s">
        <v>78</v>
      </c>
      <c r="N702" t="s">
        <v>79</v>
      </c>
      <c r="O702" t="s">
        <v>74</v>
      </c>
      <c r="P702" t="s">
        <v>74</v>
      </c>
      <c r="Q702" t="s">
        <v>74</v>
      </c>
      <c r="R702" t="s">
        <v>74</v>
      </c>
      <c r="S702" t="s">
        <v>74</v>
      </c>
      <c r="T702" t="s">
        <v>13783</v>
      </c>
      <c r="U702" t="s">
        <v>13784</v>
      </c>
      <c r="V702" t="s">
        <v>13785</v>
      </c>
      <c r="W702" t="s">
        <v>13786</v>
      </c>
      <c r="X702" t="s">
        <v>13787</v>
      </c>
      <c r="Y702" t="s">
        <v>13788</v>
      </c>
      <c r="Z702" t="s">
        <v>13789</v>
      </c>
      <c r="AA702" t="s">
        <v>13790</v>
      </c>
      <c r="AB702" t="s">
        <v>13791</v>
      </c>
      <c r="AC702" t="s">
        <v>13792</v>
      </c>
      <c r="AD702" t="s">
        <v>13793</v>
      </c>
      <c r="AE702" t="s">
        <v>13794</v>
      </c>
      <c r="AF702" t="s">
        <v>74</v>
      </c>
      <c r="AG702">
        <v>122</v>
      </c>
      <c r="AH702">
        <v>7</v>
      </c>
      <c r="AI702">
        <v>7</v>
      </c>
      <c r="AJ702">
        <v>5</v>
      </c>
      <c r="AK702">
        <v>21</v>
      </c>
      <c r="AL702" t="s">
        <v>178</v>
      </c>
      <c r="AM702" t="s">
        <v>450</v>
      </c>
      <c r="AN702" t="s">
        <v>668</v>
      </c>
      <c r="AO702" t="s">
        <v>4340</v>
      </c>
      <c r="AP702" t="s">
        <v>4341</v>
      </c>
      <c r="AQ702" t="s">
        <v>74</v>
      </c>
      <c r="AR702" t="s">
        <v>4342</v>
      </c>
      <c r="AS702" t="s">
        <v>4343</v>
      </c>
      <c r="AT702" t="s">
        <v>184</v>
      </c>
      <c r="AU702">
        <v>2022</v>
      </c>
      <c r="AV702">
        <v>45</v>
      </c>
      <c r="AW702">
        <v>7</v>
      </c>
      <c r="AX702" t="s">
        <v>74</v>
      </c>
      <c r="AY702" t="s">
        <v>74</v>
      </c>
      <c r="AZ702" t="s">
        <v>74</v>
      </c>
      <c r="BA702" t="s">
        <v>74</v>
      </c>
      <c r="BB702">
        <v>1229</v>
      </c>
      <c r="BC702">
        <v>1245</v>
      </c>
      <c r="BD702" t="s">
        <v>74</v>
      </c>
      <c r="BE702" t="s">
        <v>13795</v>
      </c>
      <c r="BF702" t="str">
        <f>HYPERLINK("http://dx.doi.org/10.1007/s00300-022-03065-w","http://dx.doi.org/10.1007/s00300-022-03065-w")</f>
        <v>http://dx.doi.org/10.1007/s00300-022-03065-w</v>
      </c>
      <c r="BG702" t="s">
        <v>74</v>
      </c>
      <c r="BH702" t="s">
        <v>12326</v>
      </c>
      <c r="BI702">
        <v>17</v>
      </c>
      <c r="BJ702" t="s">
        <v>1169</v>
      </c>
      <c r="BK702" t="s">
        <v>100</v>
      </c>
      <c r="BL702" t="s">
        <v>1170</v>
      </c>
      <c r="BM702" t="s">
        <v>12991</v>
      </c>
      <c r="BN702" t="s">
        <v>74</v>
      </c>
      <c r="BO702" t="s">
        <v>102</v>
      </c>
      <c r="BP702" t="s">
        <v>74</v>
      </c>
      <c r="BQ702" t="s">
        <v>74</v>
      </c>
      <c r="BR702" t="s">
        <v>103</v>
      </c>
      <c r="BS702" t="s">
        <v>13796</v>
      </c>
      <c r="BT702" t="str">
        <f>HYPERLINK("https%3A%2F%2Fwww.webofscience.com%2Fwos%2Fwoscc%2Ffull-record%2FWOS:000826262900001","View Full Record in Web of Science")</f>
        <v>View Full Record in Web of Science</v>
      </c>
    </row>
    <row r="703" spans="1:72" x14ac:dyDescent="0.15">
      <c r="A703" t="s">
        <v>72</v>
      </c>
      <c r="B703" t="s">
        <v>13797</v>
      </c>
      <c r="C703" t="s">
        <v>74</v>
      </c>
      <c r="D703" t="s">
        <v>74</v>
      </c>
      <c r="E703" t="s">
        <v>74</v>
      </c>
      <c r="F703" t="s">
        <v>13798</v>
      </c>
      <c r="G703" t="s">
        <v>74</v>
      </c>
      <c r="H703" t="s">
        <v>74</v>
      </c>
      <c r="I703" t="s">
        <v>13799</v>
      </c>
      <c r="J703" t="s">
        <v>4327</v>
      </c>
      <c r="K703" t="s">
        <v>74</v>
      </c>
      <c r="L703" t="s">
        <v>74</v>
      </c>
      <c r="M703" t="s">
        <v>78</v>
      </c>
      <c r="N703" t="s">
        <v>79</v>
      </c>
      <c r="O703" t="s">
        <v>74</v>
      </c>
      <c r="P703" t="s">
        <v>74</v>
      </c>
      <c r="Q703" t="s">
        <v>74</v>
      </c>
      <c r="R703" t="s">
        <v>74</v>
      </c>
      <c r="S703" t="s">
        <v>74</v>
      </c>
      <c r="T703" t="s">
        <v>13800</v>
      </c>
      <c r="U703" t="s">
        <v>13801</v>
      </c>
      <c r="V703" t="s">
        <v>13802</v>
      </c>
      <c r="W703" t="s">
        <v>13803</v>
      </c>
      <c r="X703" t="s">
        <v>13804</v>
      </c>
      <c r="Y703" t="s">
        <v>13805</v>
      </c>
      <c r="Z703" t="s">
        <v>13806</v>
      </c>
      <c r="AA703" t="s">
        <v>13807</v>
      </c>
      <c r="AB703" t="s">
        <v>13808</v>
      </c>
      <c r="AC703" t="s">
        <v>74</v>
      </c>
      <c r="AD703" t="s">
        <v>74</v>
      </c>
      <c r="AE703" t="s">
        <v>74</v>
      </c>
      <c r="AF703" t="s">
        <v>74</v>
      </c>
      <c r="AG703">
        <v>55</v>
      </c>
      <c r="AH703">
        <v>0</v>
      </c>
      <c r="AI703">
        <v>0</v>
      </c>
      <c r="AJ703">
        <v>1</v>
      </c>
      <c r="AK703">
        <v>5</v>
      </c>
      <c r="AL703" t="s">
        <v>178</v>
      </c>
      <c r="AM703" t="s">
        <v>450</v>
      </c>
      <c r="AN703" t="s">
        <v>668</v>
      </c>
      <c r="AO703" t="s">
        <v>4340</v>
      </c>
      <c r="AP703" t="s">
        <v>4341</v>
      </c>
      <c r="AQ703" t="s">
        <v>74</v>
      </c>
      <c r="AR703" t="s">
        <v>4342</v>
      </c>
      <c r="AS703" t="s">
        <v>4343</v>
      </c>
      <c r="AT703" t="s">
        <v>184</v>
      </c>
      <c r="AU703">
        <v>2022</v>
      </c>
      <c r="AV703">
        <v>45</v>
      </c>
      <c r="AW703">
        <v>7</v>
      </c>
      <c r="AX703" t="s">
        <v>74</v>
      </c>
      <c r="AY703" t="s">
        <v>74</v>
      </c>
      <c r="AZ703" t="s">
        <v>74</v>
      </c>
      <c r="BA703" t="s">
        <v>74</v>
      </c>
      <c r="BB703">
        <v>1307</v>
      </c>
      <c r="BC703">
        <v>1312</v>
      </c>
      <c r="BD703" t="s">
        <v>74</v>
      </c>
      <c r="BE703" t="s">
        <v>13809</v>
      </c>
      <c r="BF703" t="str">
        <f>HYPERLINK("http://dx.doi.org/10.1007/s00300-022-03070-z","http://dx.doi.org/10.1007/s00300-022-03070-z")</f>
        <v>http://dx.doi.org/10.1007/s00300-022-03070-z</v>
      </c>
      <c r="BG703" t="s">
        <v>74</v>
      </c>
      <c r="BH703" t="s">
        <v>12326</v>
      </c>
      <c r="BI703">
        <v>6</v>
      </c>
      <c r="BJ703" t="s">
        <v>1169</v>
      </c>
      <c r="BK703" t="s">
        <v>100</v>
      </c>
      <c r="BL703" t="s">
        <v>1170</v>
      </c>
      <c r="BM703" t="s">
        <v>12991</v>
      </c>
      <c r="BN703" t="s">
        <v>74</v>
      </c>
      <c r="BO703" t="s">
        <v>3327</v>
      </c>
      <c r="BP703" t="s">
        <v>74</v>
      </c>
      <c r="BQ703" t="s">
        <v>74</v>
      </c>
      <c r="BR703" t="s">
        <v>103</v>
      </c>
      <c r="BS703" t="s">
        <v>13810</v>
      </c>
      <c r="BT703" t="str">
        <f>HYPERLINK("https%3A%2F%2Fwww.webofscience.com%2Fwos%2Fwoscc%2Ffull-record%2FWOS:000826262900002","View Full Record in Web of Science")</f>
        <v>View Full Record in Web of Science</v>
      </c>
    </row>
    <row r="704" spans="1:72" x14ac:dyDescent="0.15">
      <c r="A704" t="s">
        <v>72</v>
      </c>
      <c r="B704" t="s">
        <v>13811</v>
      </c>
      <c r="C704" t="s">
        <v>74</v>
      </c>
      <c r="D704" t="s">
        <v>74</v>
      </c>
      <c r="E704" t="s">
        <v>74</v>
      </c>
      <c r="F704" t="s">
        <v>13812</v>
      </c>
      <c r="G704" t="s">
        <v>74</v>
      </c>
      <c r="H704" t="s">
        <v>74</v>
      </c>
      <c r="I704" t="s">
        <v>13813</v>
      </c>
      <c r="J704" t="s">
        <v>137</v>
      </c>
      <c r="K704" t="s">
        <v>74</v>
      </c>
      <c r="L704" t="s">
        <v>74</v>
      </c>
      <c r="M704" t="s">
        <v>78</v>
      </c>
      <c r="N704" t="s">
        <v>79</v>
      </c>
      <c r="O704" t="s">
        <v>74</v>
      </c>
      <c r="P704" t="s">
        <v>74</v>
      </c>
      <c r="Q704" t="s">
        <v>74</v>
      </c>
      <c r="R704" t="s">
        <v>74</v>
      </c>
      <c r="S704" t="s">
        <v>74</v>
      </c>
      <c r="T704" t="s">
        <v>74</v>
      </c>
      <c r="U704" t="s">
        <v>13814</v>
      </c>
      <c r="V704" t="s">
        <v>13815</v>
      </c>
      <c r="W704" t="s">
        <v>13816</v>
      </c>
      <c r="X704" t="s">
        <v>13817</v>
      </c>
      <c r="Y704" t="s">
        <v>13818</v>
      </c>
      <c r="Z704" t="s">
        <v>13819</v>
      </c>
      <c r="AA704" t="s">
        <v>13820</v>
      </c>
      <c r="AB704" t="s">
        <v>13821</v>
      </c>
      <c r="AC704" t="s">
        <v>13822</v>
      </c>
      <c r="AD704" t="s">
        <v>13823</v>
      </c>
      <c r="AE704" t="s">
        <v>13824</v>
      </c>
      <c r="AF704" t="s">
        <v>74</v>
      </c>
      <c r="AG704">
        <v>64</v>
      </c>
      <c r="AH704">
        <v>3</v>
      </c>
      <c r="AI704">
        <v>3</v>
      </c>
      <c r="AJ704">
        <v>3</v>
      </c>
      <c r="AK704">
        <v>16</v>
      </c>
      <c r="AL704" t="s">
        <v>149</v>
      </c>
      <c r="AM704" t="s">
        <v>150</v>
      </c>
      <c r="AN704" t="s">
        <v>151</v>
      </c>
      <c r="AO704" t="s">
        <v>74</v>
      </c>
      <c r="AP704" t="s">
        <v>152</v>
      </c>
      <c r="AQ704" t="s">
        <v>74</v>
      </c>
      <c r="AR704" t="s">
        <v>153</v>
      </c>
      <c r="AS704" t="s">
        <v>154</v>
      </c>
      <c r="AT704" t="s">
        <v>13825</v>
      </c>
      <c r="AU704">
        <v>2022</v>
      </c>
      <c r="AV704">
        <v>13</v>
      </c>
      <c r="AW704">
        <v>1</v>
      </c>
      <c r="AX704" t="s">
        <v>74</v>
      </c>
      <c r="AY704" t="s">
        <v>74</v>
      </c>
      <c r="AZ704" t="s">
        <v>74</v>
      </c>
      <c r="BA704" t="s">
        <v>74</v>
      </c>
      <c r="BB704" t="s">
        <v>74</v>
      </c>
      <c r="BC704" t="s">
        <v>74</v>
      </c>
      <c r="BD704">
        <v>4841</v>
      </c>
      <c r="BE704" t="s">
        <v>13826</v>
      </c>
      <c r="BF704" t="str">
        <f>HYPERLINK("http://dx.doi.org/10.1038/s41467-022-32480-0","http://dx.doi.org/10.1038/s41467-022-32480-0")</f>
        <v>http://dx.doi.org/10.1038/s41467-022-32480-0</v>
      </c>
      <c r="BG704" t="s">
        <v>74</v>
      </c>
      <c r="BH704" t="s">
        <v>74</v>
      </c>
      <c r="BI704">
        <v>8</v>
      </c>
      <c r="BJ704" t="s">
        <v>156</v>
      </c>
      <c r="BK704" t="s">
        <v>100</v>
      </c>
      <c r="BL704" t="s">
        <v>157</v>
      </c>
      <c r="BM704" t="s">
        <v>13827</v>
      </c>
      <c r="BN704">
        <v>35977937</v>
      </c>
      <c r="BO704" t="s">
        <v>1655</v>
      </c>
      <c r="BP704" t="s">
        <v>74</v>
      </c>
      <c r="BQ704" t="s">
        <v>74</v>
      </c>
      <c r="BR704" t="s">
        <v>103</v>
      </c>
      <c r="BS704" t="s">
        <v>13828</v>
      </c>
      <c r="BT704" t="str">
        <f>HYPERLINK("https%3A%2F%2Fwww.webofscience.com%2Fwos%2Fwoscc%2Ffull-record%2FWOS:001057314100004","View Full Record in Web of Science")</f>
        <v>View Full Record in Web of Science</v>
      </c>
    </row>
    <row r="705" spans="1:72" x14ac:dyDescent="0.15">
      <c r="A705" t="s">
        <v>72</v>
      </c>
      <c r="B705" t="s">
        <v>13829</v>
      </c>
      <c r="C705" t="s">
        <v>74</v>
      </c>
      <c r="D705" t="s">
        <v>74</v>
      </c>
      <c r="E705" t="s">
        <v>74</v>
      </c>
      <c r="F705" t="s">
        <v>13830</v>
      </c>
      <c r="G705" t="s">
        <v>74</v>
      </c>
      <c r="H705" t="s">
        <v>74</v>
      </c>
      <c r="I705" t="s">
        <v>13831</v>
      </c>
      <c r="J705" t="s">
        <v>10884</v>
      </c>
      <c r="K705" t="s">
        <v>74</v>
      </c>
      <c r="L705" t="s">
        <v>74</v>
      </c>
      <c r="M705" t="s">
        <v>78</v>
      </c>
      <c r="N705" t="s">
        <v>79</v>
      </c>
      <c r="O705" t="s">
        <v>74</v>
      </c>
      <c r="P705" t="s">
        <v>74</v>
      </c>
      <c r="Q705" t="s">
        <v>74</v>
      </c>
      <c r="R705" t="s">
        <v>74</v>
      </c>
      <c r="S705" t="s">
        <v>74</v>
      </c>
      <c r="T705" t="s">
        <v>13832</v>
      </c>
      <c r="U705" t="s">
        <v>13833</v>
      </c>
      <c r="V705" t="s">
        <v>13834</v>
      </c>
      <c r="W705" t="s">
        <v>13835</v>
      </c>
      <c r="X705" t="s">
        <v>13836</v>
      </c>
      <c r="Y705" t="s">
        <v>13837</v>
      </c>
      <c r="Z705" t="s">
        <v>13838</v>
      </c>
      <c r="AA705" t="s">
        <v>13839</v>
      </c>
      <c r="AB705" t="s">
        <v>13840</v>
      </c>
      <c r="AC705" t="s">
        <v>13841</v>
      </c>
      <c r="AD705" t="s">
        <v>13842</v>
      </c>
      <c r="AE705" t="s">
        <v>13843</v>
      </c>
      <c r="AF705" t="s">
        <v>74</v>
      </c>
      <c r="AG705">
        <v>33</v>
      </c>
      <c r="AH705">
        <v>4</v>
      </c>
      <c r="AI705">
        <v>4</v>
      </c>
      <c r="AJ705">
        <v>5</v>
      </c>
      <c r="AK705">
        <v>41</v>
      </c>
      <c r="AL705" t="s">
        <v>2275</v>
      </c>
      <c r="AM705" t="s">
        <v>90</v>
      </c>
      <c r="AN705" t="s">
        <v>2276</v>
      </c>
      <c r="AO705" t="s">
        <v>10897</v>
      </c>
      <c r="AP705" t="s">
        <v>10898</v>
      </c>
      <c r="AQ705" t="s">
        <v>74</v>
      </c>
      <c r="AR705" t="s">
        <v>10884</v>
      </c>
      <c r="AS705" t="s">
        <v>10899</v>
      </c>
      <c r="AT705" t="s">
        <v>2281</v>
      </c>
      <c r="AU705">
        <v>2022</v>
      </c>
      <c r="AV705">
        <v>307</v>
      </c>
      <c r="AW705" t="s">
        <v>74</v>
      </c>
      <c r="AX705">
        <v>1</v>
      </c>
      <c r="AY705" t="s">
        <v>74</v>
      </c>
      <c r="AZ705" t="s">
        <v>74</v>
      </c>
      <c r="BA705" t="s">
        <v>74</v>
      </c>
      <c r="BB705" t="s">
        <v>74</v>
      </c>
      <c r="BC705" t="s">
        <v>74</v>
      </c>
      <c r="BD705">
        <v>135706</v>
      </c>
      <c r="BE705" t="s">
        <v>13844</v>
      </c>
      <c r="BF705" t="str">
        <f>HYPERLINK("http://dx.doi.org/10.1016/j.chemosphere.2022.135706","http://dx.doi.org/10.1016/j.chemosphere.2022.135706")</f>
        <v>http://dx.doi.org/10.1016/j.chemosphere.2022.135706</v>
      </c>
      <c r="BG705" t="s">
        <v>74</v>
      </c>
      <c r="BH705" t="s">
        <v>12326</v>
      </c>
      <c r="BI705">
        <v>7</v>
      </c>
      <c r="BJ705" t="s">
        <v>2040</v>
      </c>
      <c r="BK705" t="s">
        <v>100</v>
      </c>
      <c r="BL705" t="s">
        <v>2041</v>
      </c>
      <c r="BM705" t="s">
        <v>13845</v>
      </c>
      <c r="BN705">
        <v>35842047</v>
      </c>
      <c r="BO705" t="s">
        <v>1221</v>
      </c>
      <c r="BP705" t="s">
        <v>74</v>
      </c>
      <c r="BQ705" t="s">
        <v>74</v>
      </c>
      <c r="BR705" t="s">
        <v>103</v>
      </c>
      <c r="BS705" t="s">
        <v>13846</v>
      </c>
      <c r="BT705" t="str">
        <f>HYPERLINK("https%3A%2F%2Fwww.webofscience.com%2Fwos%2Fwoscc%2Ffull-record%2FWOS:000830898000001","View Full Record in Web of Science")</f>
        <v>View Full Record in Web of Science</v>
      </c>
    </row>
    <row r="706" spans="1:72" x14ac:dyDescent="0.15">
      <c r="A706" t="s">
        <v>72</v>
      </c>
      <c r="B706" t="s">
        <v>13847</v>
      </c>
      <c r="C706" t="s">
        <v>74</v>
      </c>
      <c r="D706" t="s">
        <v>74</v>
      </c>
      <c r="E706" t="s">
        <v>74</v>
      </c>
      <c r="F706" t="s">
        <v>13848</v>
      </c>
      <c r="G706" t="s">
        <v>74</v>
      </c>
      <c r="H706" t="s">
        <v>74</v>
      </c>
      <c r="I706" t="s">
        <v>13849</v>
      </c>
      <c r="J706" t="s">
        <v>271</v>
      </c>
      <c r="K706" t="s">
        <v>74</v>
      </c>
      <c r="L706" t="s">
        <v>74</v>
      </c>
      <c r="M706" t="s">
        <v>78</v>
      </c>
      <c r="N706" t="s">
        <v>79</v>
      </c>
      <c r="O706" t="s">
        <v>74</v>
      </c>
      <c r="P706" t="s">
        <v>74</v>
      </c>
      <c r="Q706" t="s">
        <v>74</v>
      </c>
      <c r="R706" t="s">
        <v>74</v>
      </c>
      <c r="S706" t="s">
        <v>74</v>
      </c>
      <c r="T706" t="s">
        <v>74</v>
      </c>
      <c r="U706" t="s">
        <v>13850</v>
      </c>
      <c r="V706" t="s">
        <v>13851</v>
      </c>
      <c r="W706" t="s">
        <v>13852</v>
      </c>
      <c r="X706" t="s">
        <v>13853</v>
      </c>
      <c r="Y706" t="s">
        <v>13854</v>
      </c>
      <c r="Z706" t="s">
        <v>13855</v>
      </c>
      <c r="AA706" t="s">
        <v>74</v>
      </c>
      <c r="AB706" t="s">
        <v>74</v>
      </c>
      <c r="AC706" t="s">
        <v>13856</v>
      </c>
      <c r="AD706" t="s">
        <v>13857</v>
      </c>
      <c r="AE706" t="s">
        <v>13858</v>
      </c>
      <c r="AF706" t="s">
        <v>74</v>
      </c>
      <c r="AG706">
        <v>45</v>
      </c>
      <c r="AH706">
        <v>3</v>
      </c>
      <c r="AI706">
        <v>3</v>
      </c>
      <c r="AJ706">
        <v>0</v>
      </c>
      <c r="AK706">
        <v>2</v>
      </c>
      <c r="AL706" t="s">
        <v>149</v>
      </c>
      <c r="AM706" t="s">
        <v>150</v>
      </c>
      <c r="AN706" t="s">
        <v>151</v>
      </c>
      <c r="AO706" t="s">
        <v>283</v>
      </c>
      <c r="AP706" t="s">
        <v>74</v>
      </c>
      <c r="AQ706" t="s">
        <v>74</v>
      </c>
      <c r="AR706" t="s">
        <v>284</v>
      </c>
      <c r="AS706" t="s">
        <v>285</v>
      </c>
      <c r="AT706" t="s">
        <v>13859</v>
      </c>
      <c r="AU706">
        <v>2022</v>
      </c>
      <c r="AV706">
        <v>12</v>
      </c>
      <c r="AW706">
        <v>1</v>
      </c>
      <c r="AX706" t="s">
        <v>74</v>
      </c>
      <c r="AY706" t="s">
        <v>74</v>
      </c>
      <c r="AZ706" t="s">
        <v>74</v>
      </c>
      <c r="BA706" t="s">
        <v>74</v>
      </c>
      <c r="BB706" t="s">
        <v>74</v>
      </c>
      <c r="BC706" t="s">
        <v>74</v>
      </c>
      <c r="BD706">
        <v>12175</v>
      </c>
      <c r="BE706" t="s">
        <v>13860</v>
      </c>
      <c r="BF706" t="str">
        <f>HYPERLINK("http://dx.doi.org/10.1038/s41598-022-16331-y","http://dx.doi.org/10.1038/s41598-022-16331-y")</f>
        <v>http://dx.doi.org/10.1038/s41598-022-16331-y</v>
      </c>
      <c r="BG706" t="s">
        <v>74</v>
      </c>
      <c r="BH706" t="s">
        <v>74</v>
      </c>
      <c r="BI706">
        <v>10</v>
      </c>
      <c r="BJ706" t="s">
        <v>156</v>
      </c>
      <c r="BK706" t="s">
        <v>100</v>
      </c>
      <c r="BL706" t="s">
        <v>157</v>
      </c>
      <c r="BM706" t="s">
        <v>13861</v>
      </c>
      <c r="BN706">
        <v>35842452</v>
      </c>
      <c r="BO706" t="s">
        <v>159</v>
      </c>
      <c r="BP706" t="s">
        <v>74</v>
      </c>
      <c r="BQ706" t="s">
        <v>74</v>
      </c>
      <c r="BR706" t="s">
        <v>103</v>
      </c>
      <c r="BS706" t="s">
        <v>13862</v>
      </c>
      <c r="BT706" t="str">
        <f>HYPERLINK("https%3A%2F%2Fwww.webofscience.com%2Fwos%2Fwoscc%2Ffull-record%2FWOS:000826171200023","View Full Record in Web of Science")</f>
        <v>View Full Record in Web of Science</v>
      </c>
    </row>
    <row r="707" spans="1:72" x14ac:dyDescent="0.15">
      <c r="A707" t="s">
        <v>72</v>
      </c>
      <c r="B707" t="s">
        <v>13863</v>
      </c>
      <c r="C707" t="s">
        <v>74</v>
      </c>
      <c r="D707" t="s">
        <v>74</v>
      </c>
      <c r="E707" t="s">
        <v>74</v>
      </c>
      <c r="F707" t="s">
        <v>13864</v>
      </c>
      <c r="G707" t="s">
        <v>74</v>
      </c>
      <c r="H707" t="s">
        <v>74</v>
      </c>
      <c r="I707" t="s">
        <v>13865</v>
      </c>
      <c r="J707" t="s">
        <v>2551</v>
      </c>
      <c r="K707" t="s">
        <v>74</v>
      </c>
      <c r="L707" t="s">
        <v>74</v>
      </c>
      <c r="M707" t="s">
        <v>78</v>
      </c>
      <c r="N707" t="s">
        <v>79</v>
      </c>
      <c r="O707" t="s">
        <v>74</v>
      </c>
      <c r="P707" t="s">
        <v>74</v>
      </c>
      <c r="Q707" t="s">
        <v>74</v>
      </c>
      <c r="R707" t="s">
        <v>74</v>
      </c>
      <c r="S707" t="s">
        <v>74</v>
      </c>
      <c r="T707" t="s">
        <v>13866</v>
      </c>
      <c r="U707" t="s">
        <v>13867</v>
      </c>
      <c r="V707" t="s">
        <v>13868</v>
      </c>
      <c r="W707" t="s">
        <v>13869</v>
      </c>
      <c r="X707" t="s">
        <v>13870</v>
      </c>
      <c r="Y707" t="s">
        <v>13871</v>
      </c>
      <c r="Z707" t="s">
        <v>13872</v>
      </c>
      <c r="AA707" t="s">
        <v>13873</v>
      </c>
      <c r="AB707" t="s">
        <v>13874</v>
      </c>
      <c r="AC707" t="s">
        <v>13875</v>
      </c>
      <c r="AD707" t="s">
        <v>13876</v>
      </c>
      <c r="AE707" t="s">
        <v>13877</v>
      </c>
      <c r="AF707" t="s">
        <v>74</v>
      </c>
      <c r="AG707">
        <v>48</v>
      </c>
      <c r="AH707">
        <v>2</v>
      </c>
      <c r="AI707">
        <v>4</v>
      </c>
      <c r="AJ707">
        <v>4</v>
      </c>
      <c r="AK707">
        <v>35</v>
      </c>
      <c r="AL707" t="s">
        <v>946</v>
      </c>
      <c r="AM707" t="s">
        <v>207</v>
      </c>
      <c r="AN707" t="s">
        <v>947</v>
      </c>
      <c r="AO707" t="s">
        <v>2563</v>
      </c>
      <c r="AP707" t="s">
        <v>2564</v>
      </c>
      <c r="AQ707" t="s">
        <v>74</v>
      </c>
      <c r="AR707" t="s">
        <v>2565</v>
      </c>
      <c r="AS707" t="s">
        <v>2566</v>
      </c>
      <c r="AT707" t="s">
        <v>13859</v>
      </c>
      <c r="AU707">
        <v>2022</v>
      </c>
      <c r="AV707">
        <v>49</v>
      </c>
      <c r="AW707">
        <v>13</v>
      </c>
      <c r="AX707" t="s">
        <v>74</v>
      </c>
      <c r="AY707" t="s">
        <v>74</v>
      </c>
      <c r="AZ707" t="s">
        <v>74</v>
      </c>
      <c r="BA707" t="s">
        <v>74</v>
      </c>
      <c r="BB707" t="s">
        <v>74</v>
      </c>
      <c r="BC707" t="s">
        <v>74</v>
      </c>
      <c r="BD707" t="s">
        <v>13878</v>
      </c>
      <c r="BE707" t="s">
        <v>13879</v>
      </c>
      <c r="BF707" t="str">
        <f>HYPERLINK("http://dx.doi.org/10.1029/2022GL098761","http://dx.doi.org/10.1029/2022GL098761")</f>
        <v>http://dx.doi.org/10.1029/2022GL098761</v>
      </c>
      <c r="BG707" t="s">
        <v>74</v>
      </c>
      <c r="BH707" t="s">
        <v>74</v>
      </c>
      <c r="BI707">
        <v>10</v>
      </c>
      <c r="BJ707" t="s">
        <v>129</v>
      </c>
      <c r="BK707" t="s">
        <v>100</v>
      </c>
      <c r="BL707" t="s">
        <v>130</v>
      </c>
      <c r="BM707" t="s">
        <v>13880</v>
      </c>
      <c r="BN707" t="s">
        <v>74</v>
      </c>
      <c r="BO707" t="s">
        <v>404</v>
      </c>
      <c r="BP707" t="s">
        <v>74</v>
      </c>
      <c r="BQ707" t="s">
        <v>74</v>
      </c>
      <c r="BR707" t="s">
        <v>103</v>
      </c>
      <c r="BS707" t="s">
        <v>13881</v>
      </c>
      <c r="BT707" t="str">
        <f>HYPERLINK("https%3A%2F%2Fwww.webofscience.com%2Fwos%2Fwoscc%2Ffull-record%2FWOS:000825336200003","View Full Record in Web of Science")</f>
        <v>View Full Record in Web of Science</v>
      </c>
    </row>
    <row r="708" spans="1:72" x14ac:dyDescent="0.15">
      <c r="A708" t="s">
        <v>72</v>
      </c>
      <c r="B708" t="s">
        <v>13882</v>
      </c>
      <c r="C708" t="s">
        <v>74</v>
      </c>
      <c r="D708" t="s">
        <v>74</v>
      </c>
      <c r="E708" t="s">
        <v>74</v>
      </c>
      <c r="F708" t="s">
        <v>13883</v>
      </c>
      <c r="G708" t="s">
        <v>74</v>
      </c>
      <c r="H708" t="s">
        <v>74</v>
      </c>
      <c r="I708" t="s">
        <v>13884</v>
      </c>
      <c r="J708" t="s">
        <v>2551</v>
      </c>
      <c r="K708" t="s">
        <v>74</v>
      </c>
      <c r="L708" t="s">
        <v>74</v>
      </c>
      <c r="M708" t="s">
        <v>78</v>
      </c>
      <c r="N708" t="s">
        <v>79</v>
      </c>
      <c r="O708" t="s">
        <v>74</v>
      </c>
      <c r="P708" t="s">
        <v>74</v>
      </c>
      <c r="Q708" t="s">
        <v>74</v>
      </c>
      <c r="R708" t="s">
        <v>74</v>
      </c>
      <c r="S708" t="s">
        <v>74</v>
      </c>
      <c r="T708" t="s">
        <v>74</v>
      </c>
      <c r="U708" t="s">
        <v>13885</v>
      </c>
      <c r="V708" t="s">
        <v>13886</v>
      </c>
      <c r="W708" t="s">
        <v>13887</v>
      </c>
      <c r="X708" t="s">
        <v>13888</v>
      </c>
      <c r="Y708" t="s">
        <v>13889</v>
      </c>
      <c r="Z708" t="s">
        <v>13890</v>
      </c>
      <c r="AA708" t="s">
        <v>74</v>
      </c>
      <c r="AB708" t="s">
        <v>13891</v>
      </c>
      <c r="AC708" t="s">
        <v>13892</v>
      </c>
      <c r="AD708" t="s">
        <v>13893</v>
      </c>
      <c r="AE708" t="s">
        <v>13894</v>
      </c>
      <c r="AF708" t="s">
        <v>74</v>
      </c>
      <c r="AG708">
        <v>58</v>
      </c>
      <c r="AH708">
        <v>10</v>
      </c>
      <c r="AI708">
        <v>10</v>
      </c>
      <c r="AJ708">
        <v>3</v>
      </c>
      <c r="AK708">
        <v>15</v>
      </c>
      <c r="AL708" t="s">
        <v>946</v>
      </c>
      <c r="AM708" t="s">
        <v>207</v>
      </c>
      <c r="AN708" t="s">
        <v>947</v>
      </c>
      <c r="AO708" t="s">
        <v>2563</v>
      </c>
      <c r="AP708" t="s">
        <v>2564</v>
      </c>
      <c r="AQ708" t="s">
        <v>74</v>
      </c>
      <c r="AR708" t="s">
        <v>2565</v>
      </c>
      <c r="AS708" t="s">
        <v>2566</v>
      </c>
      <c r="AT708" t="s">
        <v>13859</v>
      </c>
      <c r="AU708">
        <v>2022</v>
      </c>
      <c r="AV708">
        <v>49</v>
      </c>
      <c r="AW708">
        <v>13</v>
      </c>
      <c r="AX708" t="s">
        <v>74</v>
      </c>
      <c r="AY708" t="s">
        <v>74</v>
      </c>
      <c r="AZ708" t="s">
        <v>74</v>
      </c>
      <c r="BA708" t="s">
        <v>74</v>
      </c>
      <c r="BB708" t="s">
        <v>74</v>
      </c>
      <c r="BC708" t="s">
        <v>74</v>
      </c>
      <c r="BD708" t="s">
        <v>13895</v>
      </c>
      <c r="BE708" t="s">
        <v>13896</v>
      </c>
      <c r="BF708" t="str">
        <f>HYPERLINK("http://dx.doi.org/10.1029/2021GL097574","http://dx.doi.org/10.1029/2021GL097574")</f>
        <v>http://dx.doi.org/10.1029/2021GL097574</v>
      </c>
      <c r="BG708" t="s">
        <v>74</v>
      </c>
      <c r="BH708" t="s">
        <v>74</v>
      </c>
      <c r="BI708">
        <v>12</v>
      </c>
      <c r="BJ708" t="s">
        <v>129</v>
      </c>
      <c r="BK708" t="s">
        <v>100</v>
      </c>
      <c r="BL708" t="s">
        <v>130</v>
      </c>
      <c r="BM708" t="s">
        <v>13897</v>
      </c>
      <c r="BN708" t="s">
        <v>74</v>
      </c>
      <c r="BO708" t="s">
        <v>1013</v>
      </c>
      <c r="BP708" t="s">
        <v>74</v>
      </c>
      <c r="BQ708" t="s">
        <v>74</v>
      </c>
      <c r="BR708" t="s">
        <v>103</v>
      </c>
      <c r="BS708" t="s">
        <v>13898</v>
      </c>
      <c r="BT708" t="str">
        <f>HYPERLINK("https%3A%2F%2Fwww.webofscience.com%2Fwos%2Fwoscc%2Ffull-record%2FWOS:000823307400001","View Full Record in Web of Science")</f>
        <v>View Full Record in Web of Science</v>
      </c>
    </row>
    <row r="709" spans="1:72" x14ac:dyDescent="0.15">
      <c r="A709" t="s">
        <v>72</v>
      </c>
      <c r="B709" t="s">
        <v>13899</v>
      </c>
      <c r="C709" t="s">
        <v>74</v>
      </c>
      <c r="D709" t="s">
        <v>74</v>
      </c>
      <c r="E709" t="s">
        <v>74</v>
      </c>
      <c r="F709" t="s">
        <v>13900</v>
      </c>
      <c r="G709" t="s">
        <v>74</v>
      </c>
      <c r="H709" t="s">
        <v>74</v>
      </c>
      <c r="I709" t="s">
        <v>13901</v>
      </c>
      <c r="J709" t="s">
        <v>2551</v>
      </c>
      <c r="K709" t="s">
        <v>74</v>
      </c>
      <c r="L709" t="s">
        <v>74</v>
      </c>
      <c r="M709" t="s">
        <v>78</v>
      </c>
      <c r="N709" t="s">
        <v>79</v>
      </c>
      <c r="O709" t="s">
        <v>74</v>
      </c>
      <c r="P709" t="s">
        <v>74</v>
      </c>
      <c r="Q709" t="s">
        <v>74</v>
      </c>
      <c r="R709" t="s">
        <v>74</v>
      </c>
      <c r="S709" t="s">
        <v>74</v>
      </c>
      <c r="T709" t="s">
        <v>13902</v>
      </c>
      <c r="U709" t="s">
        <v>13903</v>
      </c>
      <c r="V709" t="s">
        <v>13904</v>
      </c>
      <c r="W709" t="s">
        <v>13905</v>
      </c>
      <c r="X709" t="s">
        <v>13906</v>
      </c>
      <c r="Y709" t="s">
        <v>13907</v>
      </c>
      <c r="Z709" t="s">
        <v>13908</v>
      </c>
      <c r="AA709" t="s">
        <v>13909</v>
      </c>
      <c r="AB709" t="s">
        <v>13910</v>
      </c>
      <c r="AC709" t="s">
        <v>13911</v>
      </c>
      <c r="AD709" t="s">
        <v>13912</v>
      </c>
      <c r="AE709" t="s">
        <v>13913</v>
      </c>
      <c r="AF709" t="s">
        <v>74</v>
      </c>
      <c r="AG709">
        <v>66</v>
      </c>
      <c r="AH709">
        <v>1</v>
      </c>
      <c r="AI709">
        <v>1</v>
      </c>
      <c r="AJ709">
        <v>8</v>
      </c>
      <c r="AK709">
        <v>26</v>
      </c>
      <c r="AL709" t="s">
        <v>946</v>
      </c>
      <c r="AM709" t="s">
        <v>207</v>
      </c>
      <c r="AN709" t="s">
        <v>947</v>
      </c>
      <c r="AO709" t="s">
        <v>2563</v>
      </c>
      <c r="AP709" t="s">
        <v>2564</v>
      </c>
      <c r="AQ709" t="s">
        <v>74</v>
      </c>
      <c r="AR709" t="s">
        <v>2565</v>
      </c>
      <c r="AS709" t="s">
        <v>2566</v>
      </c>
      <c r="AT709" t="s">
        <v>13859</v>
      </c>
      <c r="AU709">
        <v>2022</v>
      </c>
      <c r="AV709">
        <v>49</v>
      </c>
      <c r="AW709">
        <v>13</v>
      </c>
      <c r="AX709" t="s">
        <v>74</v>
      </c>
      <c r="AY709" t="s">
        <v>74</v>
      </c>
      <c r="AZ709" t="s">
        <v>74</v>
      </c>
      <c r="BA709" t="s">
        <v>74</v>
      </c>
      <c r="BB709" t="s">
        <v>74</v>
      </c>
      <c r="BC709" t="s">
        <v>74</v>
      </c>
      <c r="BD709" t="s">
        <v>13914</v>
      </c>
      <c r="BE709" t="s">
        <v>13915</v>
      </c>
      <c r="BF709" t="str">
        <f>HYPERLINK("http://dx.doi.org/10.1029/2022GL098979","http://dx.doi.org/10.1029/2022GL098979")</f>
        <v>http://dx.doi.org/10.1029/2022GL098979</v>
      </c>
      <c r="BG709" t="s">
        <v>74</v>
      </c>
      <c r="BH709" t="s">
        <v>74</v>
      </c>
      <c r="BI709">
        <v>11</v>
      </c>
      <c r="BJ709" t="s">
        <v>129</v>
      </c>
      <c r="BK709" t="s">
        <v>100</v>
      </c>
      <c r="BL709" t="s">
        <v>130</v>
      </c>
      <c r="BM709" t="s">
        <v>13916</v>
      </c>
      <c r="BN709" t="s">
        <v>74</v>
      </c>
      <c r="BO709" t="s">
        <v>404</v>
      </c>
      <c r="BP709" t="s">
        <v>74</v>
      </c>
      <c r="BQ709" t="s">
        <v>74</v>
      </c>
      <c r="BR709" t="s">
        <v>103</v>
      </c>
      <c r="BS709" t="s">
        <v>13917</v>
      </c>
      <c r="BT709" t="str">
        <f>HYPERLINK("https%3A%2F%2Fwww.webofscience.com%2Fwos%2Fwoscc%2Ffull-record%2FWOS:000822802900001","View Full Record in Web of Science")</f>
        <v>View Full Record in Web of Science</v>
      </c>
    </row>
    <row r="710" spans="1:72" x14ac:dyDescent="0.15">
      <c r="A710" t="s">
        <v>72</v>
      </c>
      <c r="B710" t="s">
        <v>13918</v>
      </c>
      <c r="C710" t="s">
        <v>74</v>
      </c>
      <c r="D710" t="s">
        <v>74</v>
      </c>
      <c r="E710" t="s">
        <v>74</v>
      </c>
      <c r="F710" t="s">
        <v>13919</v>
      </c>
      <c r="G710" t="s">
        <v>74</v>
      </c>
      <c r="H710" t="s">
        <v>74</v>
      </c>
      <c r="I710" t="s">
        <v>13920</v>
      </c>
      <c r="J710" t="s">
        <v>2738</v>
      </c>
      <c r="K710" t="s">
        <v>74</v>
      </c>
      <c r="L710" t="s">
        <v>74</v>
      </c>
      <c r="M710" t="s">
        <v>78</v>
      </c>
      <c r="N710" t="s">
        <v>79</v>
      </c>
      <c r="O710" t="s">
        <v>74</v>
      </c>
      <c r="P710" t="s">
        <v>74</v>
      </c>
      <c r="Q710" t="s">
        <v>74</v>
      </c>
      <c r="R710" t="s">
        <v>74</v>
      </c>
      <c r="S710" t="s">
        <v>74</v>
      </c>
      <c r="T710" t="s">
        <v>13921</v>
      </c>
      <c r="U710" t="s">
        <v>13922</v>
      </c>
      <c r="V710" t="s">
        <v>13923</v>
      </c>
      <c r="W710" t="s">
        <v>13924</v>
      </c>
      <c r="X710" t="s">
        <v>13925</v>
      </c>
      <c r="Y710" t="s">
        <v>13926</v>
      </c>
      <c r="Z710" t="s">
        <v>13927</v>
      </c>
      <c r="AA710" t="s">
        <v>13928</v>
      </c>
      <c r="AB710" t="s">
        <v>13929</v>
      </c>
      <c r="AC710" t="s">
        <v>13930</v>
      </c>
      <c r="AD710" t="s">
        <v>13931</v>
      </c>
      <c r="AE710" t="s">
        <v>13932</v>
      </c>
      <c r="AF710" t="s">
        <v>74</v>
      </c>
      <c r="AG710">
        <v>82</v>
      </c>
      <c r="AH710">
        <v>2</v>
      </c>
      <c r="AI710">
        <v>2</v>
      </c>
      <c r="AJ710">
        <v>3</v>
      </c>
      <c r="AK710">
        <v>18</v>
      </c>
      <c r="AL710" t="s">
        <v>946</v>
      </c>
      <c r="AM710" t="s">
        <v>207</v>
      </c>
      <c r="AN710" t="s">
        <v>947</v>
      </c>
      <c r="AO710" t="s">
        <v>2751</v>
      </c>
      <c r="AP710" t="s">
        <v>2752</v>
      </c>
      <c r="AQ710" t="s">
        <v>74</v>
      </c>
      <c r="AR710" t="s">
        <v>2753</v>
      </c>
      <c r="AS710" t="s">
        <v>2754</v>
      </c>
      <c r="AT710" t="s">
        <v>13859</v>
      </c>
      <c r="AU710">
        <v>2022</v>
      </c>
      <c r="AV710">
        <v>127</v>
      </c>
      <c r="AW710">
        <v>13</v>
      </c>
      <c r="AX710" t="s">
        <v>74</v>
      </c>
      <c r="AY710" t="s">
        <v>74</v>
      </c>
      <c r="AZ710" t="s">
        <v>74</v>
      </c>
      <c r="BA710" t="s">
        <v>74</v>
      </c>
      <c r="BB710" t="s">
        <v>74</v>
      </c>
      <c r="BC710" t="s">
        <v>74</v>
      </c>
      <c r="BD710" t="s">
        <v>13933</v>
      </c>
      <c r="BE710" t="s">
        <v>13934</v>
      </c>
      <c r="BF710" t="str">
        <f>HYPERLINK("http://dx.doi.org/10.1029/2022JD036559","http://dx.doi.org/10.1029/2022JD036559")</f>
        <v>http://dx.doi.org/10.1029/2022JD036559</v>
      </c>
      <c r="BG710" t="s">
        <v>74</v>
      </c>
      <c r="BH710" t="s">
        <v>74</v>
      </c>
      <c r="BI710">
        <v>10</v>
      </c>
      <c r="BJ710" t="s">
        <v>457</v>
      </c>
      <c r="BK710" t="s">
        <v>100</v>
      </c>
      <c r="BL710" t="s">
        <v>457</v>
      </c>
      <c r="BM710" t="s">
        <v>13935</v>
      </c>
      <c r="BN710" t="s">
        <v>74</v>
      </c>
      <c r="BO710" t="s">
        <v>2512</v>
      </c>
      <c r="BP710" t="s">
        <v>74</v>
      </c>
      <c r="BQ710" t="s">
        <v>74</v>
      </c>
      <c r="BR710" t="s">
        <v>103</v>
      </c>
      <c r="BS710" t="s">
        <v>13936</v>
      </c>
      <c r="BT710" t="str">
        <f>HYPERLINK("https%3A%2F%2Fwww.webofscience.com%2Fwos%2Fwoscc%2Ffull-record%2FWOS:000823157800001","View Full Record in Web of Science")</f>
        <v>View Full Record in Web of Science</v>
      </c>
    </row>
    <row r="711" spans="1:72" x14ac:dyDescent="0.15">
      <c r="A711" t="s">
        <v>72</v>
      </c>
      <c r="B711" t="s">
        <v>13937</v>
      </c>
      <c r="C711" t="s">
        <v>74</v>
      </c>
      <c r="D711" t="s">
        <v>74</v>
      </c>
      <c r="E711" t="s">
        <v>74</v>
      </c>
      <c r="F711" t="s">
        <v>13938</v>
      </c>
      <c r="G711" t="s">
        <v>74</v>
      </c>
      <c r="H711" t="s">
        <v>74</v>
      </c>
      <c r="I711" t="s">
        <v>13939</v>
      </c>
      <c r="J711" t="s">
        <v>2738</v>
      </c>
      <c r="K711" t="s">
        <v>74</v>
      </c>
      <c r="L711" t="s">
        <v>74</v>
      </c>
      <c r="M711" t="s">
        <v>78</v>
      </c>
      <c r="N711" t="s">
        <v>79</v>
      </c>
      <c r="O711" t="s">
        <v>74</v>
      </c>
      <c r="P711" t="s">
        <v>74</v>
      </c>
      <c r="Q711" t="s">
        <v>74</v>
      </c>
      <c r="R711" t="s">
        <v>74</v>
      </c>
      <c r="S711" t="s">
        <v>74</v>
      </c>
      <c r="T711" t="s">
        <v>74</v>
      </c>
      <c r="U711" t="s">
        <v>13940</v>
      </c>
      <c r="V711" t="s">
        <v>13941</v>
      </c>
      <c r="W711" t="s">
        <v>13942</v>
      </c>
      <c r="X711" t="s">
        <v>13943</v>
      </c>
      <c r="Y711" t="s">
        <v>13944</v>
      </c>
      <c r="Z711" t="s">
        <v>13945</v>
      </c>
      <c r="AA711" t="s">
        <v>13946</v>
      </c>
      <c r="AB711" t="s">
        <v>13947</v>
      </c>
      <c r="AC711" t="s">
        <v>13948</v>
      </c>
      <c r="AD711" t="s">
        <v>13949</v>
      </c>
      <c r="AE711" t="s">
        <v>13950</v>
      </c>
      <c r="AF711" t="s">
        <v>74</v>
      </c>
      <c r="AG711">
        <v>108</v>
      </c>
      <c r="AH711">
        <v>0</v>
      </c>
      <c r="AI711">
        <v>1</v>
      </c>
      <c r="AJ711">
        <v>10</v>
      </c>
      <c r="AK711">
        <v>19</v>
      </c>
      <c r="AL711" t="s">
        <v>946</v>
      </c>
      <c r="AM711" t="s">
        <v>207</v>
      </c>
      <c r="AN711" t="s">
        <v>947</v>
      </c>
      <c r="AO711" t="s">
        <v>2751</v>
      </c>
      <c r="AP711" t="s">
        <v>2752</v>
      </c>
      <c r="AQ711" t="s">
        <v>74</v>
      </c>
      <c r="AR711" t="s">
        <v>2753</v>
      </c>
      <c r="AS711" t="s">
        <v>2754</v>
      </c>
      <c r="AT711" t="s">
        <v>13859</v>
      </c>
      <c r="AU711">
        <v>2022</v>
      </c>
      <c r="AV711">
        <v>127</v>
      </c>
      <c r="AW711">
        <v>13</v>
      </c>
      <c r="AX711" t="s">
        <v>74</v>
      </c>
      <c r="AY711" t="s">
        <v>74</v>
      </c>
      <c r="AZ711" t="s">
        <v>74</v>
      </c>
      <c r="BA711" t="s">
        <v>74</v>
      </c>
      <c r="BB711" t="s">
        <v>74</v>
      </c>
      <c r="BC711" t="s">
        <v>74</v>
      </c>
      <c r="BD711" t="s">
        <v>13951</v>
      </c>
      <c r="BE711" t="s">
        <v>13952</v>
      </c>
      <c r="BF711" t="str">
        <f>HYPERLINK("http://dx.doi.org/10.1029/2022JD036586","http://dx.doi.org/10.1029/2022JD036586")</f>
        <v>http://dx.doi.org/10.1029/2022JD036586</v>
      </c>
      <c r="BG711" t="s">
        <v>74</v>
      </c>
      <c r="BH711" t="s">
        <v>74</v>
      </c>
      <c r="BI711">
        <v>16</v>
      </c>
      <c r="BJ711" t="s">
        <v>457</v>
      </c>
      <c r="BK711" t="s">
        <v>100</v>
      </c>
      <c r="BL711" t="s">
        <v>457</v>
      </c>
      <c r="BM711" t="s">
        <v>13953</v>
      </c>
      <c r="BN711" t="s">
        <v>74</v>
      </c>
      <c r="BO711" t="s">
        <v>1221</v>
      </c>
      <c r="BP711" t="s">
        <v>74</v>
      </c>
      <c r="BQ711" t="s">
        <v>74</v>
      </c>
      <c r="BR711" t="s">
        <v>103</v>
      </c>
      <c r="BS711" t="s">
        <v>13954</v>
      </c>
      <c r="BT711" t="str">
        <f>HYPERLINK("https%3A%2F%2Fwww.webofscience.com%2Fwos%2Fwoscc%2Ffull-record%2FWOS:000823265100001","View Full Record in Web of Science")</f>
        <v>View Full Record in Web of Science</v>
      </c>
    </row>
    <row r="712" spans="1:72" x14ac:dyDescent="0.15">
      <c r="A712" t="s">
        <v>72</v>
      </c>
      <c r="B712" t="s">
        <v>13955</v>
      </c>
      <c r="C712" t="s">
        <v>74</v>
      </c>
      <c r="D712" t="s">
        <v>74</v>
      </c>
      <c r="E712" t="s">
        <v>74</v>
      </c>
      <c r="F712" t="s">
        <v>13956</v>
      </c>
      <c r="G712" t="s">
        <v>74</v>
      </c>
      <c r="H712" t="s">
        <v>74</v>
      </c>
      <c r="I712" t="s">
        <v>13957</v>
      </c>
      <c r="J712" t="s">
        <v>2551</v>
      </c>
      <c r="K712" t="s">
        <v>74</v>
      </c>
      <c r="L712" t="s">
        <v>74</v>
      </c>
      <c r="M712" t="s">
        <v>78</v>
      </c>
      <c r="N712" t="s">
        <v>79</v>
      </c>
      <c r="O712" t="s">
        <v>74</v>
      </c>
      <c r="P712" t="s">
        <v>74</v>
      </c>
      <c r="Q712" t="s">
        <v>74</v>
      </c>
      <c r="R712" t="s">
        <v>74</v>
      </c>
      <c r="S712" t="s">
        <v>74</v>
      </c>
      <c r="T712" t="s">
        <v>13958</v>
      </c>
      <c r="U712" t="s">
        <v>13959</v>
      </c>
      <c r="V712" t="s">
        <v>13960</v>
      </c>
      <c r="W712" t="s">
        <v>13961</v>
      </c>
      <c r="X712" t="s">
        <v>13962</v>
      </c>
      <c r="Y712" t="s">
        <v>13963</v>
      </c>
      <c r="Z712" t="s">
        <v>13964</v>
      </c>
      <c r="AA712" t="s">
        <v>74</v>
      </c>
      <c r="AB712" t="s">
        <v>13965</v>
      </c>
      <c r="AC712" t="s">
        <v>13966</v>
      </c>
      <c r="AD712" t="s">
        <v>13967</v>
      </c>
      <c r="AE712" t="s">
        <v>13968</v>
      </c>
      <c r="AF712" t="s">
        <v>74</v>
      </c>
      <c r="AG712">
        <v>51</v>
      </c>
      <c r="AH712">
        <v>2</v>
      </c>
      <c r="AI712">
        <v>2</v>
      </c>
      <c r="AJ712">
        <v>2</v>
      </c>
      <c r="AK712">
        <v>14</v>
      </c>
      <c r="AL712" t="s">
        <v>946</v>
      </c>
      <c r="AM712" t="s">
        <v>207</v>
      </c>
      <c r="AN712" t="s">
        <v>947</v>
      </c>
      <c r="AO712" t="s">
        <v>2563</v>
      </c>
      <c r="AP712" t="s">
        <v>2564</v>
      </c>
      <c r="AQ712" t="s">
        <v>74</v>
      </c>
      <c r="AR712" t="s">
        <v>2565</v>
      </c>
      <c r="AS712" t="s">
        <v>2566</v>
      </c>
      <c r="AT712" t="s">
        <v>13859</v>
      </c>
      <c r="AU712">
        <v>2022</v>
      </c>
      <c r="AV712">
        <v>49</v>
      </c>
      <c r="AW712">
        <v>13</v>
      </c>
      <c r="AX712" t="s">
        <v>74</v>
      </c>
      <c r="AY712" t="s">
        <v>74</v>
      </c>
      <c r="AZ712" t="s">
        <v>74</v>
      </c>
      <c r="BA712" t="s">
        <v>74</v>
      </c>
      <c r="BB712" t="s">
        <v>74</v>
      </c>
      <c r="BC712" t="s">
        <v>74</v>
      </c>
      <c r="BD712" t="s">
        <v>13969</v>
      </c>
      <c r="BE712" t="s">
        <v>13970</v>
      </c>
      <c r="BF712" t="str">
        <f>HYPERLINK("http://dx.doi.org/10.1029/2022GL098217","http://dx.doi.org/10.1029/2022GL098217")</f>
        <v>http://dx.doi.org/10.1029/2022GL098217</v>
      </c>
      <c r="BG712" t="s">
        <v>74</v>
      </c>
      <c r="BH712" t="s">
        <v>74</v>
      </c>
      <c r="BI712">
        <v>9</v>
      </c>
      <c r="BJ712" t="s">
        <v>129</v>
      </c>
      <c r="BK712" t="s">
        <v>100</v>
      </c>
      <c r="BL712" t="s">
        <v>130</v>
      </c>
      <c r="BM712" t="s">
        <v>13971</v>
      </c>
      <c r="BN712" t="s">
        <v>74</v>
      </c>
      <c r="BO712" t="s">
        <v>2512</v>
      </c>
      <c r="BP712" t="s">
        <v>74</v>
      </c>
      <c r="BQ712" t="s">
        <v>74</v>
      </c>
      <c r="BR712" t="s">
        <v>103</v>
      </c>
      <c r="BS712" t="s">
        <v>13972</v>
      </c>
      <c r="BT712" t="str">
        <f>HYPERLINK("https%3A%2F%2Fwww.webofscience.com%2Fwos%2Fwoscc%2Ffull-record%2FWOS:000823068900001","View Full Record in Web of Science")</f>
        <v>View Full Record in Web of Science</v>
      </c>
    </row>
    <row r="713" spans="1:72" x14ac:dyDescent="0.15">
      <c r="A713" t="s">
        <v>72</v>
      </c>
      <c r="B713" t="s">
        <v>13973</v>
      </c>
      <c r="C713" t="s">
        <v>74</v>
      </c>
      <c r="D713" t="s">
        <v>74</v>
      </c>
      <c r="E713" t="s">
        <v>74</v>
      </c>
      <c r="F713" t="s">
        <v>13974</v>
      </c>
      <c r="G713" t="s">
        <v>74</v>
      </c>
      <c r="H713" t="s">
        <v>74</v>
      </c>
      <c r="I713" t="s">
        <v>13975</v>
      </c>
      <c r="J713" t="s">
        <v>2551</v>
      </c>
      <c r="K713" t="s">
        <v>74</v>
      </c>
      <c r="L713" t="s">
        <v>74</v>
      </c>
      <c r="M713" t="s">
        <v>78</v>
      </c>
      <c r="N713" t="s">
        <v>79</v>
      </c>
      <c r="O713" t="s">
        <v>74</v>
      </c>
      <c r="P713" t="s">
        <v>74</v>
      </c>
      <c r="Q713" t="s">
        <v>74</v>
      </c>
      <c r="R713" t="s">
        <v>74</v>
      </c>
      <c r="S713" t="s">
        <v>74</v>
      </c>
      <c r="T713" t="s">
        <v>13976</v>
      </c>
      <c r="U713" t="s">
        <v>13977</v>
      </c>
      <c r="V713" t="s">
        <v>13978</v>
      </c>
      <c r="W713" t="s">
        <v>13979</v>
      </c>
      <c r="X713" t="s">
        <v>13980</v>
      </c>
      <c r="Y713" t="s">
        <v>13981</v>
      </c>
      <c r="Z713" t="s">
        <v>6795</v>
      </c>
      <c r="AA713" t="s">
        <v>6796</v>
      </c>
      <c r="AB713" t="s">
        <v>13982</v>
      </c>
      <c r="AC713" t="s">
        <v>13983</v>
      </c>
      <c r="AD713" t="s">
        <v>13984</v>
      </c>
      <c r="AE713" t="s">
        <v>13985</v>
      </c>
      <c r="AF713" t="s">
        <v>74</v>
      </c>
      <c r="AG713">
        <v>37</v>
      </c>
      <c r="AH713">
        <v>8</v>
      </c>
      <c r="AI713">
        <v>8</v>
      </c>
      <c r="AJ713">
        <v>3</v>
      </c>
      <c r="AK713">
        <v>17</v>
      </c>
      <c r="AL713" t="s">
        <v>946</v>
      </c>
      <c r="AM713" t="s">
        <v>207</v>
      </c>
      <c r="AN713" t="s">
        <v>947</v>
      </c>
      <c r="AO713" t="s">
        <v>2563</v>
      </c>
      <c r="AP713" t="s">
        <v>2564</v>
      </c>
      <c r="AQ713" t="s">
        <v>74</v>
      </c>
      <c r="AR713" t="s">
        <v>2565</v>
      </c>
      <c r="AS713" t="s">
        <v>2566</v>
      </c>
      <c r="AT713" t="s">
        <v>13859</v>
      </c>
      <c r="AU713">
        <v>2022</v>
      </c>
      <c r="AV713">
        <v>49</v>
      </c>
      <c r="AW713">
        <v>13</v>
      </c>
      <c r="AX713" t="s">
        <v>74</v>
      </c>
      <c r="AY713" t="s">
        <v>74</v>
      </c>
      <c r="AZ713" t="s">
        <v>74</v>
      </c>
      <c r="BA713" t="s">
        <v>74</v>
      </c>
      <c r="BB713" t="s">
        <v>74</v>
      </c>
      <c r="BC713" t="s">
        <v>74</v>
      </c>
      <c r="BD713" t="s">
        <v>13986</v>
      </c>
      <c r="BE713" t="s">
        <v>13987</v>
      </c>
      <c r="BF713" t="str">
        <f>HYPERLINK("http://dx.doi.org/10.1029/2022GL097859","http://dx.doi.org/10.1029/2022GL097859")</f>
        <v>http://dx.doi.org/10.1029/2022GL097859</v>
      </c>
      <c r="BG713" t="s">
        <v>74</v>
      </c>
      <c r="BH713" t="s">
        <v>74</v>
      </c>
      <c r="BI713">
        <v>9</v>
      </c>
      <c r="BJ713" t="s">
        <v>129</v>
      </c>
      <c r="BK713" t="s">
        <v>100</v>
      </c>
      <c r="BL713" t="s">
        <v>130</v>
      </c>
      <c r="BM713" t="s">
        <v>13988</v>
      </c>
      <c r="BN713" t="s">
        <v>74</v>
      </c>
      <c r="BO713" t="s">
        <v>404</v>
      </c>
      <c r="BP713" t="s">
        <v>74</v>
      </c>
      <c r="BQ713" t="s">
        <v>74</v>
      </c>
      <c r="BR713" t="s">
        <v>103</v>
      </c>
      <c r="BS713" t="s">
        <v>13989</v>
      </c>
      <c r="BT713" t="str">
        <f>HYPERLINK("https%3A%2F%2Fwww.webofscience.com%2Fwos%2Fwoscc%2Ffull-record%2FWOS:000822728300001","View Full Record in Web of Science")</f>
        <v>View Full Record in Web of Science</v>
      </c>
    </row>
    <row r="714" spans="1:72" x14ac:dyDescent="0.15">
      <c r="A714" t="s">
        <v>72</v>
      </c>
      <c r="B714" t="s">
        <v>13990</v>
      </c>
      <c r="C714" t="s">
        <v>74</v>
      </c>
      <c r="D714" t="s">
        <v>74</v>
      </c>
      <c r="E714" t="s">
        <v>74</v>
      </c>
      <c r="F714" t="s">
        <v>13991</v>
      </c>
      <c r="G714" t="s">
        <v>74</v>
      </c>
      <c r="H714" t="s">
        <v>74</v>
      </c>
      <c r="I714" t="s">
        <v>13992</v>
      </c>
      <c r="J714" t="s">
        <v>13993</v>
      </c>
      <c r="K714" t="s">
        <v>74</v>
      </c>
      <c r="L714" t="s">
        <v>74</v>
      </c>
      <c r="M714" t="s">
        <v>78</v>
      </c>
      <c r="N714" t="s">
        <v>79</v>
      </c>
      <c r="O714" t="s">
        <v>74</v>
      </c>
      <c r="P714" t="s">
        <v>74</v>
      </c>
      <c r="Q714" t="s">
        <v>74</v>
      </c>
      <c r="R714" t="s">
        <v>74</v>
      </c>
      <c r="S714" t="s">
        <v>74</v>
      </c>
      <c r="T714" t="s">
        <v>13994</v>
      </c>
      <c r="U714" t="s">
        <v>13995</v>
      </c>
      <c r="V714" t="s">
        <v>13996</v>
      </c>
      <c r="W714" t="s">
        <v>13997</v>
      </c>
      <c r="X714" t="s">
        <v>13998</v>
      </c>
      <c r="Y714" t="s">
        <v>13999</v>
      </c>
      <c r="Z714" t="s">
        <v>14000</v>
      </c>
      <c r="AA714" t="s">
        <v>74</v>
      </c>
      <c r="AB714" t="s">
        <v>74</v>
      </c>
      <c r="AC714" t="s">
        <v>14001</v>
      </c>
      <c r="AD714" t="s">
        <v>14002</v>
      </c>
      <c r="AE714" t="s">
        <v>14003</v>
      </c>
      <c r="AF714" t="s">
        <v>74</v>
      </c>
      <c r="AG714">
        <v>59</v>
      </c>
      <c r="AH714">
        <v>6</v>
      </c>
      <c r="AI714">
        <v>7</v>
      </c>
      <c r="AJ714">
        <v>11</v>
      </c>
      <c r="AK714">
        <v>20</v>
      </c>
      <c r="AL714" t="s">
        <v>501</v>
      </c>
      <c r="AM714" t="s">
        <v>502</v>
      </c>
      <c r="AN714" t="s">
        <v>503</v>
      </c>
      <c r="AO714" t="s">
        <v>14004</v>
      </c>
      <c r="AP714" t="s">
        <v>74</v>
      </c>
      <c r="AQ714" t="s">
        <v>74</v>
      </c>
      <c r="AR714" t="s">
        <v>14005</v>
      </c>
      <c r="AS714" t="s">
        <v>14006</v>
      </c>
      <c r="AT714" t="s">
        <v>5386</v>
      </c>
      <c r="AU714">
        <v>2022</v>
      </c>
      <c r="AV714">
        <v>25</v>
      </c>
      <c r="AW714" t="s">
        <v>74</v>
      </c>
      <c r="AX714" t="s">
        <v>74</v>
      </c>
      <c r="AY714" t="s">
        <v>74</v>
      </c>
      <c r="AZ714" t="s">
        <v>74</v>
      </c>
      <c r="BA714" t="s">
        <v>74</v>
      </c>
      <c r="BB714" t="s">
        <v>74</v>
      </c>
      <c r="BC714" t="s">
        <v>74</v>
      </c>
      <c r="BD714">
        <v>101256</v>
      </c>
      <c r="BE714" t="s">
        <v>14007</v>
      </c>
      <c r="BF714" t="str">
        <f>HYPERLINK("http://dx.doi.org/10.1016/j.aqrep.2022.101256","http://dx.doi.org/10.1016/j.aqrep.2022.101256")</f>
        <v>http://dx.doi.org/10.1016/j.aqrep.2022.101256</v>
      </c>
      <c r="BG714" t="s">
        <v>74</v>
      </c>
      <c r="BH714" t="s">
        <v>12326</v>
      </c>
      <c r="BI714">
        <v>11</v>
      </c>
      <c r="BJ714" t="s">
        <v>1931</v>
      </c>
      <c r="BK714" t="s">
        <v>100</v>
      </c>
      <c r="BL714" t="s">
        <v>1931</v>
      </c>
      <c r="BM714" t="s">
        <v>14008</v>
      </c>
      <c r="BN714" t="s">
        <v>74</v>
      </c>
      <c r="BO714" t="s">
        <v>266</v>
      </c>
      <c r="BP714" t="s">
        <v>74</v>
      </c>
      <c r="BQ714" t="s">
        <v>74</v>
      </c>
      <c r="BR714" t="s">
        <v>103</v>
      </c>
      <c r="BS714" t="s">
        <v>14009</v>
      </c>
      <c r="BT714" t="str">
        <f>HYPERLINK("https%3A%2F%2Fwww.webofscience.com%2Fwos%2Fwoscc%2Ffull-record%2FWOS:000881370900004","View Full Record in Web of Science")</f>
        <v>View Full Record in Web of Science</v>
      </c>
    </row>
    <row r="715" spans="1:72" x14ac:dyDescent="0.15">
      <c r="A715" t="s">
        <v>72</v>
      </c>
      <c r="B715" t="s">
        <v>14010</v>
      </c>
      <c r="C715" t="s">
        <v>74</v>
      </c>
      <c r="D715" t="s">
        <v>74</v>
      </c>
      <c r="E715" t="s">
        <v>74</v>
      </c>
      <c r="F715" t="s">
        <v>14011</v>
      </c>
      <c r="G715" t="s">
        <v>74</v>
      </c>
      <c r="H715" t="s">
        <v>74</v>
      </c>
      <c r="I715" t="s">
        <v>14012</v>
      </c>
      <c r="J715" t="s">
        <v>4256</v>
      </c>
      <c r="K715" t="s">
        <v>74</v>
      </c>
      <c r="L715" t="s">
        <v>74</v>
      </c>
      <c r="M715" t="s">
        <v>78</v>
      </c>
      <c r="N715" t="s">
        <v>79</v>
      </c>
      <c r="O715" t="s">
        <v>74</v>
      </c>
      <c r="P715" t="s">
        <v>74</v>
      </c>
      <c r="Q715" t="s">
        <v>74</v>
      </c>
      <c r="R715" t="s">
        <v>74</v>
      </c>
      <c r="S715" t="s">
        <v>74</v>
      </c>
      <c r="T715" t="s">
        <v>14013</v>
      </c>
      <c r="U715" t="s">
        <v>14014</v>
      </c>
      <c r="V715" t="s">
        <v>14015</v>
      </c>
      <c r="W715" t="s">
        <v>14016</v>
      </c>
      <c r="X715" t="s">
        <v>14017</v>
      </c>
      <c r="Y715" t="s">
        <v>14018</v>
      </c>
      <c r="Z715" t="s">
        <v>4263</v>
      </c>
      <c r="AA715" t="s">
        <v>14019</v>
      </c>
      <c r="AB715" t="s">
        <v>14020</v>
      </c>
      <c r="AC715" t="s">
        <v>14021</v>
      </c>
      <c r="AD715" t="s">
        <v>14022</v>
      </c>
      <c r="AE715" t="s">
        <v>14023</v>
      </c>
      <c r="AF715" t="s">
        <v>74</v>
      </c>
      <c r="AG715">
        <v>76</v>
      </c>
      <c r="AH715">
        <v>0</v>
      </c>
      <c r="AI715">
        <v>0</v>
      </c>
      <c r="AJ715">
        <v>1</v>
      </c>
      <c r="AK715">
        <v>4</v>
      </c>
      <c r="AL715" t="s">
        <v>2249</v>
      </c>
      <c r="AM715" t="s">
        <v>90</v>
      </c>
      <c r="AN715" t="s">
        <v>2250</v>
      </c>
      <c r="AO715" t="s">
        <v>4269</v>
      </c>
      <c r="AP715" t="s">
        <v>4270</v>
      </c>
      <c r="AQ715" t="s">
        <v>74</v>
      </c>
      <c r="AR715" t="s">
        <v>4271</v>
      </c>
      <c r="AS715" t="s">
        <v>4272</v>
      </c>
      <c r="AT715" t="s">
        <v>5386</v>
      </c>
      <c r="AU715">
        <v>2022</v>
      </c>
      <c r="AV715">
        <v>126</v>
      </c>
      <c r="AW715">
        <v>8</v>
      </c>
      <c r="AX715" t="s">
        <v>74</v>
      </c>
      <c r="AY715" t="s">
        <v>74</v>
      </c>
      <c r="AZ715" t="s">
        <v>74</v>
      </c>
      <c r="BA715" t="s">
        <v>74</v>
      </c>
      <c r="BB715">
        <v>488</v>
      </c>
      <c r="BC715">
        <v>497</v>
      </c>
      <c r="BD715" t="s">
        <v>74</v>
      </c>
      <c r="BE715" t="s">
        <v>14024</v>
      </c>
      <c r="BF715" t="str">
        <f>HYPERLINK("http://dx.doi.org/10.1016/j.funbio.2022.04.003","http://dx.doi.org/10.1016/j.funbio.2022.04.003")</f>
        <v>http://dx.doi.org/10.1016/j.funbio.2022.04.003</v>
      </c>
      <c r="BG715" t="s">
        <v>74</v>
      </c>
      <c r="BH715" t="s">
        <v>12326</v>
      </c>
      <c r="BI715">
        <v>10</v>
      </c>
      <c r="BJ715" t="s">
        <v>3975</v>
      </c>
      <c r="BK715" t="s">
        <v>100</v>
      </c>
      <c r="BL715" t="s">
        <v>3975</v>
      </c>
      <c r="BM715" t="s">
        <v>14025</v>
      </c>
      <c r="BN715">
        <v>35851141</v>
      </c>
      <c r="BO715" t="s">
        <v>74</v>
      </c>
      <c r="BP715" t="s">
        <v>74</v>
      </c>
      <c r="BQ715" t="s">
        <v>74</v>
      </c>
      <c r="BR715" t="s">
        <v>103</v>
      </c>
      <c r="BS715" t="s">
        <v>14026</v>
      </c>
      <c r="BT715" t="str">
        <f>HYPERLINK("https%3A%2F%2Fwww.webofscience.com%2Fwos%2Fwoscc%2Ffull-record%2FWOS:000832684300003","View Full Record in Web of Science")</f>
        <v>View Full Record in Web of Science</v>
      </c>
    </row>
    <row r="716" spans="1:72" x14ac:dyDescent="0.15">
      <c r="A716" t="s">
        <v>72</v>
      </c>
      <c r="B716" t="s">
        <v>14027</v>
      </c>
      <c r="C716" t="s">
        <v>74</v>
      </c>
      <c r="D716" t="s">
        <v>74</v>
      </c>
      <c r="E716" t="s">
        <v>74</v>
      </c>
      <c r="F716" t="s">
        <v>14028</v>
      </c>
      <c r="G716" t="s">
        <v>74</v>
      </c>
      <c r="H716" t="s">
        <v>74</v>
      </c>
      <c r="I716" t="s">
        <v>14029</v>
      </c>
      <c r="J716" t="s">
        <v>14030</v>
      </c>
      <c r="K716" t="s">
        <v>74</v>
      </c>
      <c r="L716" t="s">
        <v>74</v>
      </c>
      <c r="M716" t="s">
        <v>78</v>
      </c>
      <c r="N716" t="s">
        <v>2122</v>
      </c>
      <c r="O716" t="s">
        <v>74</v>
      </c>
      <c r="P716" t="s">
        <v>74</v>
      </c>
      <c r="Q716" t="s">
        <v>74</v>
      </c>
      <c r="R716" t="s">
        <v>74</v>
      </c>
      <c r="S716" t="s">
        <v>74</v>
      </c>
      <c r="T716" t="s">
        <v>14031</v>
      </c>
      <c r="U716" t="s">
        <v>14032</v>
      </c>
      <c r="V716" t="s">
        <v>14033</v>
      </c>
      <c r="W716" t="s">
        <v>14034</v>
      </c>
      <c r="X716" t="s">
        <v>14035</v>
      </c>
      <c r="Y716" t="s">
        <v>14036</v>
      </c>
      <c r="Z716" t="s">
        <v>14037</v>
      </c>
      <c r="AA716" t="s">
        <v>74</v>
      </c>
      <c r="AB716" t="s">
        <v>74</v>
      </c>
      <c r="AC716" t="s">
        <v>14038</v>
      </c>
      <c r="AD716" t="s">
        <v>14038</v>
      </c>
      <c r="AE716" t="s">
        <v>14039</v>
      </c>
      <c r="AF716" t="s">
        <v>74</v>
      </c>
      <c r="AG716">
        <v>54</v>
      </c>
      <c r="AH716">
        <v>1</v>
      </c>
      <c r="AI716">
        <v>1</v>
      </c>
      <c r="AJ716">
        <v>1</v>
      </c>
      <c r="AK716">
        <v>8</v>
      </c>
      <c r="AL716" t="s">
        <v>10115</v>
      </c>
      <c r="AM716" t="s">
        <v>3828</v>
      </c>
      <c r="AN716" t="s">
        <v>10116</v>
      </c>
      <c r="AO716" t="s">
        <v>14040</v>
      </c>
      <c r="AP716" t="s">
        <v>14041</v>
      </c>
      <c r="AQ716" t="s">
        <v>74</v>
      </c>
      <c r="AR716" t="s">
        <v>14042</v>
      </c>
      <c r="AS716" t="s">
        <v>14043</v>
      </c>
      <c r="AT716" t="s">
        <v>14044</v>
      </c>
      <c r="AU716">
        <v>2022</v>
      </c>
      <c r="AV716" t="s">
        <v>74</v>
      </c>
      <c r="AW716" t="s">
        <v>74</v>
      </c>
      <c r="AX716" t="s">
        <v>74</v>
      </c>
      <c r="AY716" t="s">
        <v>74</v>
      </c>
      <c r="AZ716" t="s">
        <v>74</v>
      </c>
      <c r="BA716" t="s">
        <v>74</v>
      </c>
      <c r="BB716" t="s">
        <v>74</v>
      </c>
      <c r="BC716" t="s">
        <v>74</v>
      </c>
      <c r="BD716">
        <v>2094454</v>
      </c>
      <c r="BE716" t="s">
        <v>14045</v>
      </c>
      <c r="BF716" t="str">
        <f>HYPERLINK("http://dx.doi.org/10.1080/21622671.2022.2094454","http://dx.doi.org/10.1080/21622671.2022.2094454")</f>
        <v>http://dx.doi.org/10.1080/21622671.2022.2094454</v>
      </c>
      <c r="BG716" t="s">
        <v>74</v>
      </c>
      <c r="BH716" t="s">
        <v>12326</v>
      </c>
      <c r="BI716">
        <v>17</v>
      </c>
      <c r="BJ716" t="s">
        <v>14046</v>
      </c>
      <c r="BK716" t="s">
        <v>2257</v>
      </c>
      <c r="BL716" t="s">
        <v>14047</v>
      </c>
      <c r="BM716" t="s">
        <v>14048</v>
      </c>
      <c r="BN716" t="s">
        <v>74</v>
      </c>
      <c r="BO716" t="s">
        <v>74</v>
      </c>
      <c r="BP716" t="s">
        <v>74</v>
      </c>
      <c r="BQ716" t="s">
        <v>74</v>
      </c>
      <c r="BR716" t="s">
        <v>103</v>
      </c>
      <c r="BS716" t="s">
        <v>14049</v>
      </c>
      <c r="BT716" t="str">
        <f>HYPERLINK("https%3A%2F%2Fwww.webofscience.com%2Fwos%2Fwoscc%2Ffull-record%2FWOS:000834917900001","View Full Record in Web of Science")</f>
        <v>View Full Record in Web of Science</v>
      </c>
    </row>
    <row r="717" spans="1:72" x14ac:dyDescent="0.15">
      <c r="A717" t="s">
        <v>72</v>
      </c>
      <c r="B717" t="s">
        <v>14050</v>
      </c>
      <c r="C717" t="s">
        <v>74</v>
      </c>
      <c r="D717" t="s">
        <v>74</v>
      </c>
      <c r="E717" t="s">
        <v>74</v>
      </c>
      <c r="F717" t="s">
        <v>14051</v>
      </c>
      <c r="G717" t="s">
        <v>74</v>
      </c>
      <c r="H717" t="s">
        <v>74</v>
      </c>
      <c r="I717" t="s">
        <v>14052</v>
      </c>
      <c r="J717" t="s">
        <v>247</v>
      </c>
      <c r="K717" t="s">
        <v>74</v>
      </c>
      <c r="L717" t="s">
        <v>74</v>
      </c>
      <c r="M717" t="s">
        <v>78</v>
      </c>
      <c r="N717" t="s">
        <v>79</v>
      </c>
      <c r="O717" t="s">
        <v>74</v>
      </c>
      <c r="P717" t="s">
        <v>74</v>
      </c>
      <c r="Q717" t="s">
        <v>74</v>
      </c>
      <c r="R717" t="s">
        <v>74</v>
      </c>
      <c r="S717" t="s">
        <v>74</v>
      </c>
      <c r="T717" t="s">
        <v>14053</v>
      </c>
      <c r="U717" t="s">
        <v>14054</v>
      </c>
      <c r="V717" t="s">
        <v>14055</v>
      </c>
      <c r="W717" t="s">
        <v>14056</v>
      </c>
      <c r="X717" t="s">
        <v>14057</v>
      </c>
      <c r="Y717" t="s">
        <v>14058</v>
      </c>
      <c r="Z717" t="s">
        <v>14059</v>
      </c>
      <c r="AA717" t="s">
        <v>14060</v>
      </c>
      <c r="AB717" t="s">
        <v>14061</v>
      </c>
      <c r="AC717" t="s">
        <v>14062</v>
      </c>
      <c r="AD717" t="s">
        <v>14063</v>
      </c>
      <c r="AE717" t="s">
        <v>14064</v>
      </c>
      <c r="AF717" t="s">
        <v>74</v>
      </c>
      <c r="AG717">
        <v>83</v>
      </c>
      <c r="AH717">
        <v>1</v>
      </c>
      <c r="AI717">
        <v>1</v>
      </c>
      <c r="AJ717">
        <v>2</v>
      </c>
      <c r="AK717">
        <v>10</v>
      </c>
      <c r="AL717" t="s">
        <v>121</v>
      </c>
      <c r="AM717" t="s">
        <v>122</v>
      </c>
      <c r="AN717" t="s">
        <v>123</v>
      </c>
      <c r="AO717" t="s">
        <v>74</v>
      </c>
      <c r="AP717" t="s">
        <v>258</v>
      </c>
      <c r="AQ717" t="s">
        <v>74</v>
      </c>
      <c r="AR717" t="s">
        <v>259</v>
      </c>
      <c r="AS717" t="s">
        <v>260</v>
      </c>
      <c r="AT717" t="s">
        <v>14065</v>
      </c>
      <c r="AU717">
        <v>2022</v>
      </c>
      <c r="AV717">
        <v>9</v>
      </c>
      <c r="AW717" t="s">
        <v>74</v>
      </c>
      <c r="AX717" t="s">
        <v>74</v>
      </c>
      <c r="AY717" t="s">
        <v>74</v>
      </c>
      <c r="AZ717" t="s">
        <v>74</v>
      </c>
      <c r="BA717" t="s">
        <v>74</v>
      </c>
      <c r="BB717" t="s">
        <v>74</v>
      </c>
      <c r="BC717" t="s">
        <v>74</v>
      </c>
      <c r="BD717">
        <v>859117</v>
      </c>
      <c r="BE717" t="s">
        <v>14066</v>
      </c>
      <c r="BF717" t="str">
        <f>HYPERLINK("http://dx.doi.org/10.3389/fmars.2022.859117","http://dx.doi.org/10.3389/fmars.2022.859117")</f>
        <v>http://dx.doi.org/10.3389/fmars.2022.859117</v>
      </c>
      <c r="BG717" t="s">
        <v>74</v>
      </c>
      <c r="BH717" t="s">
        <v>74</v>
      </c>
      <c r="BI717">
        <v>15</v>
      </c>
      <c r="BJ717" t="s">
        <v>263</v>
      </c>
      <c r="BK717" t="s">
        <v>100</v>
      </c>
      <c r="BL717" t="s">
        <v>264</v>
      </c>
      <c r="BM717" t="s">
        <v>14067</v>
      </c>
      <c r="BN717" t="s">
        <v>74</v>
      </c>
      <c r="BO717" t="s">
        <v>132</v>
      </c>
      <c r="BP717" t="s">
        <v>74</v>
      </c>
      <c r="BQ717" t="s">
        <v>74</v>
      </c>
      <c r="BR717" t="s">
        <v>103</v>
      </c>
      <c r="BS717" t="s">
        <v>14068</v>
      </c>
      <c r="BT717" t="str">
        <f>HYPERLINK("https%3A%2F%2Fwww.webofscience.com%2Fwos%2Fwoscc%2Ffull-record%2FWOS:000834261600001","View Full Record in Web of Science")</f>
        <v>View Full Record in Web of Science</v>
      </c>
    </row>
    <row r="718" spans="1:72" x14ac:dyDescent="0.15">
      <c r="A718" t="s">
        <v>72</v>
      </c>
      <c r="B718" t="s">
        <v>14069</v>
      </c>
      <c r="C718" t="s">
        <v>74</v>
      </c>
      <c r="D718" t="s">
        <v>74</v>
      </c>
      <c r="E718" t="s">
        <v>74</v>
      </c>
      <c r="F718" t="s">
        <v>14070</v>
      </c>
      <c r="G718" t="s">
        <v>74</v>
      </c>
      <c r="H718" t="s">
        <v>74</v>
      </c>
      <c r="I718" t="s">
        <v>14071</v>
      </c>
      <c r="J718" t="s">
        <v>3791</v>
      </c>
      <c r="K718" t="s">
        <v>74</v>
      </c>
      <c r="L718" t="s">
        <v>74</v>
      </c>
      <c r="M718" t="s">
        <v>78</v>
      </c>
      <c r="N718" t="s">
        <v>79</v>
      </c>
      <c r="O718" t="s">
        <v>74</v>
      </c>
      <c r="P718" t="s">
        <v>74</v>
      </c>
      <c r="Q718" t="s">
        <v>74</v>
      </c>
      <c r="R718" t="s">
        <v>74</v>
      </c>
      <c r="S718" t="s">
        <v>74</v>
      </c>
      <c r="T718" t="s">
        <v>14072</v>
      </c>
      <c r="U718" t="s">
        <v>14073</v>
      </c>
      <c r="V718" t="s">
        <v>14074</v>
      </c>
      <c r="W718" t="s">
        <v>14075</v>
      </c>
      <c r="X718" t="s">
        <v>14076</v>
      </c>
      <c r="Y718" t="s">
        <v>14077</v>
      </c>
      <c r="Z718" t="s">
        <v>14078</v>
      </c>
      <c r="AA718" t="s">
        <v>74</v>
      </c>
      <c r="AB718" t="s">
        <v>14079</v>
      </c>
      <c r="AC718" t="s">
        <v>14080</v>
      </c>
      <c r="AD718" t="s">
        <v>14081</v>
      </c>
      <c r="AE718" t="s">
        <v>14082</v>
      </c>
      <c r="AF718" t="s">
        <v>74</v>
      </c>
      <c r="AG718">
        <v>107</v>
      </c>
      <c r="AH718">
        <v>4</v>
      </c>
      <c r="AI718">
        <v>4</v>
      </c>
      <c r="AJ718">
        <v>9</v>
      </c>
      <c r="AK718">
        <v>131</v>
      </c>
      <c r="AL718" t="s">
        <v>2249</v>
      </c>
      <c r="AM718" t="s">
        <v>90</v>
      </c>
      <c r="AN718" t="s">
        <v>2250</v>
      </c>
      <c r="AO718" t="s">
        <v>3804</v>
      </c>
      <c r="AP718" t="s">
        <v>3805</v>
      </c>
      <c r="AQ718" t="s">
        <v>74</v>
      </c>
      <c r="AR718" t="s">
        <v>3806</v>
      </c>
      <c r="AS718" t="s">
        <v>3807</v>
      </c>
      <c r="AT718" t="s">
        <v>4180</v>
      </c>
      <c r="AU718">
        <v>2022</v>
      </c>
      <c r="AV718">
        <v>309</v>
      </c>
      <c r="AW718" t="s">
        <v>74</v>
      </c>
      <c r="AX718" t="s">
        <v>74</v>
      </c>
      <c r="AY718" t="s">
        <v>74</v>
      </c>
      <c r="AZ718" t="s">
        <v>74</v>
      </c>
      <c r="BA718" t="s">
        <v>74</v>
      </c>
      <c r="BB718" t="s">
        <v>74</v>
      </c>
      <c r="BC718" t="s">
        <v>74</v>
      </c>
      <c r="BD718">
        <v>119734</v>
      </c>
      <c r="BE718" t="s">
        <v>14083</v>
      </c>
      <c r="BF718" t="str">
        <f>HYPERLINK("http://dx.doi.org/10.1016/j.envpol.2022.119734","http://dx.doi.org/10.1016/j.envpol.2022.119734")</f>
        <v>http://dx.doi.org/10.1016/j.envpol.2022.119734</v>
      </c>
      <c r="BG718" t="s">
        <v>74</v>
      </c>
      <c r="BH718" t="s">
        <v>12326</v>
      </c>
      <c r="BI718">
        <v>12</v>
      </c>
      <c r="BJ718" t="s">
        <v>2040</v>
      </c>
      <c r="BK718" t="s">
        <v>100</v>
      </c>
      <c r="BL718" t="s">
        <v>2041</v>
      </c>
      <c r="BM718" t="s">
        <v>14084</v>
      </c>
      <c r="BN718">
        <v>35835279</v>
      </c>
      <c r="BO718" t="s">
        <v>74</v>
      </c>
      <c r="BP718" t="s">
        <v>74</v>
      </c>
      <c r="BQ718" t="s">
        <v>74</v>
      </c>
      <c r="BR718" t="s">
        <v>103</v>
      </c>
      <c r="BS718" t="s">
        <v>14085</v>
      </c>
      <c r="BT718" t="str">
        <f>HYPERLINK("https%3A%2F%2Fwww.webofscience.com%2Fwos%2Fwoscc%2Ffull-record%2FWOS:000831499400013","View Full Record in Web of Science")</f>
        <v>View Full Record in Web of Science</v>
      </c>
    </row>
    <row r="719" spans="1:72" x14ac:dyDescent="0.15">
      <c r="A719" t="s">
        <v>72</v>
      </c>
      <c r="B719" t="s">
        <v>14086</v>
      </c>
      <c r="C719" t="s">
        <v>74</v>
      </c>
      <c r="D719" t="s">
        <v>74</v>
      </c>
      <c r="E719" t="s">
        <v>74</v>
      </c>
      <c r="F719" t="s">
        <v>14087</v>
      </c>
      <c r="G719" t="s">
        <v>74</v>
      </c>
      <c r="H719" t="s">
        <v>74</v>
      </c>
      <c r="I719" t="s">
        <v>14088</v>
      </c>
      <c r="J719" t="s">
        <v>3399</v>
      </c>
      <c r="K719" t="s">
        <v>74</v>
      </c>
      <c r="L719" t="s">
        <v>74</v>
      </c>
      <c r="M719" t="s">
        <v>78</v>
      </c>
      <c r="N719" t="s">
        <v>165</v>
      </c>
      <c r="O719" t="s">
        <v>74</v>
      </c>
      <c r="P719" t="s">
        <v>74</v>
      </c>
      <c r="Q719" t="s">
        <v>74</v>
      </c>
      <c r="R719" t="s">
        <v>74</v>
      </c>
      <c r="S719" t="s">
        <v>74</v>
      </c>
      <c r="T719" t="s">
        <v>14089</v>
      </c>
      <c r="U719" t="s">
        <v>14090</v>
      </c>
      <c r="V719" t="s">
        <v>14091</v>
      </c>
      <c r="W719" t="s">
        <v>14092</v>
      </c>
      <c r="X719" t="s">
        <v>14093</v>
      </c>
      <c r="Y719" t="s">
        <v>14094</v>
      </c>
      <c r="Z719" t="s">
        <v>14095</v>
      </c>
      <c r="AA719" t="s">
        <v>74</v>
      </c>
      <c r="AB719" t="s">
        <v>74</v>
      </c>
      <c r="AC719" t="s">
        <v>14096</v>
      </c>
      <c r="AD719" t="s">
        <v>14097</v>
      </c>
      <c r="AE719" t="s">
        <v>14098</v>
      </c>
      <c r="AF719" t="s">
        <v>74</v>
      </c>
      <c r="AG719">
        <v>111</v>
      </c>
      <c r="AH719">
        <v>0</v>
      </c>
      <c r="AI719">
        <v>1</v>
      </c>
      <c r="AJ719">
        <v>22</v>
      </c>
      <c r="AK719">
        <v>66</v>
      </c>
      <c r="AL719" t="s">
        <v>2275</v>
      </c>
      <c r="AM719" t="s">
        <v>90</v>
      </c>
      <c r="AN719" t="s">
        <v>2276</v>
      </c>
      <c r="AO719" t="s">
        <v>3412</v>
      </c>
      <c r="AP719" t="s">
        <v>3413</v>
      </c>
      <c r="AQ719" t="s">
        <v>74</v>
      </c>
      <c r="AR719" t="s">
        <v>3414</v>
      </c>
      <c r="AS719" t="s">
        <v>3415</v>
      </c>
      <c r="AT719" t="s">
        <v>5386</v>
      </c>
      <c r="AU719">
        <v>2022</v>
      </c>
      <c r="AV719">
        <v>206</v>
      </c>
      <c r="AW719" t="s">
        <v>74</v>
      </c>
      <c r="AX719" t="s">
        <v>74</v>
      </c>
      <c r="AY719" t="s">
        <v>74</v>
      </c>
      <c r="AZ719" t="s">
        <v>74</v>
      </c>
      <c r="BA719" t="s">
        <v>74</v>
      </c>
      <c r="BB719" t="s">
        <v>74</v>
      </c>
      <c r="BC719" t="s">
        <v>74</v>
      </c>
      <c r="BD719">
        <v>102854</v>
      </c>
      <c r="BE719" t="s">
        <v>14099</v>
      </c>
      <c r="BF719" t="str">
        <f>HYPERLINK("http://dx.doi.org/10.1016/j.pocean.2022.102854","http://dx.doi.org/10.1016/j.pocean.2022.102854")</f>
        <v>http://dx.doi.org/10.1016/j.pocean.2022.102854</v>
      </c>
      <c r="BG719" t="s">
        <v>74</v>
      </c>
      <c r="BH719" t="s">
        <v>12326</v>
      </c>
      <c r="BI719">
        <v>14</v>
      </c>
      <c r="BJ719" t="s">
        <v>674</v>
      </c>
      <c r="BK719" t="s">
        <v>100</v>
      </c>
      <c r="BL719" t="s">
        <v>674</v>
      </c>
      <c r="BM719" t="s">
        <v>14100</v>
      </c>
      <c r="BN719" t="s">
        <v>74</v>
      </c>
      <c r="BO719" t="s">
        <v>3053</v>
      </c>
      <c r="BP719" t="s">
        <v>74</v>
      </c>
      <c r="BQ719" t="s">
        <v>74</v>
      </c>
      <c r="BR719" t="s">
        <v>103</v>
      </c>
      <c r="BS719" t="s">
        <v>14101</v>
      </c>
      <c r="BT719" t="str">
        <f>HYPERLINK("https%3A%2F%2Fwww.webofscience.com%2Fwos%2Fwoscc%2Ffull-record%2FWOS:000830865800002","View Full Record in Web of Science")</f>
        <v>View Full Record in Web of Science</v>
      </c>
    </row>
    <row r="720" spans="1:72" x14ac:dyDescent="0.15">
      <c r="A720" t="s">
        <v>72</v>
      </c>
      <c r="B720" t="s">
        <v>14102</v>
      </c>
      <c r="C720" t="s">
        <v>74</v>
      </c>
      <c r="D720" t="s">
        <v>74</v>
      </c>
      <c r="E720" t="s">
        <v>74</v>
      </c>
      <c r="F720" t="s">
        <v>14103</v>
      </c>
      <c r="G720" t="s">
        <v>74</v>
      </c>
      <c r="H720" t="s">
        <v>74</v>
      </c>
      <c r="I720" t="s">
        <v>14104</v>
      </c>
      <c r="J720" t="s">
        <v>12764</v>
      </c>
      <c r="K720" t="s">
        <v>74</v>
      </c>
      <c r="L720" t="s">
        <v>74</v>
      </c>
      <c r="M720" t="s">
        <v>78</v>
      </c>
      <c r="N720" t="s">
        <v>79</v>
      </c>
      <c r="O720" t="s">
        <v>74</v>
      </c>
      <c r="P720" t="s">
        <v>74</v>
      </c>
      <c r="Q720" t="s">
        <v>74</v>
      </c>
      <c r="R720" t="s">
        <v>74</v>
      </c>
      <c r="S720" t="s">
        <v>74</v>
      </c>
      <c r="T720" t="s">
        <v>14105</v>
      </c>
      <c r="U720" t="s">
        <v>14106</v>
      </c>
      <c r="V720" t="s">
        <v>14107</v>
      </c>
      <c r="W720" t="s">
        <v>14108</v>
      </c>
      <c r="X720" t="s">
        <v>14109</v>
      </c>
      <c r="Y720" t="s">
        <v>14110</v>
      </c>
      <c r="Z720" t="s">
        <v>14111</v>
      </c>
      <c r="AA720" t="s">
        <v>14112</v>
      </c>
      <c r="AB720" t="s">
        <v>14113</v>
      </c>
      <c r="AC720" t="s">
        <v>74</v>
      </c>
      <c r="AD720" t="s">
        <v>74</v>
      </c>
      <c r="AE720" t="s">
        <v>74</v>
      </c>
      <c r="AF720" t="s">
        <v>74</v>
      </c>
      <c r="AG720">
        <v>35</v>
      </c>
      <c r="AH720">
        <v>0</v>
      </c>
      <c r="AI720">
        <v>0</v>
      </c>
      <c r="AJ720">
        <v>0</v>
      </c>
      <c r="AK720">
        <v>2</v>
      </c>
      <c r="AL720" t="s">
        <v>12776</v>
      </c>
      <c r="AM720" t="s">
        <v>12777</v>
      </c>
      <c r="AN720" t="s">
        <v>12778</v>
      </c>
      <c r="AO720" t="s">
        <v>12779</v>
      </c>
      <c r="AP720" t="s">
        <v>12780</v>
      </c>
      <c r="AQ720" t="s">
        <v>74</v>
      </c>
      <c r="AR720" t="s">
        <v>12764</v>
      </c>
      <c r="AS720" t="s">
        <v>12781</v>
      </c>
      <c r="AT720" t="s">
        <v>14065</v>
      </c>
      <c r="AU720">
        <v>2022</v>
      </c>
      <c r="AV720">
        <v>5165</v>
      </c>
      <c r="AW720">
        <v>3</v>
      </c>
      <c r="AX720" t="s">
        <v>74</v>
      </c>
      <c r="AY720" t="s">
        <v>74</v>
      </c>
      <c r="AZ720" t="s">
        <v>74</v>
      </c>
      <c r="BA720" t="s">
        <v>74</v>
      </c>
      <c r="BB720">
        <v>301</v>
      </c>
      <c r="BC720">
        <v>345</v>
      </c>
      <c r="BD720" t="s">
        <v>74</v>
      </c>
      <c r="BE720" t="s">
        <v>14114</v>
      </c>
      <c r="BF720" t="str">
        <f>HYPERLINK("http://dx.doi.org/10.11646/zootaxa.5165.3.1","http://dx.doi.org/10.11646/zootaxa.5165.3.1")</f>
        <v>http://dx.doi.org/10.11646/zootaxa.5165.3.1</v>
      </c>
      <c r="BG720" t="s">
        <v>74</v>
      </c>
      <c r="BH720" t="s">
        <v>74</v>
      </c>
      <c r="BI720">
        <v>45</v>
      </c>
      <c r="BJ720" t="s">
        <v>2211</v>
      </c>
      <c r="BK720" t="s">
        <v>100</v>
      </c>
      <c r="BL720" t="s">
        <v>2211</v>
      </c>
      <c r="BM720" t="s">
        <v>14115</v>
      </c>
      <c r="BN720">
        <v>36101324</v>
      </c>
      <c r="BO720" t="s">
        <v>74</v>
      </c>
      <c r="BP720" t="s">
        <v>74</v>
      </c>
      <c r="BQ720" t="s">
        <v>74</v>
      </c>
      <c r="BR720" t="s">
        <v>103</v>
      </c>
      <c r="BS720" t="s">
        <v>14116</v>
      </c>
      <c r="BT720" t="str">
        <f>HYPERLINK("https%3A%2F%2Fwww.webofscience.com%2Fwos%2Fwoscc%2Ffull-record%2FWOS:000830354000001","View Full Record in Web of Science")</f>
        <v>View Full Record in Web of Science</v>
      </c>
    </row>
    <row r="721" spans="1:72" x14ac:dyDescent="0.15">
      <c r="A721" t="s">
        <v>72</v>
      </c>
      <c r="B721" t="s">
        <v>14117</v>
      </c>
      <c r="C721" t="s">
        <v>74</v>
      </c>
      <c r="D721" t="s">
        <v>74</v>
      </c>
      <c r="E721" t="s">
        <v>74</v>
      </c>
      <c r="F721" t="s">
        <v>14118</v>
      </c>
      <c r="G721" t="s">
        <v>74</v>
      </c>
      <c r="H721" t="s">
        <v>74</v>
      </c>
      <c r="I721" t="s">
        <v>14119</v>
      </c>
      <c r="J721" t="s">
        <v>3124</v>
      </c>
      <c r="K721" t="s">
        <v>74</v>
      </c>
      <c r="L721" t="s">
        <v>74</v>
      </c>
      <c r="M721" t="s">
        <v>78</v>
      </c>
      <c r="N721" t="s">
        <v>79</v>
      </c>
      <c r="O721" t="s">
        <v>74</v>
      </c>
      <c r="P721" t="s">
        <v>74</v>
      </c>
      <c r="Q721" t="s">
        <v>74</v>
      </c>
      <c r="R721" t="s">
        <v>74</v>
      </c>
      <c r="S721" t="s">
        <v>74</v>
      </c>
      <c r="T721" t="s">
        <v>74</v>
      </c>
      <c r="U721" t="s">
        <v>14120</v>
      </c>
      <c r="V721" t="s">
        <v>14121</v>
      </c>
      <c r="W721" t="s">
        <v>14122</v>
      </c>
      <c r="X721" t="s">
        <v>14123</v>
      </c>
      <c r="Y721" t="s">
        <v>14124</v>
      </c>
      <c r="Z721" t="s">
        <v>14125</v>
      </c>
      <c r="AA721" t="s">
        <v>14126</v>
      </c>
      <c r="AB721" t="s">
        <v>14127</v>
      </c>
      <c r="AC721" t="s">
        <v>14128</v>
      </c>
      <c r="AD721" t="s">
        <v>14129</v>
      </c>
      <c r="AE721" t="s">
        <v>14130</v>
      </c>
      <c r="AF721" t="s">
        <v>74</v>
      </c>
      <c r="AG721">
        <v>88</v>
      </c>
      <c r="AH721">
        <v>4</v>
      </c>
      <c r="AI721">
        <v>4</v>
      </c>
      <c r="AJ721">
        <v>2</v>
      </c>
      <c r="AK721">
        <v>9</v>
      </c>
      <c r="AL721" t="s">
        <v>2108</v>
      </c>
      <c r="AM721" t="s">
        <v>207</v>
      </c>
      <c r="AN721" t="s">
        <v>2109</v>
      </c>
      <c r="AO721" t="s">
        <v>3136</v>
      </c>
      <c r="AP721" t="s">
        <v>74</v>
      </c>
      <c r="AQ721" t="s">
        <v>74</v>
      </c>
      <c r="AR721" t="s">
        <v>3137</v>
      </c>
      <c r="AS721" t="s">
        <v>3138</v>
      </c>
      <c r="AT721" t="s">
        <v>14065</v>
      </c>
      <c r="AU721">
        <v>2022</v>
      </c>
      <c r="AV721">
        <v>8</v>
      </c>
      <c r="AW721">
        <v>28</v>
      </c>
      <c r="AX721" t="s">
        <v>74</v>
      </c>
      <c r="AY721" t="s">
        <v>74</v>
      </c>
      <c r="AZ721" t="s">
        <v>74</v>
      </c>
      <c r="BA721" t="s">
        <v>74</v>
      </c>
      <c r="BB721" t="s">
        <v>74</v>
      </c>
      <c r="BC721" t="s">
        <v>74</v>
      </c>
      <c r="BD721" t="s">
        <v>14131</v>
      </c>
      <c r="BE721" t="s">
        <v>14132</v>
      </c>
      <c r="BF721" t="str">
        <f>HYPERLINK("http://dx.doi.org/10.1126/sciadv.abk3511","http://dx.doi.org/10.1126/sciadv.abk3511")</f>
        <v>http://dx.doi.org/10.1126/sciadv.abk3511</v>
      </c>
      <c r="BG721" t="s">
        <v>74</v>
      </c>
      <c r="BH721" t="s">
        <v>74</v>
      </c>
      <c r="BI721">
        <v>10</v>
      </c>
      <c r="BJ721" t="s">
        <v>156</v>
      </c>
      <c r="BK721" t="s">
        <v>100</v>
      </c>
      <c r="BL721" t="s">
        <v>157</v>
      </c>
      <c r="BM721" t="s">
        <v>14133</v>
      </c>
      <c r="BN721">
        <v>35857489</v>
      </c>
      <c r="BO721" t="s">
        <v>2512</v>
      </c>
      <c r="BP721" t="s">
        <v>74</v>
      </c>
      <c r="BQ721" t="s">
        <v>74</v>
      </c>
      <c r="BR721" t="s">
        <v>103</v>
      </c>
      <c r="BS721" t="s">
        <v>14134</v>
      </c>
      <c r="BT721" t="str">
        <f>HYPERLINK("https%3A%2F%2Fwww.webofscience.com%2Fwos%2Fwoscc%2Ffull-record%2FWOS:000826385700001","View Full Record in Web of Science")</f>
        <v>View Full Record in Web of Science</v>
      </c>
    </row>
    <row r="722" spans="1:72" x14ac:dyDescent="0.15">
      <c r="A722" t="s">
        <v>72</v>
      </c>
      <c r="B722" t="s">
        <v>14135</v>
      </c>
      <c r="C722" t="s">
        <v>74</v>
      </c>
      <c r="D722" t="s">
        <v>74</v>
      </c>
      <c r="E722" t="s">
        <v>74</v>
      </c>
      <c r="F722" t="s">
        <v>14136</v>
      </c>
      <c r="G722" t="s">
        <v>74</v>
      </c>
      <c r="H722" t="s">
        <v>74</v>
      </c>
      <c r="I722" t="s">
        <v>14137</v>
      </c>
      <c r="J722" t="s">
        <v>2473</v>
      </c>
      <c r="K722" t="s">
        <v>74</v>
      </c>
      <c r="L722" t="s">
        <v>74</v>
      </c>
      <c r="M722" t="s">
        <v>78</v>
      </c>
      <c r="N722" t="s">
        <v>79</v>
      </c>
      <c r="O722" t="s">
        <v>74</v>
      </c>
      <c r="P722" t="s">
        <v>74</v>
      </c>
      <c r="Q722" t="s">
        <v>74</v>
      </c>
      <c r="R722" t="s">
        <v>74</v>
      </c>
      <c r="S722" t="s">
        <v>74</v>
      </c>
      <c r="T722" t="s">
        <v>74</v>
      </c>
      <c r="U722" t="s">
        <v>14138</v>
      </c>
      <c r="V722" t="s">
        <v>14139</v>
      </c>
      <c r="W722" t="s">
        <v>14140</v>
      </c>
      <c r="X722" t="s">
        <v>14141</v>
      </c>
      <c r="Y722" t="s">
        <v>14142</v>
      </c>
      <c r="Z722" t="s">
        <v>14143</v>
      </c>
      <c r="AA722" t="s">
        <v>14144</v>
      </c>
      <c r="AB722" t="s">
        <v>14145</v>
      </c>
      <c r="AC722" t="s">
        <v>14146</v>
      </c>
      <c r="AD722" t="s">
        <v>14147</v>
      </c>
      <c r="AE722" t="s">
        <v>14148</v>
      </c>
      <c r="AF722" t="s">
        <v>74</v>
      </c>
      <c r="AG722">
        <v>68</v>
      </c>
      <c r="AH722">
        <v>5</v>
      </c>
      <c r="AI722">
        <v>5</v>
      </c>
      <c r="AJ722">
        <v>2</v>
      </c>
      <c r="AK722">
        <v>8</v>
      </c>
      <c r="AL722" t="s">
        <v>2460</v>
      </c>
      <c r="AM722" t="s">
        <v>2461</v>
      </c>
      <c r="AN722" t="s">
        <v>2462</v>
      </c>
      <c r="AO722" t="s">
        <v>2485</v>
      </c>
      <c r="AP722" t="s">
        <v>2486</v>
      </c>
      <c r="AQ722" t="s">
        <v>74</v>
      </c>
      <c r="AR722" t="s">
        <v>2473</v>
      </c>
      <c r="AS722" t="s">
        <v>2487</v>
      </c>
      <c r="AT722" t="s">
        <v>14065</v>
      </c>
      <c r="AU722">
        <v>2022</v>
      </c>
      <c r="AV722">
        <v>16</v>
      </c>
      <c r="AW722">
        <v>7</v>
      </c>
      <c r="AX722" t="s">
        <v>74</v>
      </c>
      <c r="AY722" t="s">
        <v>74</v>
      </c>
      <c r="AZ722" t="s">
        <v>74</v>
      </c>
      <c r="BA722" t="s">
        <v>74</v>
      </c>
      <c r="BB722">
        <v>2793</v>
      </c>
      <c r="BC722">
        <v>2817</v>
      </c>
      <c r="BD722" t="s">
        <v>74</v>
      </c>
      <c r="BE722" t="s">
        <v>14149</v>
      </c>
      <c r="BF722" t="str">
        <f>HYPERLINK("http://dx.doi.org/10.5194/tc-16-2793-2022","http://dx.doi.org/10.5194/tc-16-2793-2022")</f>
        <v>http://dx.doi.org/10.5194/tc-16-2793-2022</v>
      </c>
      <c r="BG722" t="s">
        <v>74</v>
      </c>
      <c r="BH722" t="s">
        <v>74</v>
      </c>
      <c r="BI722">
        <v>25</v>
      </c>
      <c r="BJ722" t="s">
        <v>354</v>
      </c>
      <c r="BK722" t="s">
        <v>100</v>
      </c>
      <c r="BL722" t="s">
        <v>241</v>
      </c>
      <c r="BM722" t="s">
        <v>14150</v>
      </c>
      <c r="BN722" t="s">
        <v>74</v>
      </c>
      <c r="BO722" t="s">
        <v>1195</v>
      </c>
      <c r="BP722" t="s">
        <v>74</v>
      </c>
      <c r="BQ722" t="s">
        <v>74</v>
      </c>
      <c r="BR722" t="s">
        <v>103</v>
      </c>
      <c r="BS722" t="s">
        <v>14151</v>
      </c>
      <c r="BT722" t="str">
        <f>HYPERLINK("https%3A%2F%2Fwww.webofscience.com%2Fwos%2Fwoscc%2Ffull-record%2FWOS:000825314500001","View Full Record in Web of Science")</f>
        <v>View Full Record in Web of Science</v>
      </c>
    </row>
    <row r="723" spans="1:72" x14ac:dyDescent="0.15">
      <c r="A723" t="s">
        <v>72</v>
      </c>
      <c r="B723" t="s">
        <v>14152</v>
      </c>
      <c r="C723" t="s">
        <v>74</v>
      </c>
      <c r="D723" t="s">
        <v>74</v>
      </c>
      <c r="E723" t="s">
        <v>74</v>
      </c>
      <c r="F723" t="s">
        <v>14153</v>
      </c>
      <c r="G723" t="s">
        <v>74</v>
      </c>
      <c r="H723" t="s">
        <v>74</v>
      </c>
      <c r="I723" t="s">
        <v>14154</v>
      </c>
      <c r="J723" t="s">
        <v>3566</v>
      </c>
      <c r="K723" t="s">
        <v>74</v>
      </c>
      <c r="L723" t="s">
        <v>74</v>
      </c>
      <c r="M723" t="s">
        <v>78</v>
      </c>
      <c r="N723" t="s">
        <v>79</v>
      </c>
      <c r="O723" t="s">
        <v>74</v>
      </c>
      <c r="P723" t="s">
        <v>74</v>
      </c>
      <c r="Q723" t="s">
        <v>74</v>
      </c>
      <c r="R723" t="s">
        <v>74</v>
      </c>
      <c r="S723" t="s">
        <v>74</v>
      </c>
      <c r="T723" t="s">
        <v>74</v>
      </c>
      <c r="U723" t="s">
        <v>14155</v>
      </c>
      <c r="V723" t="s">
        <v>14156</v>
      </c>
      <c r="W723" t="s">
        <v>14157</v>
      </c>
      <c r="X723" t="s">
        <v>14158</v>
      </c>
      <c r="Y723" t="s">
        <v>14159</v>
      </c>
      <c r="Z723" t="s">
        <v>14160</v>
      </c>
      <c r="AA723" t="s">
        <v>14161</v>
      </c>
      <c r="AB723" t="s">
        <v>14162</v>
      </c>
      <c r="AC723" t="s">
        <v>14163</v>
      </c>
      <c r="AD723" t="s">
        <v>14164</v>
      </c>
      <c r="AE723" t="s">
        <v>14165</v>
      </c>
      <c r="AF723" t="s">
        <v>74</v>
      </c>
      <c r="AG723">
        <v>37</v>
      </c>
      <c r="AH723">
        <v>1</v>
      </c>
      <c r="AI723">
        <v>1</v>
      </c>
      <c r="AJ723">
        <v>0</v>
      </c>
      <c r="AK723">
        <v>1</v>
      </c>
      <c r="AL723" t="s">
        <v>2460</v>
      </c>
      <c r="AM723" t="s">
        <v>2461</v>
      </c>
      <c r="AN723" t="s">
        <v>2462</v>
      </c>
      <c r="AO723" t="s">
        <v>3578</v>
      </c>
      <c r="AP723" t="s">
        <v>3579</v>
      </c>
      <c r="AQ723" t="s">
        <v>74</v>
      </c>
      <c r="AR723" t="s">
        <v>3580</v>
      </c>
      <c r="AS723" t="s">
        <v>3581</v>
      </c>
      <c r="AT723" t="s">
        <v>14065</v>
      </c>
      <c r="AU723">
        <v>2022</v>
      </c>
      <c r="AV723">
        <v>15</v>
      </c>
      <c r="AW723">
        <v>13</v>
      </c>
      <c r="AX723" t="s">
        <v>74</v>
      </c>
      <c r="AY723" t="s">
        <v>74</v>
      </c>
      <c r="AZ723" t="s">
        <v>74</v>
      </c>
      <c r="BA723" t="s">
        <v>74</v>
      </c>
      <c r="BB723">
        <v>5421</v>
      </c>
      <c r="BC723">
        <v>5439</v>
      </c>
      <c r="BD723" t="s">
        <v>74</v>
      </c>
      <c r="BE723" t="s">
        <v>14166</v>
      </c>
      <c r="BF723" t="str">
        <f>HYPERLINK("http://dx.doi.org/10.5194/gmd-15-5421-2022","http://dx.doi.org/10.5194/gmd-15-5421-2022")</f>
        <v>http://dx.doi.org/10.5194/gmd-15-5421-2022</v>
      </c>
      <c r="BG723" t="s">
        <v>74</v>
      </c>
      <c r="BH723" t="s">
        <v>74</v>
      </c>
      <c r="BI723">
        <v>19</v>
      </c>
      <c r="BJ723" t="s">
        <v>129</v>
      </c>
      <c r="BK723" t="s">
        <v>100</v>
      </c>
      <c r="BL723" t="s">
        <v>130</v>
      </c>
      <c r="BM723" t="s">
        <v>14167</v>
      </c>
      <c r="BN723" t="s">
        <v>74</v>
      </c>
      <c r="BO723" t="s">
        <v>3262</v>
      </c>
      <c r="BP723" t="s">
        <v>74</v>
      </c>
      <c r="BQ723" t="s">
        <v>74</v>
      </c>
      <c r="BR723" t="s">
        <v>103</v>
      </c>
      <c r="BS723" t="s">
        <v>14168</v>
      </c>
      <c r="BT723" t="str">
        <f>HYPERLINK("https%3A%2F%2Fwww.webofscience.com%2Fwos%2Fwoscc%2Ffull-record%2FWOS:000825456500001","View Full Record in Web of Science")</f>
        <v>View Full Record in Web of Science</v>
      </c>
    </row>
    <row r="724" spans="1:72" x14ac:dyDescent="0.15">
      <c r="A724" t="s">
        <v>72</v>
      </c>
      <c r="B724" t="s">
        <v>14169</v>
      </c>
      <c r="C724" t="s">
        <v>74</v>
      </c>
      <c r="D724" t="s">
        <v>74</v>
      </c>
      <c r="E724" t="s">
        <v>74</v>
      </c>
      <c r="F724" t="s">
        <v>14170</v>
      </c>
      <c r="G724" t="s">
        <v>74</v>
      </c>
      <c r="H724" t="s">
        <v>74</v>
      </c>
      <c r="I724" t="s">
        <v>14171</v>
      </c>
      <c r="J724" t="s">
        <v>3842</v>
      </c>
      <c r="K724" t="s">
        <v>74</v>
      </c>
      <c r="L724" t="s">
        <v>74</v>
      </c>
      <c r="M724" t="s">
        <v>78</v>
      </c>
      <c r="N724" t="s">
        <v>79</v>
      </c>
      <c r="O724" t="s">
        <v>74</v>
      </c>
      <c r="P724" t="s">
        <v>74</v>
      </c>
      <c r="Q724" t="s">
        <v>74</v>
      </c>
      <c r="R724" t="s">
        <v>74</v>
      </c>
      <c r="S724" t="s">
        <v>74</v>
      </c>
      <c r="T724" t="s">
        <v>14172</v>
      </c>
      <c r="U724" t="s">
        <v>14173</v>
      </c>
      <c r="V724" t="s">
        <v>14174</v>
      </c>
      <c r="W724" t="s">
        <v>14175</v>
      </c>
      <c r="X724" t="s">
        <v>14176</v>
      </c>
      <c r="Y724" t="s">
        <v>14177</v>
      </c>
      <c r="Z724" t="s">
        <v>14178</v>
      </c>
      <c r="AA724" t="s">
        <v>74</v>
      </c>
      <c r="AB724" t="s">
        <v>14179</v>
      </c>
      <c r="AC724" t="s">
        <v>14180</v>
      </c>
      <c r="AD724" t="s">
        <v>14181</v>
      </c>
      <c r="AE724" t="s">
        <v>14182</v>
      </c>
      <c r="AF724" t="s">
        <v>74</v>
      </c>
      <c r="AG724">
        <v>44</v>
      </c>
      <c r="AH724">
        <v>1</v>
      </c>
      <c r="AI724">
        <v>1</v>
      </c>
      <c r="AJ724">
        <v>1</v>
      </c>
      <c r="AK724">
        <v>9</v>
      </c>
      <c r="AL724" t="s">
        <v>231</v>
      </c>
      <c r="AM724" t="s">
        <v>232</v>
      </c>
      <c r="AN724" t="s">
        <v>233</v>
      </c>
      <c r="AO724" t="s">
        <v>3853</v>
      </c>
      <c r="AP724" t="s">
        <v>3854</v>
      </c>
      <c r="AQ724" t="s">
        <v>74</v>
      </c>
      <c r="AR724" t="s">
        <v>3842</v>
      </c>
      <c r="AS724" t="s">
        <v>3855</v>
      </c>
      <c r="AT724" t="s">
        <v>428</v>
      </c>
      <c r="AU724">
        <v>2022</v>
      </c>
      <c r="AV724">
        <v>164</v>
      </c>
      <c r="AW724">
        <v>4</v>
      </c>
      <c r="AX724" t="s">
        <v>74</v>
      </c>
      <c r="AY724" t="s">
        <v>74</v>
      </c>
      <c r="AZ724" t="s">
        <v>74</v>
      </c>
      <c r="BA724" t="s">
        <v>74</v>
      </c>
      <c r="BB724">
        <v>1201</v>
      </c>
      <c r="BC724">
        <v>1212</v>
      </c>
      <c r="BD724" t="s">
        <v>74</v>
      </c>
      <c r="BE724" t="s">
        <v>14183</v>
      </c>
      <c r="BF724" t="str">
        <f>HYPERLINK("http://dx.doi.org/10.1111/ibi.13094","http://dx.doi.org/10.1111/ibi.13094")</f>
        <v>http://dx.doi.org/10.1111/ibi.13094</v>
      </c>
      <c r="BG724" t="s">
        <v>74</v>
      </c>
      <c r="BH724" t="s">
        <v>12326</v>
      </c>
      <c r="BI724">
        <v>12</v>
      </c>
      <c r="BJ724" t="s">
        <v>3857</v>
      </c>
      <c r="BK724" t="s">
        <v>100</v>
      </c>
      <c r="BL724" t="s">
        <v>2211</v>
      </c>
      <c r="BM724" t="s">
        <v>14184</v>
      </c>
      <c r="BN724" t="s">
        <v>74</v>
      </c>
      <c r="BO724" t="s">
        <v>3327</v>
      </c>
      <c r="BP724" t="s">
        <v>74</v>
      </c>
      <c r="BQ724" t="s">
        <v>74</v>
      </c>
      <c r="BR724" t="s">
        <v>103</v>
      </c>
      <c r="BS724" t="s">
        <v>14185</v>
      </c>
      <c r="BT724" t="str">
        <f>HYPERLINK("https%3A%2F%2Fwww.webofscience.com%2Fwos%2Fwoscc%2Ffull-record%2FWOS:000825272000001","View Full Record in Web of Science")</f>
        <v>View Full Record in Web of Science</v>
      </c>
    </row>
    <row r="725" spans="1:72" x14ac:dyDescent="0.15">
      <c r="A725" t="s">
        <v>72</v>
      </c>
      <c r="B725" t="s">
        <v>14027</v>
      </c>
      <c r="C725" t="s">
        <v>74</v>
      </c>
      <c r="D725" t="s">
        <v>74</v>
      </c>
      <c r="E725" t="s">
        <v>74</v>
      </c>
      <c r="F725" t="s">
        <v>14028</v>
      </c>
      <c r="G725" t="s">
        <v>74</v>
      </c>
      <c r="H725" t="s">
        <v>74</v>
      </c>
      <c r="I725" t="s">
        <v>14186</v>
      </c>
      <c r="J725" t="s">
        <v>14187</v>
      </c>
      <c r="K725" t="s">
        <v>74</v>
      </c>
      <c r="L725" t="s">
        <v>74</v>
      </c>
      <c r="M725" t="s">
        <v>78</v>
      </c>
      <c r="N725" t="s">
        <v>79</v>
      </c>
      <c r="O725" t="s">
        <v>74</v>
      </c>
      <c r="P725" t="s">
        <v>74</v>
      </c>
      <c r="Q725" t="s">
        <v>74</v>
      </c>
      <c r="R725" t="s">
        <v>74</v>
      </c>
      <c r="S725" t="s">
        <v>74</v>
      </c>
      <c r="T725" t="s">
        <v>14188</v>
      </c>
      <c r="U725" t="s">
        <v>74</v>
      </c>
      <c r="V725" t="s">
        <v>14189</v>
      </c>
      <c r="W725" t="s">
        <v>14190</v>
      </c>
      <c r="X725" t="s">
        <v>856</v>
      </c>
      <c r="Y725" t="s">
        <v>14191</v>
      </c>
      <c r="Z725" t="s">
        <v>14037</v>
      </c>
      <c r="AA725" t="s">
        <v>74</v>
      </c>
      <c r="AB725" t="s">
        <v>74</v>
      </c>
      <c r="AC725" t="s">
        <v>14192</v>
      </c>
      <c r="AD725" t="s">
        <v>14193</v>
      </c>
      <c r="AE725" t="s">
        <v>14194</v>
      </c>
      <c r="AF725" t="s">
        <v>74</v>
      </c>
      <c r="AG725">
        <v>39</v>
      </c>
      <c r="AH725">
        <v>0</v>
      </c>
      <c r="AI725">
        <v>0</v>
      </c>
      <c r="AJ725">
        <v>1</v>
      </c>
      <c r="AK725">
        <v>4</v>
      </c>
      <c r="AL725" t="s">
        <v>10115</v>
      </c>
      <c r="AM725" t="s">
        <v>3828</v>
      </c>
      <c r="AN725" t="s">
        <v>10116</v>
      </c>
      <c r="AO725" t="s">
        <v>14195</v>
      </c>
      <c r="AP725" t="s">
        <v>14196</v>
      </c>
      <c r="AQ725" t="s">
        <v>74</v>
      </c>
      <c r="AR725" t="s">
        <v>14197</v>
      </c>
      <c r="AS725" t="s">
        <v>14198</v>
      </c>
      <c r="AT725" t="s">
        <v>10595</v>
      </c>
      <c r="AU725">
        <v>2022</v>
      </c>
      <c r="AV725">
        <v>28</v>
      </c>
      <c r="AW725">
        <v>8</v>
      </c>
      <c r="AX725" t="s">
        <v>74</v>
      </c>
      <c r="AY725" t="s">
        <v>74</v>
      </c>
      <c r="AZ725" t="s">
        <v>74</v>
      </c>
      <c r="BA725" t="s">
        <v>74</v>
      </c>
      <c r="BB725">
        <v>940</v>
      </c>
      <c r="BC725">
        <v>954</v>
      </c>
      <c r="BD725" t="s">
        <v>74</v>
      </c>
      <c r="BE725" t="s">
        <v>14199</v>
      </c>
      <c r="BF725" t="str">
        <f>HYPERLINK("http://dx.doi.org/10.1080/13527258.2022.2099446","http://dx.doi.org/10.1080/13527258.2022.2099446")</f>
        <v>http://dx.doi.org/10.1080/13527258.2022.2099446</v>
      </c>
      <c r="BG725" t="s">
        <v>74</v>
      </c>
      <c r="BH725" t="s">
        <v>12326</v>
      </c>
      <c r="BI725">
        <v>15</v>
      </c>
      <c r="BJ725" t="s">
        <v>14200</v>
      </c>
      <c r="BK725" t="s">
        <v>14201</v>
      </c>
      <c r="BL725" t="s">
        <v>14202</v>
      </c>
      <c r="BM725" t="s">
        <v>14203</v>
      </c>
      <c r="BN725" t="s">
        <v>74</v>
      </c>
      <c r="BO725" t="s">
        <v>74</v>
      </c>
      <c r="BP725" t="s">
        <v>74</v>
      </c>
      <c r="BQ725" t="s">
        <v>74</v>
      </c>
      <c r="BR725" t="s">
        <v>103</v>
      </c>
      <c r="BS725" t="s">
        <v>14204</v>
      </c>
      <c r="BT725" t="str">
        <f>HYPERLINK("https%3A%2F%2Fwww.webofscience.com%2Fwos%2Fwoscc%2Ffull-record%2FWOS:000824455500001","View Full Record in Web of Science")</f>
        <v>View Full Record in Web of Science</v>
      </c>
    </row>
    <row r="726" spans="1:72" x14ac:dyDescent="0.15">
      <c r="A726" t="s">
        <v>72</v>
      </c>
      <c r="B726" t="s">
        <v>14205</v>
      </c>
      <c r="C726" t="s">
        <v>74</v>
      </c>
      <c r="D726" t="s">
        <v>74</v>
      </c>
      <c r="E726" t="s">
        <v>74</v>
      </c>
      <c r="F726" t="s">
        <v>14206</v>
      </c>
      <c r="G726" t="s">
        <v>74</v>
      </c>
      <c r="H726" t="s">
        <v>74</v>
      </c>
      <c r="I726" t="s">
        <v>14207</v>
      </c>
      <c r="J726" t="s">
        <v>1839</v>
      </c>
      <c r="K726" t="s">
        <v>74</v>
      </c>
      <c r="L726" t="s">
        <v>74</v>
      </c>
      <c r="M726" t="s">
        <v>78</v>
      </c>
      <c r="N726" t="s">
        <v>79</v>
      </c>
      <c r="O726" t="s">
        <v>74</v>
      </c>
      <c r="P726" t="s">
        <v>74</v>
      </c>
      <c r="Q726" t="s">
        <v>74</v>
      </c>
      <c r="R726" t="s">
        <v>74</v>
      </c>
      <c r="S726" t="s">
        <v>74</v>
      </c>
      <c r="T726" t="s">
        <v>14208</v>
      </c>
      <c r="U726" t="s">
        <v>14209</v>
      </c>
      <c r="V726" t="s">
        <v>14210</v>
      </c>
      <c r="W726" t="s">
        <v>14211</v>
      </c>
      <c r="X726" t="s">
        <v>14212</v>
      </c>
      <c r="Y726" t="s">
        <v>14213</v>
      </c>
      <c r="Z726" t="s">
        <v>14214</v>
      </c>
      <c r="AA726" t="s">
        <v>14215</v>
      </c>
      <c r="AB726" t="s">
        <v>14216</v>
      </c>
      <c r="AC726" t="s">
        <v>14217</v>
      </c>
      <c r="AD726" t="s">
        <v>14218</v>
      </c>
      <c r="AE726" t="s">
        <v>14219</v>
      </c>
      <c r="AF726" t="s">
        <v>74</v>
      </c>
      <c r="AG726">
        <v>55</v>
      </c>
      <c r="AH726">
        <v>1</v>
      </c>
      <c r="AI726">
        <v>1</v>
      </c>
      <c r="AJ726">
        <v>1</v>
      </c>
      <c r="AK726">
        <v>7</v>
      </c>
      <c r="AL726" t="s">
        <v>1065</v>
      </c>
      <c r="AM726" t="s">
        <v>1066</v>
      </c>
      <c r="AN726" t="s">
        <v>1067</v>
      </c>
      <c r="AO726" t="s">
        <v>1851</v>
      </c>
      <c r="AP726" t="s">
        <v>1852</v>
      </c>
      <c r="AQ726" t="s">
        <v>74</v>
      </c>
      <c r="AR726" t="s">
        <v>1853</v>
      </c>
      <c r="AS726" t="s">
        <v>1854</v>
      </c>
      <c r="AT726" t="s">
        <v>14065</v>
      </c>
      <c r="AU726">
        <v>2022</v>
      </c>
      <c r="AV726">
        <v>35</v>
      </c>
      <c r="AW726">
        <v>14</v>
      </c>
      <c r="AX726" t="s">
        <v>74</v>
      </c>
      <c r="AY726" t="s">
        <v>74</v>
      </c>
      <c r="AZ726" t="s">
        <v>74</v>
      </c>
      <c r="BA726" t="s">
        <v>74</v>
      </c>
      <c r="BB726">
        <v>4535</v>
      </c>
      <c r="BC726">
        <v>4549</v>
      </c>
      <c r="BD726" t="s">
        <v>74</v>
      </c>
      <c r="BE726" t="s">
        <v>14220</v>
      </c>
      <c r="BF726" t="str">
        <f>HYPERLINK("http://dx.doi.org/10.1175/JCLI-D-21-0821.1","http://dx.doi.org/10.1175/JCLI-D-21-0821.1")</f>
        <v>http://dx.doi.org/10.1175/JCLI-D-21-0821.1</v>
      </c>
      <c r="BG726" t="s">
        <v>74</v>
      </c>
      <c r="BH726" t="s">
        <v>74</v>
      </c>
      <c r="BI726">
        <v>15</v>
      </c>
      <c r="BJ726" t="s">
        <v>457</v>
      </c>
      <c r="BK726" t="s">
        <v>100</v>
      </c>
      <c r="BL726" t="s">
        <v>457</v>
      </c>
      <c r="BM726" t="s">
        <v>14221</v>
      </c>
      <c r="BN726" t="s">
        <v>74</v>
      </c>
      <c r="BO726" t="s">
        <v>404</v>
      </c>
      <c r="BP726" t="s">
        <v>74</v>
      </c>
      <c r="BQ726" t="s">
        <v>74</v>
      </c>
      <c r="BR726" t="s">
        <v>103</v>
      </c>
      <c r="BS726" t="s">
        <v>14222</v>
      </c>
      <c r="BT726" t="str">
        <f>HYPERLINK("https%3A%2F%2Fwww.webofscience.com%2Fwos%2Fwoscc%2Ffull-record%2FWOS:000815998900008","View Full Record in Web of Science")</f>
        <v>View Full Record in Web of Science</v>
      </c>
    </row>
    <row r="727" spans="1:72" x14ac:dyDescent="0.15">
      <c r="A727" t="s">
        <v>72</v>
      </c>
      <c r="B727" t="s">
        <v>14223</v>
      </c>
      <c r="C727" t="s">
        <v>74</v>
      </c>
      <c r="D727" t="s">
        <v>74</v>
      </c>
      <c r="E727" t="s">
        <v>74</v>
      </c>
      <c r="F727" t="s">
        <v>14224</v>
      </c>
      <c r="G727" t="s">
        <v>74</v>
      </c>
      <c r="H727" t="s">
        <v>74</v>
      </c>
      <c r="I727" t="s">
        <v>14225</v>
      </c>
      <c r="J727" t="s">
        <v>1839</v>
      </c>
      <c r="K727" t="s">
        <v>74</v>
      </c>
      <c r="L727" t="s">
        <v>74</v>
      </c>
      <c r="M727" t="s">
        <v>78</v>
      </c>
      <c r="N727" t="s">
        <v>79</v>
      </c>
      <c r="O727" t="s">
        <v>74</v>
      </c>
      <c r="P727" t="s">
        <v>74</v>
      </c>
      <c r="Q727" t="s">
        <v>74</v>
      </c>
      <c r="R727" t="s">
        <v>74</v>
      </c>
      <c r="S727" t="s">
        <v>74</v>
      </c>
      <c r="T727" t="s">
        <v>14226</v>
      </c>
      <c r="U727" t="s">
        <v>14227</v>
      </c>
      <c r="V727" t="s">
        <v>14228</v>
      </c>
      <c r="W727" t="s">
        <v>14229</v>
      </c>
      <c r="X727" t="s">
        <v>14230</v>
      </c>
      <c r="Y727" t="s">
        <v>14231</v>
      </c>
      <c r="Z727" t="s">
        <v>14232</v>
      </c>
      <c r="AA727" t="s">
        <v>14233</v>
      </c>
      <c r="AB727" t="s">
        <v>14234</v>
      </c>
      <c r="AC727" t="s">
        <v>14235</v>
      </c>
      <c r="AD727" t="s">
        <v>14236</v>
      </c>
      <c r="AE727" t="s">
        <v>14237</v>
      </c>
      <c r="AF727" t="s">
        <v>74</v>
      </c>
      <c r="AG727">
        <v>97</v>
      </c>
      <c r="AH727">
        <v>3</v>
      </c>
      <c r="AI727">
        <v>3</v>
      </c>
      <c r="AJ727">
        <v>6</v>
      </c>
      <c r="AK727">
        <v>21</v>
      </c>
      <c r="AL727" t="s">
        <v>1065</v>
      </c>
      <c r="AM727" t="s">
        <v>1066</v>
      </c>
      <c r="AN727" t="s">
        <v>1067</v>
      </c>
      <c r="AO727" t="s">
        <v>1851</v>
      </c>
      <c r="AP727" t="s">
        <v>1852</v>
      </c>
      <c r="AQ727" t="s">
        <v>74</v>
      </c>
      <c r="AR727" t="s">
        <v>1853</v>
      </c>
      <c r="AS727" t="s">
        <v>1854</v>
      </c>
      <c r="AT727" t="s">
        <v>14065</v>
      </c>
      <c r="AU727">
        <v>2022</v>
      </c>
      <c r="AV727">
        <v>35</v>
      </c>
      <c r="AW727">
        <v>14</v>
      </c>
      <c r="AX727" t="s">
        <v>74</v>
      </c>
      <c r="AY727" t="s">
        <v>74</v>
      </c>
      <c r="AZ727" t="s">
        <v>74</v>
      </c>
      <c r="BA727" t="s">
        <v>74</v>
      </c>
      <c r="BB727">
        <v>4627</v>
      </c>
      <c r="BC727">
        <v>4643</v>
      </c>
      <c r="BD727" t="s">
        <v>74</v>
      </c>
      <c r="BE727" t="s">
        <v>14238</v>
      </c>
      <c r="BF727" t="str">
        <f>HYPERLINK("http://dx.doi.org/10.1175/JCLI-D-21-0827.1","http://dx.doi.org/10.1175/JCLI-D-21-0827.1")</f>
        <v>http://dx.doi.org/10.1175/JCLI-D-21-0827.1</v>
      </c>
      <c r="BG727" t="s">
        <v>74</v>
      </c>
      <c r="BH727" t="s">
        <v>74</v>
      </c>
      <c r="BI727">
        <v>17</v>
      </c>
      <c r="BJ727" t="s">
        <v>457</v>
      </c>
      <c r="BK727" t="s">
        <v>100</v>
      </c>
      <c r="BL727" t="s">
        <v>457</v>
      </c>
      <c r="BM727" t="s">
        <v>14221</v>
      </c>
      <c r="BN727" t="s">
        <v>74</v>
      </c>
      <c r="BO727" t="s">
        <v>74</v>
      </c>
      <c r="BP727" t="s">
        <v>74</v>
      </c>
      <c r="BQ727" t="s">
        <v>74</v>
      </c>
      <c r="BR727" t="s">
        <v>103</v>
      </c>
      <c r="BS727" t="s">
        <v>14239</v>
      </c>
      <c r="BT727" t="str">
        <f>HYPERLINK("https%3A%2F%2Fwww.webofscience.com%2Fwos%2Fwoscc%2Ffull-record%2FWOS:000815998900013","View Full Record in Web of Science")</f>
        <v>View Full Record in Web of Science</v>
      </c>
    </row>
    <row r="728" spans="1:72" x14ac:dyDescent="0.15">
      <c r="A728" t="s">
        <v>72</v>
      </c>
      <c r="B728" t="s">
        <v>14240</v>
      </c>
      <c r="C728" t="s">
        <v>74</v>
      </c>
      <c r="D728" t="s">
        <v>74</v>
      </c>
      <c r="E728" t="s">
        <v>74</v>
      </c>
      <c r="F728" t="s">
        <v>14241</v>
      </c>
      <c r="G728" t="s">
        <v>74</v>
      </c>
      <c r="H728" t="s">
        <v>74</v>
      </c>
      <c r="I728" t="s">
        <v>14242</v>
      </c>
      <c r="J728" t="s">
        <v>1839</v>
      </c>
      <c r="K728" t="s">
        <v>74</v>
      </c>
      <c r="L728" t="s">
        <v>74</v>
      </c>
      <c r="M728" t="s">
        <v>78</v>
      </c>
      <c r="N728" t="s">
        <v>79</v>
      </c>
      <c r="O728" t="s">
        <v>74</v>
      </c>
      <c r="P728" t="s">
        <v>74</v>
      </c>
      <c r="Q728" t="s">
        <v>74</v>
      </c>
      <c r="R728" t="s">
        <v>74</v>
      </c>
      <c r="S728" t="s">
        <v>74</v>
      </c>
      <c r="T728" t="s">
        <v>14243</v>
      </c>
      <c r="U728" t="s">
        <v>14244</v>
      </c>
      <c r="V728" t="s">
        <v>14245</v>
      </c>
      <c r="W728" t="s">
        <v>14246</v>
      </c>
      <c r="X728" t="s">
        <v>14247</v>
      </c>
      <c r="Y728" t="s">
        <v>14248</v>
      </c>
      <c r="Z728" t="s">
        <v>14249</v>
      </c>
      <c r="AA728" t="s">
        <v>14250</v>
      </c>
      <c r="AB728" t="s">
        <v>14251</v>
      </c>
      <c r="AC728" t="s">
        <v>14252</v>
      </c>
      <c r="AD728" t="s">
        <v>14253</v>
      </c>
      <c r="AE728" t="s">
        <v>14254</v>
      </c>
      <c r="AF728" t="s">
        <v>74</v>
      </c>
      <c r="AG728">
        <v>75</v>
      </c>
      <c r="AH728">
        <v>9</v>
      </c>
      <c r="AI728">
        <v>10</v>
      </c>
      <c r="AJ728">
        <v>3</v>
      </c>
      <c r="AK728">
        <v>26</v>
      </c>
      <c r="AL728" t="s">
        <v>1065</v>
      </c>
      <c r="AM728" t="s">
        <v>1066</v>
      </c>
      <c r="AN728" t="s">
        <v>1067</v>
      </c>
      <c r="AO728" t="s">
        <v>1851</v>
      </c>
      <c r="AP728" t="s">
        <v>1852</v>
      </c>
      <c r="AQ728" t="s">
        <v>74</v>
      </c>
      <c r="AR728" t="s">
        <v>1853</v>
      </c>
      <c r="AS728" t="s">
        <v>1854</v>
      </c>
      <c r="AT728" t="s">
        <v>14065</v>
      </c>
      <c r="AU728">
        <v>2022</v>
      </c>
      <c r="AV728">
        <v>35</v>
      </c>
      <c r="AW728">
        <v>14</v>
      </c>
      <c r="AX728" t="s">
        <v>74</v>
      </c>
      <c r="AY728" t="s">
        <v>74</v>
      </c>
      <c r="AZ728" t="s">
        <v>74</v>
      </c>
      <c r="BA728" t="s">
        <v>74</v>
      </c>
      <c r="BB728">
        <v>4665</v>
      </c>
      <c r="BC728">
        <v>4685</v>
      </c>
      <c r="BD728" t="s">
        <v>74</v>
      </c>
      <c r="BE728" t="s">
        <v>14255</v>
      </c>
      <c r="BF728" t="str">
        <f>HYPERLINK("http://dx.doi.org/10.1175/JCLI-D-21-0918.1","http://dx.doi.org/10.1175/JCLI-D-21-0918.1")</f>
        <v>http://dx.doi.org/10.1175/JCLI-D-21-0918.1</v>
      </c>
      <c r="BG728" t="s">
        <v>74</v>
      </c>
      <c r="BH728" t="s">
        <v>74</v>
      </c>
      <c r="BI728">
        <v>21</v>
      </c>
      <c r="BJ728" t="s">
        <v>457</v>
      </c>
      <c r="BK728" t="s">
        <v>100</v>
      </c>
      <c r="BL728" t="s">
        <v>457</v>
      </c>
      <c r="BM728" t="s">
        <v>14221</v>
      </c>
      <c r="BN728" t="s">
        <v>74</v>
      </c>
      <c r="BO728" t="s">
        <v>2260</v>
      </c>
      <c r="BP728" t="s">
        <v>74</v>
      </c>
      <c r="BQ728" t="s">
        <v>74</v>
      </c>
      <c r="BR728" t="s">
        <v>103</v>
      </c>
      <c r="BS728" t="s">
        <v>14256</v>
      </c>
      <c r="BT728" t="str">
        <f>HYPERLINK("https%3A%2F%2Fwww.webofscience.com%2Fwos%2Fwoscc%2Ffull-record%2FWOS:000815998900015","View Full Record in Web of Science")</f>
        <v>View Full Record in Web of Science</v>
      </c>
    </row>
    <row r="729" spans="1:72" x14ac:dyDescent="0.15">
      <c r="A729" t="s">
        <v>72</v>
      </c>
      <c r="B729" t="s">
        <v>14257</v>
      </c>
      <c r="C729" t="s">
        <v>74</v>
      </c>
      <c r="D729" t="s">
        <v>74</v>
      </c>
      <c r="E729" t="s">
        <v>74</v>
      </c>
      <c r="F729" t="s">
        <v>14258</v>
      </c>
      <c r="G729" t="s">
        <v>74</v>
      </c>
      <c r="H729" t="s">
        <v>74</v>
      </c>
      <c r="I729" t="s">
        <v>14259</v>
      </c>
      <c r="J729" t="s">
        <v>1839</v>
      </c>
      <c r="K729" t="s">
        <v>74</v>
      </c>
      <c r="L729" t="s">
        <v>74</v>
      </c>
      <c r="M729" t="s">
        <v>78</v>
      </c>
      <c r="N729" t="s">
        <v>79</v>
      </c>
      <c r="O729" t="s">
        <v>74</v>
      </c>
      <c r="P729" t="s">
        <v>74</v>
      </c>
      <c r="Q729" t="s">
        <v>74</v>
      </c>
      <c r="R729" t="s">
        <v>74</v>
      </c>
      <c r="S729" t="s">
        <v>74</v>
      </c>
      <c r="T729" t="s">
        <v>14260</v>
      </c>
      <c r="U729" t="s">
        <v>14261</v>
      </c>
      <c r="V729" t="s">
        <v>14262</v>
      </c>
      <c r="W729" t="s">
        <v>14263</v>
      </c>
      <c r="X729" t="s">
        <v>14264</v>
      </c>
      <c r="Y729" t="s">
        <v>14265</v>
      </c>
      <c r="Z729" t="s">
        <v>14266</v>
      </c>
      <c r="AA729" t="s">
        <v>14267</v>
      </c>
      <c r="AB729" t="s">
        <v>14268</v>
      </c>
      <c r="AC729" t="s">
        <v>14269</v>
      </c>
      <c r="AD729" t="s">
        <v>14270</v>
      </c>
      <c r="AE729" t="s">
        <v>14271</v>
      </c>
      <c r="AF729" t="s">
        <v>74</v>
      </c>
      <c r="AG729">
        <v>47</v>
      </c>
      <c r="AH729">
        <v>1</v>
      </c>
      <c r="AI729">
        <v>1</v>
      </c>
      <c r="AJ729">
        <v>1</v>
      </c>
      <c r="AK729">
        <v>9</v>
      </c>
      <c r="AL729" t="s">
        <v>1065</v>
      </c>
      <c r="AM729" t="s">
        <v>1066</v>
      </c>
      <c r="AN729" t="s">
        <v>1067</v>
      </c>
      <c r="AO729" t="s">
        <v>1851</v>
      </c>
      <c r="AP729" t="s">
        <v>1852</v>
      </c>
      <c r="AQ729" t="s">
        <v>74</v>
      </c>
      <c r="AR729" t="s">
        <v>1853</v>
      </c>
      <c r="AS729" t="s">
        <v>1854</v>
      </c>
      <c r="AT729" t="s">
        <v>14065</v>
      </c>
      <c r="AU729">
        <v>2022</v>
      </c>
      <c r="AV729">
        <v>35</v>
      </c>
      <c r="AW729">
        <v>14</v>
      </c>
      <c r="AX729" t="s">
        <v>74</v>
      </c>
      <c r="AY729" t="s">
        <v>74</v>
      </c>
      <c r="AZ729" t="s">
        <v>74</v>
      </c>
      <c r="BA729" t="s">
        <v>74</v>
      </c>
      <c r="BB729">
        <v>4687</v>
      </c>
      <c r="BC729">
        <v>4700</v>
      </c>
      <c r="BD729" t="s">
        <v>74</v>
      </c>
      <c r="BE729" t="s">
        <v>14272</v>
      </c>
      <c r="BF729" t="str">
        <f>HYPERLINK("http://dx.doi.org/10.1175/JCLI-D-21-0858.1","http://dx.doi.org/10.1175/JCLI-D-21-0858.1")</f>
        <v>http://dx.doi.org/10.1175/JCLI-D-21-0858.1</v>
      </c>
      <c r="BG729" t="s">
        <v>74</v>
      </c>
      <c r="BH729" t="s">
        <v>74</v>
      </c>
      <c r="BI729">
        <v>14</v>
      </c>
      <c r="BJ729" t="s">
        <v>457</v>
      </c>
      <c r="BK729" t="s">
        <v>100</v>
      </c>
      <c r="BL729" t="s">
        <v>457</v>
      </c>
      <c r="BM729" t="s">
        <v>14221</v>
      </c>
      <c r="BN729" t="s">
        <v>74</v>
      </c>
      <c r="BO729" t="s">
        <v>831</v>
      </c>
      <c r="BP729" t="s">
        <v>74</v>
      </c>
      <c r="BQ729" t="s">
        <v>74</v>
      </c>
      <c r="BR729" t="s">
        <v>103</v>
      </c>
      <c r="BS729" t="s">
        <v>14273</v>
      </c>
      <c r="BT729" t="str">
        <f>HYPERLINK("https%3A%2F%2Fwww.webofscience.com%2Fwos%2Fwoscc%2Ffull-record%2FWOS:000815998900016","View Full Record in Web of Science")</f>
        <v>View Full Record in Web of Science</v>
      </c>
    </row>
    <row r="730" spans="1:72" x14ac:dyDescent="0.15">
      <c r="A730" t="s">
        <v>72</v>
      </c>
      <c r="B730" t="s">
        <v>14274</v>
      </c>
      <c r="C730" t="s">
        <v>74</v>
      </c>
      <c r="D730" t="s">
        <v>74</v>
      </c>
      <c r="E730" t="s">
        <v>74</v>
      </c>
      <c r="F730" t="s">
        <v>14275</v>
      </c>
      <c r="G730" t="s">
        <v>74</v>
      </c>
      <c r="H730" t="s">
        <v>74</v>
      </c>
      <c r="I730" t="s">
        <v>14276</v>
      </c>
      <c r="J730" t="s">
        <v>247</v>
      </c>
      <c r="K730" t="s">
        <v>74</v>
      </c>
      <c r="L730" t="s">
        <v>74</v>
      </c>
      <c r="M730" t="s">
        <v>78</v>
      </c>
      <c r="N730" t="s">
        <v>2873</v>
      </c>
      <c r="O730" t="s">
        <v>74</v>
      </c>
      <c r="P730" t="s">
        <v>74</v>
      </c>
      <c r="Q730" t="s">
        <v>74</v>
      </c>
      <c r="R730" t="s">
        <v>74</v>
      </c>
      <c r="S730" t="s">
        <v>74</v>
      </c>
      <c r="T730" t="s">
        <v>14277</v>
      </c>
      <c r="U730" t="s">
        <v>74</v>
      </c>
      <c r="V730" t="s">
        <v>74</v>
      </c>
      <c r="W730" t="s">
        <v>14278</v>
      </c>
      <c r="X730" t="s">
        <v>2577</v>
      </c>
      <c r="Y730" t="s">
        <v>14279</v>
      </c>
      <c r="Z730" t="s">
        <v>14280</v>
      </c>
      <c r="AA730" t="s">
        <v>14281</v>
      </c>
      <c r="AB730" t="s">
        <v>14282</v>
      </c>
      <c r="AC730" t="s">
        <v>74</v>
      </c>
      <c r="AD730" t="s">
        <v>74</v>
      </c>
      <c r="AE730" t="s">
        <v>74</v>
      </c>
      <c r="AF730" t="s">
        <v>74</v>
      </c>
      <c r="AG730">
        <v>1</v>
      </c>
      <c r="AH730">
        <v>0</v>
      </c>
      <c r="AI730">
        <v>0</v>
      </c>
      <c r="AJ730">
        <v>0</v>
      </c>
      <c r="AK730">
        <v>2</v>
      </c>
      <c r="AL730" t="s">
        <v>121</v>
      </c>
      <c r="AM730" t="s">
        <v>122</v>
      </c>
      <c r="AN730" t="s">
        <v>123</v>
      </c>
      <c r="AO730" t="s">
        <v>74</v>
      </c>
      <c r="AP730" t="s">
        <v>258</v>
      </c>
      <c r="AQ730" t="s">
        <v>74</v>
      </c>
      <c r="AR730" t="s">
        <v>259</v>
      </c>
      <c r="AS730" t="s">
        <v>260</v>
      </c>
      <c r="AT730" t="s">
        <v>14283</v>
      </c>
      <c r="AU730">
        <v>2022</v>
      </c>
      <c r="AV730">
        <v>9</v>
      </c>
      <c r="AW730" t="s">
        <v>74</v>
      </c>
      <c r="AX730" t="s">
        <v>74</v>
      </c>
      <c r="AY730" t="s">
        <v>74</v>
      </c>
      <c r="AZ730" t="s">
        <v>74</v>
      </c>
      <c r="BA730" t="s">
        <v>74</v>
      </c>
      <c r="BB730" t="s">
        <v>74</v>
      </c>
      <c r="BC730" t="s">
        <v>74</v>
      </c>
      <c r="BD730">
        <v>964737</v>
      </c>
      <c r="BE730" t="s">
        <v>14284</v>
      </c>
      <c r="BF730" t="str">
        <f>HYPERLINK("http://dx.doi.org/10.3389/fmars.2022.964737","http://dx.doi.org/10.3389/fmars.2022.964737")</f>
        <v>http://dx.doi.org/10.3389/fmars.2022.964737</v>
      </c>
      <c r="BG730" t="s">
        <v>74</v>
      </c>
      <c r="BH730" t="s">
        <v>74</v>
      </c>
      <c r="BI730">
        <v>1</v>
      </c>
      <c r="BJ730" t="s">
        <v>263</v>
      </c>
      <c r="BK730" t="s">
        <v>100</v>
      </c>
      <c r="BL730" t="s">
        <v>264</v>
      </c>
      <c r="BM730" t="s">
        <v>14285</v>
      </c>
      <c r="BN730" t="s">
        <v>74</v>
      </c>
      <c r="BO730" t="s">
        <v>266</v>
      </c>
      <c r="BP730" t="s">
        <v>74</v>
      </c>
      <c r="BQ730" t="s">
        <v>74</v>
      </c>
      <c r="BR730" t="s">
        <v>103</v>
      </c>
      <c r="BS730" t="s">
        <v>14286</v>
      </c>
      <c r="BT730" t="str">
        <f>HYPERLINK("https%3A%2F%2Fwww.webofscience.com%2Fwos%2Fwoscc%2Ffull-record%2FWOS:000886081200001","View Full Record in Web of Science")</f>
        <v>View Full Record in Web of Science</v>
      </c>
    </row>
    <row r="731" spans="1:72" x14ac:dyDescent="0.15">
      <c r="A731" t="s">
        <v>72</v>
      </c>
      <c r="B731" t="s">
        <v>14287</v>
      </c>
      <c r="C731" t="s">
        <v>74</v>
      </c>
      <c r="D731" t="s">
        <v>74</v>
      </c>
      <c r="E731" t="s">
        <v>74</v>
      </c>
      <c r="F731" t="s">
        <v>14288</v>
      </c>
      <c r="G731" t="s">
        <v>74</v>
      </c>
      <c r="H731" t="s">
        <v>74</v>
      </c>
      <c r="I731" t="s">
        <v>14289</v>
      </c>
      <c r="J731" t="s">
        <v>247</v>
      </c>
      <c r="K731" t="s">
        <v>74</v>
      </c>
      <c r="L731" t="s">
        <v>74</v>
      </c>
      <c r="M731" t="s">
        <v>78</v>
      </c>
      <c r="N731" t="s">
        <v>79</v>
      </c>
      <c r="O731" t="s">
        <v>74</v>
      </c>
      <c r="P731" t="s">
        <v>74</v>
      </c>
      <c r="Q731" t="s">
        <v>74</v>
      </c>
      <c r="R731" t="s">
        <v>74</v>
      </c>
      <c r="S731" t="s">
        <v>74</v>
      </c>
      <c r="T731" t="s">
        <v>14290</v>
      </c>
      <c r="U731" t="s">
        <v>14291</v>
      </c>
      <c r="V731" t="s">
        <v>14292</v>
      </c>
      <c r="W731" t="s">
        <v>14293</v>
      </c>
      <c r="X731" t="s">
        <v>14294</v>
      </c>
      <c r="Y731" t="s">
        <v>14295</v>
      </c>
      <c r="Z731" t="s">
        <v>14296</v>
      </c>
      <c r="AA731" t="s">
        <v>14297</v>
      </c>
      <c r="AB731" t="s">
        <v>74</v>
      </c>
      <c r="AC731" t="s">
        <v>14298</v>
      </c>
      <c r="AD731" t="s">
        <v>14299</v>
      </c>
      <c r="AE731" t="s">
        <v>14300</v>
      </c>
      <c r="AF731" t="s">
        <v>74</v>
      </c>
      <c r="AG731">
        <v>28</v>
      </c>
      <c r="AH731">
        <v>0</v>
      </c>
      <c r="AI731">
        <v>0</v>
      </c>
      <c r="AJ731">
        <v>5</v>
      </c>
      <c r="AK731">
        <v>18</v>
      </c>
      <c r="AL731" t="s">
        <v>121</v>
      </c>
      <c r="AM731" t="s">
        <v>122</v>
      </c>
      <c r="AN731" t="s">
        <v>123</v>
      </c>
      <c r="AO731" t="s">
        <v>74</v>
      </c>
      <c r="AP731" t="s">
        <v>258</v>
      </c>
      <c r="AQ731" t="s">
        <v>74</v>
      </c>
      <c r="AR731" t="s">
        <v>259</v>
      </c>
      <c r="AS731" t="s">
        <v>260</v>
      </c>
      <c r="AT731" t="s">
        <v>14283</v>
      </c>
      <c r="AU731">
        <v>2022</v>
      </c>
      <c r="AV731">
        <v>9</v>
      </c>
      <c r="AW731" t="s">
        <v>74</v>
      </c>
      <c r="AX731" t="s">
        <v>74</v>
      </c>
      <c r="AY731" t="s">
        <v>74</v>
      </c>
      <c r="AZ731" t="s">
        <v>74</v>
      </c>
      <c r="BA731" t="s">
        <v>74</v>
      </c>
      <c r="BB731" t="s">
        <v>74</v>
      </c>
      <c r="BC731" t="s">
        <v>74</v>
      </c>
      <c r="BD731" t="s">
        <v>74</v>
      </c>
      <c r="BE731" t="s">
        <v>14301</v>
      </c>
      <c r="BF731" t="str">
        <f>HYPERLINK("http://dx.doi.org/10.3389/fmars.2022.844359","http://dx.doi.org/10.3389/fmars.2022.844359")</f>
        <v>http://dx.doi.org/10.3389/fmars.2022.844359</v>
      </c>
      <c r="BG731" t="s">
        <v>74</v>
      </c>
      <c r="BH731" t="s">
        <v>74</v>
      </c>
      <c r="BI731">
        <v>9</v>
      </c>
      <c r="BJ731" t="s">
        <v>263</v>
      </c>
      <c r="BK731" t="s">
        <v>100</v>
      </c>
      <c r="BL731" t="s">
        <v>264</v>
      </c>
      <c r="BM731" t="s">
        <v>14302</v>
      </c>
      <c r="BN731" t="s">
        <v>74</v>
      </c>
      <c r="BO731" t="s">
        <v>266</v>
      </c>
      <c r="BP731" t="s">
        <v>74</v>
      </c>
      <c r="BQ731" t="s">
        <v>74</v>
      </c>
      <c r="BR731" t="s">
        <v>103</v>
      </c>
      <c r="BS731" t="s">
        <v>14303</v>
      </c>
      <c r="BT731" t="str">
        <f>HYPERLINK("https%3A%2F%2Fwww.webofscience.com%2Fwos%2Fwoscc%2Ffull-record%2FWOS:000884752700001","View Full Record in Web of Science")</f>
        <v>View Full Record in Web of Science</v>
      </c>
    </row>
    <row r="732" spans="1:72" x14ac:dyDescent="0.15">
      <c r="A732" t="s">
        <v>72</v>
      </c>
      <c r="B732" t="s">
        <v>14304</v>
      </c>
      <c r="C732" t="s">
        <v>74</v>
      </c>
      <c r="D732" t="s">
        <v>74</v>
      </c>
      <c r="E732" t="s">
        <v>74</v>
      </c>
      <c r="F732" t="s">
        <v>14305</v>
      </c>
      <c r="G732" t="s">
        <v>74</v>
      </c>
      <c r="H732" t="s">
        <v>74</v>
      </c>
      <c r="I732" t="s">
        <v>14306</v>
      </c>
      <c r="J732" t="s">
        <v>3380</v>
      </c>
      <c r="K732" t="s">
        <v>74</v>
      </c>
      <c r="L732" t="s">
        <v>74</v>
      </c>
      <c r="M732" t="s">
        <v>78</v>
      </c>
      <c r="N732" t="s">
        <v>3381</v>
      </c>
      <c r="O732" t="s">
        <v>74</v>
      </c>
      <c r="P732" t="s">
        <v>74</v>
      </c>
      <c r="Q732" t="s">
        <v>74</v>
      </c>
      <c r="R732" t="s">
        <v>74</v>
      </c>
      <c r="S732" t="s">
        <v>74</v>
      </c>
      <c r="T732" t="s">
        <v>74</v>
      </c>
      <c r="U732" t="s">
        <v>74</v>
      </c>
      <c r="V732" t="s">
        <v>74</v>
      </c>
      <c r="W732" t="s">
        <v>14307</v>
      </c>
      <c r="X732" t="s">
        <v>14308</v>
      </c>
      <c r="Y732" t="s">
        <v>14309</v>
      </c>
      <c r="Z732" t="s">
        <v>14310</v>
      </c>
      <c r="AA732" t="s">
        <v>14311</v>
      </c>
      <c r="AB732" t="s">
        <v>14312</v>
      </c>
      <c r="AC732" t="s">
        <v>74</v>
      </c>
      <c r="AD732" t="s">
        <v>74</v>
      </c>
      <c r="AE732" t="s">
        <v>74</v>
      </c>
      <c r="AF732" t="s">
        <v>74</v>
      </c>
      <c r="AG732">
        <v>11</v>
      </c>
      <c r="AH732">
        <v>4</v>
      </c>
      <c r="AI732">
        <v>4</v>
      </c>
      <c r="AJ732">
        <v>5</v>
      </c>
      <c r="AK732">
        <v>13</v>
      </c>
      <c r="AL732" t="s">
        <v>149</v>
      </c>
      <c r="AM732" t="s">
        <v>150</v>
      </c>
      <c r="AN732" t="s">
        <v>151</v>
      </c>
      <c r="AO732" t="s">
        <v>3390</v>
      </c>
      <c r="AP732" t="s">
        <v>3391</v>
      </c>
      <c r="AQ732" t="s">
        <v>74</v>
      </c>
      <c r="AR732" t="s">
        <v>3380</v>
      </c>
      <c r="AS732" t="s">
        <v>3392</v>
      </c>
      <c r="AT732" t="s">
        <v>14283</v>
      </c>
      <c r="AU732">
        <v>2022</v>
      </c>
      <c r="AV732">
        <v>607</v>
      </c>
      <c r="AW732">
        <v>7918</v>
      </c>
      <c r="AX732" t="s">
        <v>74</v>
      </c>
      <c r="AY732" t="s">
        <v>74</v>
      </c>
      <c r="AZ732" t="s">
        <v>74</v>
      </c>
      <c r="BA732" t="s">
        <v>74</v>
      </c>
      <c r="BB732" t="s">
        <v>14313</v>
      </c>
      <c r="BC732" t="s">
        <v>14314</v>
      </c>
      <c r="BD732" t="s">
        <v>74</v>
      </c>
      <c r="BE732" t="s">
        <v>14315</v>
      </c>
      <c r="BF732" t="str">
        <f>HYPERLINK("http://dx.doi.org/10.1038/s41586-022-04734-w","http://dx.doi.org/10.1038/s41586-022-04734-w")</f>
        <v>http://dx.doi.org/10.1038/s41586-022-04734-w</v>
      </c>
      <c r="BG732" t="s">
        <v>74</v>
      </c>
      <c r="BH732" t="s">
        <v>74</v>
      </c>
      <c r="BI732">
        <v>3</v>
      </c>
      <c r="BJ732" t="s">
        <v>156</v>
      </c>
      <c r="BK732" t="s">
        <v>100</v>
      </c>
      <c r="BL732" t="s">
        <v>157</v>
      </c>
      <c r="BM732" t="s">
        <v>14316</v>
      </c>
      <c r="BN732">
        <v>35831601</v>
      </c>
      <c r="BO732" t="s">
        <v>74</v>
      </c>
      <c r="BP732" t="s">
        <v>74</v>
      </c>
      <c r="BQ732" t="s">
        <v>74</v>
      </c>
      <c r="BR732" t="s">
        <v>103</v>
      </c>
      <c r="BS732" t="s">
        <v>14317</v>
      </c>
      <c r="BT732" t="str">
        <f>HYPERLINK("https%3A%2F%2Fwww.webofscience.com%2Fwos%2Fwoscc%2Ffull-record%2FWOS:000825089300040","View Full Record in Web of Science")</f>
        <v>View Full Record in Web of Science</v>
      </c>
    </row>
    <row r="733" spans="1:72" x14ac:dyDescent="0.15">
      <c r="A733" t="s">
        <v>72</v>
      </c>
      <c r="B733" t="s">
        <v>14318</v>
      </c>
      <c r="C733" t="s">
        <v>74</v>
      </c>
      <c r="D733" t="s">
        <v>74</v>
      </c>
      <c r="E733" t="s">
        <v>74</v>
      </c>
      <c r="F733" t="s">
        <v>14319</v>
      </c>
      <c r="G733" t="s">
        <v>74</v>
      </c>
      <c r="H733" t="s">
        <v>74</v>
      </c>
      <c r="I733" t="s">
        <v>14320</v>
      </c>
      <c r="J733" t="s">
        <v>4990</v>
      </c>
      <c r="K733" t="s">
        <v>74</v>
      </c>
      <c r="L733" t="s">
        <v>74</v>
      </c>
      <c r="M733" t="s">
        <v>78</v>
      </c>
      <c r="N733" t="s">
        <v>79</v>
      </c>
      <c r="O733" t="s">
        <v>74</v>
      </c>
      <c r="P733" t="s">
        <v>74</v>
      </c>
      <c r="Q733" t="s">
        <v>74</v>
      </c>
      <c r="R733" t="s">
        <v>74</v>
      </c>
      <c r="S733" t="s">
        <v>74</v>
      </c>
      <c r="T733" t="s">
        <v>14321</v>
      </c>
      <c r="U733" t="s">
        <v>14322</v>
      </c>
      <c r="V733" t="s">
        <v>14323</v>
      </c>
      <c r="W733" t="s">
        <v>14324</v>
      </c>
      <c r="X733" t="s">
        <v>14325</v>
      </c>
      <c r="Y733" t="s">
        <v>14326</v>
      </c>
      <c r="Z733" t="s">
        <v>14327</v>
      </c>
      <c r="AA733" t="s">
        <v>14328</v>
      </c>
      <c r="AB733" t="s">
        <v>14329</v>
      </c>
      <c r="AC733" t="s">
        <v>14330</v>
      </c>
      <c r="AD733" t="s">
        <v>14331</v>
      </c>
      <c r="AE733" t="s">
        <v>14332</v>
      </c>
      <c r="AF733" t="s">
        <v>74</v>
      </c>
      <c r="AG733">
        <v>67</v>
      </c>
      <c r="AH733">
        <v>2</v>
      </c>
      <c r="AI733">
        <v>2</v>
      </c>
      <c r="AJ733">
        <v>1</v>
      </c>
      <c r="AK733">
        <v>2</v>
      </c>
      <c r="AL733" t="s">
        <v>2275</v>
      </c>
      <c r="AM733" t="s">
        <v>90</v>
      </c>
      <c r="AN733" t="s">
        <v>2276</v>
      </c>
      <c r="AO733" t="s">
        <v>5000</v>
      </c>
      <c r="AP733" t="s">
        <v>5001</v>
      </c>
      <c r="AQ733" t="s">
        <v>74</v>
      </c>
      <c r="AR733" t="s">
        <v>5002</v>
      </c>
      <c r="AS733" t="s">
        <v>5003</v>
      </c>
      <c r="AT733" t="s">
        <v>428</v>
      </c>
      <c r="AU733">
        <v>2022</v>
      </c>
      <c r="AV733">
        <v>118</v>
      </c>
      <c r="AW733" t="s">
        <v>74</v>
      </c>
      <c r="AX733" t="s">
        <v>74</v>
      </c>
      <c r="AY733" t="s">
        <v>74</v>
      </c>
      <c r="AZ733" t="s">
        <v>74</v>
      </c>
      <c r="BA733" t="s">
        <v>74</v>
      </c>
      <c r="BB733" t="s">
        <v>74</v>
      </c>
      <c r="BC733" t="s">
        <v>74</v>
      </c>
      <c r="BD733">
        <v>103913</v>
      </c>
      <c r="BE733" t="s">
        <v>14333</v>
      </c>
      <c r="BF733" t="str">
        <f>HYPERLINK("http://dx.doi.org/10.1016/j.jsames.2022.103913","http://dx.doi.org/10.1016/j.jsames.2022.103913")</f>
        <v>http://dx.doi.org/10.1016/j.jsames.2022.103913</v>
      </c>
      <c r="BG733" t="s">
        <v>74</v>
      </c>
      <c r="BH733" t="s">
        <v>12326</v>
      </c>
      <c r="BI733">
        <v>10</v>
      </c>
      <c r="BJ733" t="s">
        <v>129</v>
      </c>
      <c r="BK733" t="s">
        <v>100</v>
      </c>
      <c r="BL733" t="s">
        <v>130</v>
      </c>
      <c r="BM733" t="s">
        <v>14334</v>
      </c>
      <c r="BN733" t="s">
        <v>74</v>
      </c>
      <c r="BO733" t="s">
        <v>74</v>
      </c>
      <c r="BP733" t="s">
        <v>74</v>
      </c>
      <c r="BQ733" t="s">
        <v>74</v>
      </c>
      <c r="BR733" t="s">
        <v>103</v>
      </c>
      <c r="BS733" t="s">
        <v>14335</v>
      </c>
      <c r="BT733" t="str">
        <f>HYPERLINK("https%3A%2F%2Fwww.webofscience.com%2Fwos%2Fwoscc%2Ffull-record%2FWOS:000838705200001","View Full Record in Web of Science")</f>
        <v>View Full Record in Web of Science</v>
      </c>
    </row>
    <row r="734" spans="1:72" x14ac:dyDescent="0.15">
      <c r="A734" t="s">
        <v>72</v>
      </c>
      <c r="B734" t="s">
        <v>14336</v>
      </c>
      <c r="C734" t="s">
        <v>74</v>
      </c>
      <c r="D734" t="s">
        <v>74</v>
      </c>
      <c r="E734" t="s">
        <v>74</v>
      </c>
      <c r="F734" t="s">
        <v>14337</v>
      </c>
      <c r="G734" t="s">
        <v>74</v>
      </c>
      <c r="H734" t="s">
        <v>74</v>
      </c>
      <c r="I734" t="s">
        <v>14338</v>
      </c>
      <c r="J734" t="s">
        <v>3171</v>
      </c>
      <c r="K734" t="s">
        <v>74</v>
      </c>
      <c r="L734" t="s">
        <v>74</v>
      </c>
      <c r="M734" t="s">
        <v>78</v>
      </c>
      <c r="N734" t="s">
        <v>79</v>
      </c>
      <c r="O734" t="s">
        <v>74</v>
      </c>
      <c r="P734" t="s">
        <v>74</v>
      </c>
      <c r="Q734" t="s">
        <v>74</v>
      </c>
      <c r="R734" t="s">
        <v>74</v>
      </c>
      <c r="S734" t="s">
        <v>74</v>
      </c>
      <c r="T734" t="s">
        <v>14339</v>
      </c>
      <c r="U734" t="s">
        <v>14340</v>
      </c>
      <c r="V734" t="s">
        <v>14341</v>
      </c>
      <c r="W734" t="s">
        <v>14342</v>
      </c>
      <c r="X734" t="s">
        <v>14343</v>
      </c>
      <c r="Y734" t="s">
        <v>14344</v>
      </c>
      <c r="Z734" t="s">
        <v>14345</v>
      </c>
      <c r="AA734" t="s">
        <v>14346</v>
      </c>
      <c r="AB734" t="s">
        <v>14347</v>
      </c>
      <c r="AC734" t="s">
        <v>74</v>
      </c>
      <c r="AD734" t="s">
        <v>74</v>
      </c>
      <c r="AE734" t="s">
        <v>74</v>
      </c>
      <c r="AF734" t="s">
        <v>74</v>
      </c>
      <c r="AG734">
        <v>114</v>
      </c>
      <c r="AH734">
        <v>8</v>
      </c>
      <c r="AI734">
        <v>8</v>
      </c>
      <c r="AJ734">
        <v>4</v>
      </c>
      <c r="AK734">
        <v>20</v>
      </c>
      <c r="AL734" t="s">
        <v>121</v>
      </c>
      <c r="AM734" t="s">
        <v>122</v>
      </c>
      <c r="AN734" t="s">
        <v>123</v>
      </c>
      <c r="AO734" t="s">
        <v>74</v>
      </c>
      <c r="AP734" t="s">
        <v>3183</v>
      </c>
      <c r="AQ734" t="s">
        <v>74</v>
      </c>
      <c r="AR734" t="s">
        <v>3184</v>
      </c>
      <c r="AS734" t="s">
        <v>3185</v>
      </c>
      <c r="AT734" t="s">
        <v>14283</v>
      </c>
      <c r="AU734">
        <v>2022</v>
      </c>
      <c r="AV734">
        <v>13</v>
      </c>
      <c r="AW734" t="s">
        <v>74</v>
      </c>
      <c r="AX734" t="s">
        <v>74</v>
      </c>
      <c r="AY734" t="s">
        <v>74</v>
      </c>
      <c r="AZ734" t="s">
        <v>74</v>
      </c>
      <c r="BA734" t="s">
        <v>74</v>
      </c>
      <c r="BB734" t="s">
        <v>74</v>
      </c>
      <c r="BC734" t="s">
        <v>74</v>
      </c>
      <c r="BD734">
        <v>907265</v>
      </c>
      <c r="BE734" t="s">
        <v>14348</v>
      </c>
      <c r="BF734" t="str">
        <f>HYPERLINK("http://dx.doi.org/10.3389/fmicb.2022.907265","http://dx.doi.org/10.3389/fmicb.2022.907265")</f>
        <v>http://dx.doi.org/10.3389/fmicb.2022.907265</v>
      </c>
      <c r="BG734" t="s">
        <v>74</v>
      </c>
      <c r="BH734" t="s">
        <v>74</v>
      </c>
      <c r="BI734">
        <v>14</v>
      </c>
      <c r="BJ734" t="s">
        <v>214</v>
      </c>
      <c r="BK734" t="s">
        <v>100</v>
      </c>
      <c r="BL734" t="s">
        <v>214</v>
      </c>
      <c r="BM734" t="s">
        <v>14349</v>
      </c>
      <c r="BN734">
        <v>35910648</v>
      </c>
      <c r="BO734" t="s">
        <v>159</v>
      </c>
      <c r="BP734" t="s">
        <v>74</v>
      </c>
      <c r="BQ734" t="s">
        <v>74</v>
      </c>
      <c r="BR734" t="s">
        <v>103</v>
      </c>
      <c r="BS734" t="s">
        <v>14350</v>
      </c>
      <c r="BT734" t="str">
        <f>HYPERLINK("https%3A%2F%2Fwww.webofscience.com%2Fwos%2Fwoscc%2Ffull-record%2FWOS:000833840400001","View Full Record in Web of Science")</f>
        <v>View Full Record in Web of Science</v>
      </c>
    </row>
    <row r="735" spans="1:72" x14ac:dyDescent="0.15">
      <c r="A735" t="s">
        <v>72</v>
      </c>
      <c r="B735" t="s">
        <v>14351</v>
      </c>
      <c r="C735" t="s">
        <v>74</v>
      </c>
      <c r="D735" t="s">
        <v>74</v>
      </c>
      <c r="E735" t="s">
        <v>74</v>
      </c>
      <c r="F735" t="s">
        <v>14352</v>
      </c>
      <c r="G735" t="s">
        <v>74</v>
      </c>
      <c r="H735" t="s">
        <v>74</v>
      </c>
      <c r="I735" t="s">
        <v>14353</v>
      </c>
      <c r="J735" t="s">
        <v>3171</v>
      </c>
      <c r="K735" t="s">
        <v>74</v>
      </c>
      <c r="L735" t="s">
        <v>74</v>
      </c>
      <c r="M735" t="s">
        <v>78</v>
      </c>
      <c r="N735" t="s">
        <v>79</v>
      </c>
      <c r="O735" t="s">
        <v>74</v>
      </c>
      <c r="P735" t="s">
        <v>74</v>
      </c>
      <c r="Q735" t="s">
        <v>74</v>
      </c>
      <c r="R735" t="s">
        <v>74</v>
      </c>
      <c r="S735" t="s">
        <v>74</v>
      </c>
      <c r="T735" t="s">
        <v>14354</v>
      </c>
      <c r="U735" t="s">
        <v>14355</v>
      </c>
      <c r="V735" t="s">
        <v>14356</v>
      </c>
      <c r="W735" t="s">
        <v>14357</v>
      </c>
      <c r="X735" t="s">
        <v>14358</v>
      </c>
      <c r="Y735" t="s">
        <v>14359</v>
      </c>
      <c r="Z735" t="s">
        <v>14360</v>
      </c>
      <c r="AA735" t="s">
        <v>14361</v>
      </c>
      <c r="AB735" t="s">
        <v>14362</v>
      </c>
      <c r="AC735" t="s">
        <v>14363</v>
      </c>
      <c r="AD735" t="s">
        <v>14364</v>
      </c>
      <c r="AE735" t="s">
        <v>14365</v>
      </c>
      <c r="AF735" t="s">
        <v>74</v>
      </c>
      <c r="AG735">
        <v>46</v>
      </c>
      <c r="AH735">
        <v>2</v>
      </c>
      <c r="AI735">
        <v>2</v>
      </c>
      <c r="AJ735">
        <v>5</v>
      </c>
      <c r="AK735">
        <v>18</v>
      </c>
      <c r="AL735" t="s">
        <v>121</v>
      </c>
      <c r="AM735" t="s">
        <v>122</v>
      </c>
      <c r="AN735" t="s">
        <v>123</v>
      </c>
      <c r="AO735" t="s">
        <v>74</v>
      </c>
      <c r="AP735" t="s">
        <v>3183</v>
      </c>
      <c r="AQ735" t="s">
        <v>74</v>
      </c>
      <c r="AR735" t="s">
        <v>3184</v>
      </c>
      <c r="AS735" t="s">
        <v>3185</v>
      </c>
      <c r="AT735" t="s">
        <v>14283</v>
      </c>
      <c r="AU735">
        <v>2022</v>
      </c>
      <c r="AV735">
        <v>13</v>
      </c>
      <c r="AW735" t="s">
        <v>74</v>
      </c>
      <c r="AX735" t="s">
        <v>74</v>
      </c>
      <c r="AY735" t="s">
        <v>74</v>
      </c>
      <c r="AZ735" t="s">
        <v>74</v>
      </c>
      <c r="BA735" t="s">
        <v>74</v>
      </c>
      <c r="BB735" t="s">
        <v>74</v>
      </c>
      <c r="BC735" t="s">
        <v>74</v>
      </c>
      <c r="BD735">
        <v>935497</v>
      </c>
      <c r="BE735" t="s">
        <v>14366</v>
      </c>
      <c r="BF735" t="str">
        <f>HYPERLINK("http://dx.doi.org/10.3389/fmicb.2022.935497","http://dx.doi.org/10.3389/fmicb.2022.935497")</f>
        <v>http://dx.doi.org/10.3389/fmicb.2022.935497</v>
      </c>
      <c r="BG735" t="s">
        <v>74</v>
      </c>
      <c r="BH735" t="s">
        <v>74</v>
      </c>
      <c r="BI735">
        <v>15</v>
      </c>
      <c r="BJ735" t="s">
        <v>214</v>
      </c>
      <c r="BK735" t="s">
        <v>100</v>
      </c>
      <c r="BL735" t="s">
        <v>214</v>
      </c>
      <c r="BM735" t="s">
        <v>14367</v>
      </c>
      <c r="BN735">
        <v>35910630</v>
      </c>
      <c r="BO735" t="s">
        <v>132</v>
      </c>
      <c r="BP735" t="s">
        <v>74</v>
      </c>
      <c r="BQ735" t="s">
        <v>74</v>
      </c>
      <c r="BR735" t="s">
        <v>103</v>
      </c>
      <c r="BS735" t="s">
        <v>14368</v>
      </c>
      <c r="BT735" t="str">
        <f>HYPERLINK("https%3A%2F%2Fwww.webofscience.com%2Fwos%2Fwoscc%2Ffull-record%2FWOS:000834049600001","View Full Record in Web of Science")</f>
        <v>View Full Record in Web of Science</v>
      </c>
    </row>
    <row r="736" spans="1:72" x14ac:dyDescent="0.15">
      <c r="A736" t="s">
        <v>72</v>
      </c>
      <c r="B736" t="s">
        <v>14369</v>
      </c>
      <c r="C736" t="s">
        <v>74</v>
      </c>
      <c r="D736" t="s">
        <v>74</v>
      </c>
      <c r="E736" t="s">
        <v>74</v>
      </c>
      <c r="F736" t="s">
        <v>14370</v>
      </c>
      <c r="G736" t="s">
        <v>74</v>
      </c>
      <c r="H736" t="s">
        <v>74</v>
      </c>
      <c r="I736" t="s">
        <v>14371</v>
      </c>
      <c r="J736" t="s">
        <v>12764</v>
      </c>
      <c r="K736" t="s">
        <v>74</v>
      </c>
      <c r="L736" t="s">
        <v>74</v>
      </c>
      <c r="M736" t="s">
        <v>78</v>
      </c>
      <c r="N736" t="s">
        <v>79</v>
      </c>
      <c r="O736" t="s">
        <v>74</v>
      </c>
      <c r="P736" t="s">
        <v>74</v>
      </c>
      <c r="Q736" t="s">
        <v>74</v>
      </c>
      <c r="R736" t="s">
        <v>74</v>
      </c>
      <c r="S736" t="s">
        <v>74</v>
      </c>
      <c r="T736" t="s">
        <v>14372</v>
      </c>
      <c r="U736" t="s">
        <v>14373</v>
      </c>
      <c r="V736" t="s">
        <v>14374</v>
      </c>
      <c r="W736" t="s">
        <v>14375</v>
      </c>
      <c r="X736" t="s">
        <v>14376</v>
      </c>
      <c r="Y736" t="s">
        <v>14377</v>
      </c>
      <c r="Z736" t="s">
        <v>14378</v>
      </c>
      <c r="AA736" t="s">
        <v>14379</v>
      </c>
      <c r="AB736" t="s">
        <v>14380</v>
      </c>
      <c r="AC736" t="s">
        <v>14381</v>
      </c>
      <c r="AD736" t="s">
        <v>14382</v>
      </c>
      <c r="AE736" t="s">
        <v>14383</v>
      </c>
      <c r="AF736" t="s">
        <v>74</v>
      </c>
      <c r="AG736">
        <v>61</v>
      </c>
      <c r="AH736">
        <v>1</v>
      </c>
      <c r="AI736">
        <v>1</v>
      </c>
      <c r="AJ736">
        <v>0</v>
      </c>
      <c r="AK736">
        <v>3</v>
      </c>
      <c r="AL736" t="s">
        <v>12776</v>
      </c>
      <c r="AM736" t="s">
        <v>12777</v>
      </c>
      <c r="AN736" t="s">
        <v>12778</v>
      </c>
      <c r="AO736" t="s">
        <v>12779</v>
      </c>
      <c r="AP736" t="s">
        <v>12780</v>
      </c>
      <c r="AQ736" t="s">
        <v>74</v>
      </c>
      <c r="AR736" t="s">
        <v>12764</v>
      </c>
      <c r="AS736" t="s">
        <v>12781</v>
      </c>
      <c r="AT736" t="s">
        <v>14283</v>
      </c>
      <c r="AU736">
        <v>2022</v>
      </c>
      <c r="AV736">
        <v>5165</v>
      </c>
      <c r="AW736">
        <v>2</v>
      </c>
      <c r="AX736" t="s">
        <v>74</v>
      </c>
      <c r="AY736" t="s">
        <v>74</v>
      </c>
      <c r="AZ736" t="s">
        <v>74</v>
      </c>
      <c r="BA736" t="s">
        <v>74</v>
      </c>
      <c r="BB736">
        <v>217</v>
      </c>
      <c r="BC736">
        <v>240</v>
      </c>
      <c r="BD736" t="s">
        <v>74</v>
      </c>
      <c r="BE736" t="s">
        <v>14384</v>
      </c>
      <c r="BF736" t="str">
        <f>HYPERLINK("http://dx.doi.org/10.11646/zootaxa.5165.2.4","http://dx.doi.org/10.11646/zootaxa.5165.2.4")</f>
        <v>http://dx.doi.org/10.11646/zootaxa.5165.2.4</v>
      </c>
      <c r="BG736" t="s">
        <v>74</v>
      </c>
      <c r="BH736" t="s">
        <v>74</v>
      </c>
      <c r="BI736">
        <v>24</v>
      </c>
      <c r="BJ736" t="s">
        <v>2211</v>
      </c>
      <c r="BK736" t="s">
        <v>100</v>
      </c>
      <c r="BL736" t="s">
        <v>2211</v>
      </c>
      <c r="BM736" t="s">
        <v>14385</v>
      </c>
      <c r="BN736">
        <v>36095471</v>
      </c>
      <c r="BO736" t="s">
        <v>74</v>
      </c>
      <c r="BP736" t="s">
        <v>74</v>
      </c>
      <c r="BQ736" t="s">
        <v>74</v>
      </c>
      <c r="BR736" t="s">
        <v>103</v>
      </c>
      <c r="BS736" t="s">
        <v>14386</v>
      </c>
      <c r="BT736" t="str">
        <f>HYPERLINK("https%3A%2F%2Fwww.webofscience.com%2Fwos%2Fwoscc%2Ffull-record%2FWOS:000830626900004","View Full Record in Web of Science")</f>
        <v>View Full Record in Web of Science</v>
      </c>
    </row>
    <row r="737" spans="1:72" x14ac:dyDescent="0.15">
      <c r="A737" t="s">
        <v>72</v>
      </c>
      <c r="B737" t="s">
        <v>14387</v>
      </c>
      <c r="C737" t="s">
        <v>74</v>
      </c>
      <c r="D737" t="s">
        <v>74</v>
      </c>
      <c r="E737" t="s">
        <v>74</v>
      </c>
      <c r="F737" t="s">
        <v>14388</v>
      </c>
      <c r="G737" t="s">
        <v>74</v>
      </c>
      <c r="H737" t="s">
        <v>74</v>
      </c>
      <c r="I737" t="s">
        <v>14389</v>
      </c>
      <c r="J737" t="s">
        <v>12764</v>
      </c>
      <c r="K737" t="s">
        <v>74</v>
      </c>
      <c r="L737" t="s">
        <v>74</v>
      </c>
      <c r="M737" t="s">
        <v>78</v>
      </c>
      <c r="N737" t="s">
        <v>79</v>
      </c>
      <c r="O737" t="s">
        <v>74</v>
      </c>
      <c r="P737" t="s">
        <v>74</v>
      </c>
      <c r="Q737" t="s">
        <v>74</v>
      </c>
      <c r="R737" t="s">
        <v>74</v>
      </c>
      <c r="S737" t="s">
        <v>74</v>
      </c>
      <c r="T737" t="s">
        <v>14390</v>
      </c>
      <c r="U737" t="s">
        <v>74</v>
      </c>
      <c r="V737" t="s">
        <v>14391</v>
      </c>
      <c r="W737" t="s">
        <v>14392</v>
      </c>
      <c r="X737" t="s">
        <v>3176</v>
      </c>
      <c r="Y737" t="s">
        <v>14393</v>
      </c>
      <c r="Z737" t="s">
        <v>14394</v>
      </c>
      <c r="AA737" t="s">
        <v>74</v>
      </c>
      <c r="AB737" t="s">
        <v>14395</v>
      </c>
      <c r="AC737" t="s">
        <v>14396</v>
      </c>
      <c r="AD737" t="s">
        <v>14396</v>
      </c>
      <c r="AE737" t="s">
        <v>14397</v>
      </c>
      <c r="AF737" t="s">
        <v>74</v>
      </c>
      <c r="AG737">
        <v>32</v>
      </c>
      <c r="AH737">
        <v>1</v>
      </c>
      <c r="AI737">
        <v>1</v>
      </c>
      <c r="AJ737">
        <v>0</v>
      </c>
      <c r="AK737">
        <v>1</v>
      </c>
      <c r="AL737" t="s">
        <v>12776</v>
      </c>
      <c r="AM737" t="s">
        <v>12777</v>
      </c>
      <c r="AN737" t="s">
        <v>12778</v>
      </c>
      <c r="AO737" t="s">
        <v>12779</v>
      </c>
      <c r="AP737" t="s">
        <v>12780</v>
      </c>
      <c r="AQ737" t="s">
        <v>74</v>
      </c>
      <c r="AR737" t="s">
        <v>12764</v>
      </c>
      <c r="AS737" t="s">
        <v>12781</v>
      </c>
      <c r="AT737" t="s">
        <v>14283</v>
      </c>
      <c r="AU737">
        <v>2022</v>
      </c>
      <c r="AV737">
        <v>5165</v>
      </c>
      <c r="AW737">
        <v>2</v>
      </c>
      <c r="AX737" t="s">
        <v>74</v>
      </c>
      <c r="AY737" t="s">
        <v>74</v>
      </c>
      <c r="AZ737" t="s">
        <v>74</v>
      </c>
      <c r="BA737" t="s">
        <v>74</v>
      </c>
      <c r="BB737">
        <v>274</v>
      </c>
      <c r="BC737">
        <v>286</v>
      </c>
      <c r="BD737" t="s">
        <v>74</v>
      </c>
      <c r="BE737" t="s">
        <v>14398</v>
      </c>
      <c r="BF737" t="str">
        <f>HYPERLINK("http://dx.doi.org/10.11646/zootaxa.5165.2.7","http://dx.doi.org/10.11646/zootaxa.5165.2.7")</f>
        <v>http://dx.doi.org/10.11646/zootaxa.5165.2.7</v>
      </c>
      <c r="BG737" t="s">
        <v>74</v>
      </c>
      <c r="BH737" t="s">
        <v>74</v>
      </c>
      <c r="BI737">
        <v>13</v>
      </c>
      <c r="BJ737" t="s">
        <v>2211</v>
      </c>
      <c r="BK737" t="s">
        <v>100</v>
      </c>
      <c r="BL737" t="s">
        <v>2211</v>
      </c>
      <c r="BM737" t="s">
        <v>14399</v>
      </c>
      <c r="BN737">
        <v>36095468</v>
      </c>
      <c r="BO737" t="s">
        <v>74</v>
      </c>
      <c r="BP737" t="s">
        <v>74</v>
      </c>
      <c r="BQ737" t="s">
        <v>74</v>
      </c>
      <c r="BR737" t="s">
        <v>103</v>
      </c>
      <c r="BS737" t="s">
        <v>14400</v>
      </c>
      <c r="BT737" t="str">
        <f>HYPERLINK("https%3A%2F%2Fwww.webofscience.com%2Fwos%2Fwoscc%2Ffull-record%2FWOS:000829969400002","View Full Record in Web of Science")</f>
        <v>View Full Record in Web of Science</v>
      </c>
    </row>
    <row r="738" spans="1:72" x14ac:dyDescent="0.15">
      <c r="A738" t="s">
        <v>72</v>
      </c>
      <c r="B738" t="s">
        <v>14401</v>
      </c>
      <c r="C738" t="s">
        <v>74</v>
      </c>
      <c r="D738" t="s">
        <v>74</v>
      </c>
      <c r="E738" t="s">
        <v>74</v>
      </c>
      <c r="F738" t="s">
        <v>14402</v>
      </c>
      <c r="G738" t="s">
        <v>74</v>
      </c>
      <c r="H738" t="s">
        <v>74</v>
      </c>
      <c r="I738" t="s">
        <v>14403</v>
      </c>
      <c r="J738" t="s">
        <v>14404</v>
      </c>
      <c r="K738" t="s">
        <v>74</v>
      </c>
      <c r="L738" t="s">
        <v>74</v>
      </c>
      <c r="M738" t="s">
        <v>78</v>
      </c>
      <c r="N738" t="s">
        <v>79</v>
      </c>
      <c r="O738" t="s">
        <v>74</v>
      </c>
      <c r="P738" t="s">
        <v>74</v>
      </c>
      <c r="Q738" t="s">
        <v>74</v>
      </c>
      <c r="R738" t="s">
        <v>74</v>
      </c>
      <c r="S738" t="s">
        <v>74</v>
      </c>
      <c r="T738" t="s">
        <v>14405</v>
      </c>
      <c r="U738" t="s">
        <v>14406</v>
      </c>
      <c r="V738" t="s">
        <v>14407</v>
      </c>
      <c r="W738" t="s">
        <v>14408</v>
      </c>
      <c r="X738" t="s">
        <v>14409</v>
      </c>
      <c r="Y738" t="s">
        <v>14410</v>
      </c>
      <c r="Z738" t="s">
        <v>14411</v>
      </c>
      <c r="AA738" t="s">
        <v>74</v>
      </c>
      <c r="AB738" t="s">
        <v>74</v>
      </c>
      <c r="AC738" t="s">
        <v>14412</v>
      </c>
      <c r="AD738" t="s">
        <v>14413</v>
      </c>
      <c r="AE738" t="s">
        <v>14414</v>
      </c>
      <c r="AF738" t="s">
        <v>74</v>
      </c>
      <c r="AG738">
        <v>75</v>
      </c>
      <c r="AH738">
        <v>1</v>
      </c>
      <c r="AI738">
        <v>1</v>
      </c>
      <c r="AJ738">
        <v>6</v>
      </c>
      <c r="AK738">
        <v>18</v>
      </c>
      <c r="AL738" t="s">
        <v>178</v>
      </c>
      <c r="AM738" t="s">
        <v>179</v>
      </c>
      <c r="AN738" t="s">
        <v>180</v>
      </c>
      <c r="AO738" t="s">
        <v>14415</v>
      </c>
      <c r="AP738" t="s">
        <v>14416</v>
      </c>
      <c r="AQ738" t="s">
        <v>74</v>
      </c>
      <c r="AR738" t="s">
        <v>14417</v>
      </c>
      <c r="AS738" t="s">
        <v>14418</v>
      </c>
      <c r="AT738" t="s">
        <v>5386</v>
      </c>
      <c r="AU738">
        <v>2022</v>
      </c>
      <c r="AV738">
        <v>48</v>
      </c>
      <c r="AW738">
        <v>4</v>
      </c>
      <c r="AX738" t="s">
        <v>74</v>
      </c>
      <c r="AY738" t="s">
        <v>74</v>
      </c>
      <c r="AZ738" t="s">
        <v>74</v>
      </c>
      <c r="BA738" t="s">
        <v>74</v>
      </c>
      <c r="BB738">
        <v>1057</v>
      </c>
      <c r="BC738">
        <v>1073</v>
      </c>
      <c r="BD738" t="s">
        <v>74</v>
      </c>
      <c r="BE738" t="s">
        <v>14419</v>
      </c>
      <c r="BF738" t="str">
        <f>HYPERLINK("http://dx.doi.org/10.1007/s10695-022-01102-3","http://dx.doi.org/10.1007/s10695-022-01102-3")</f>
        <v>http://dx.doi.org/10.1007/s10695-022-01102-3</v>
      </c>
      <c r="BG738" t="s">
        <v>74</v>
      </c>
      <c r="BH738" t="s">
        <v>12326</v>
      </c>
      <c r="BI738">
        <v>17</v>
      </c>
      <c r="BJ738" t="s">
        <v>14420</v>
      </c>
      <c r="BK738" t="s">
        <v>100</v>
      </c>
      <c r="BL738" t="s">
        <v>14420</v>
      </c>
      <c r="BM738" t="s">
        <v>14421</v>
      </c>
      <c r="BN738">
        <v>35834112</v>
      </c>
      <c r="BO738" t="s">
        <v>74</v>
      </c>
      <c r="BP738" t="s">
        <v>74</v>
      </c>
      <c r="BQ738" t="s">
        <v>74</v>
      </c>
      <c r="BR738" t="s">
        <v>103</v>
      </c>
      <c r="BS738" t="s">
        <v>14422</v>
      </c>
      <c r="BT738" t="str">
        <f>HYPERLINK("https%3A%2F%2Fwww.webofscience.com%2Fwos%2Fwoscc%2Ffull-record%2FWOS:000825218600001","View Full Record in Web of Science")</f>
        <v>View Full Record in Web of Science</v>
      </c>
    </row>
    <row r="739" spans="1:72" x14ac:dyDescent="0.15">
      <c r="A739" t="s">
        <v>72</v>
      </c>
      <c r="B739" t="s">
        <v>14423</v>
      </c>
      <c r="C739" t="s">
        <v>74</v>
      </c>
      <c r="D739" t="s">
        <v>74</v>
      </c>
      <c r="E739" t="s">
        <v>74</v>
      </c>
      <c r="F739" t="s">
        <v>14424</v>
      </c>
      <c r="G739" t="s">
        <v>74</v>
      </c>
      <c r="H739" t="s">
        <v>74</v>
      </c>
      <c r="I739" t="s">
        <v>14425</v>
      </c>
      <c r="J739" t="s">
        <v>10340</v>
      </c>
      <c r="K739" t="s">
        <v>74</v>
      </c>
      <c r="L739" t="s">
        <v>74</v>
      </c>
      <c r="M739" t="s">
        <v>78</v>
      </c>
      <c r="N739" t="s">
        <v>79</v>
      </c>
      <c r="O739" t="s">
        <v>74</v>
      </c>
      <c r="P739" t="s">
        <v>74</v>
      </c>
      <c r="Q739" t="s">
        <v>74</v>
      </c>
      <c r="R739" t="s">
        <v>74</v>
      </c>
      <c r="S739" t="s">
        <v>74</v>
      </c>
      <c r="T739" t="s">
        <v>74</v>
      </c>
      <c r="U739" t="s">
        <v>14426</v>
      </c>
      <c r="V739" t="s">
        <v>14427</v>
      </c>
      <c r="W739" t="s">
        <v>14428</v>
      </c>
      <c r="X739" t="s">
        <v>14429</v>
      </c>
      <c r="Y739" t="s">
        <v>14430</v>
      </c>
      <c r="Z739" t="s">
        <v>14431</v>
      </c>
      <c r="AA739" t="s">
        <v>14432</v>
      </c>
      <c r="AB739" t="s">
        <v>14433</v>
      </c>
      <c r="AC739" t="s">
        <v>14434</v>
      </c>
      <c r="AD739" t="s">
        <v>14435</v>
      </c>
      <c r="AE739" t="s">
        <v>14436</v>
      </c>
      <c r="AF739" t="s">
        <v>74</v>
      </c>
      <c r="AG739">
        <v>129</v>
      </c>
      <c r="AH739">
        <v>4</v>
      </c>
      <c r="AI739">
        <v>5</v>
      </c>
      <c r="AJ739">
        <v>1</v>
      </c>
      <c r="AK739">
        <v>10</v>
      </c>
      <c r="AL739" t="s">
        <v>3450</v>
      </c>
      <c r="AM739" t="s">
        <v>346</v>
      </c>
      <c r="AN739" t="s">
        <v>3451</v>
      </c>
      <c r="AO739" t="s">
        <v>74</v>
      </c>
      <c r="AP739" t="s">
        <v>10351</v>
      </c>
      <c r="AQ739" t="s">
        <v>74</v>
      </c>
      <c r="AR739" t="s">
        <v>10352</v>
      </c>
      <c r="AS739" t="s">
        <v>10353</v>
      </c>
      <c r="AT739" t="s">
        <v>14283</v>
      </c>
      <c r="AU739">
        <v>2022</v>
      </c>
      <c r="AV739">
        <v>2</v>
      </c>
      <c r="AW739">
        <v>4</v>
      </c>
      <c r="AX739" t="s">
        <v>74</v>
      </c>
      <c r="AY739" t="s">
        <v>74</v>
      </c>
      <c r="AZ739" t="s">
        <v>74</v>
      </c>
      <c r="BA739" t="s">
        <v>74</v>
      </c>
      <c r="BB739">
        <v>574</v>
      </c>
      <c r="BC739">
        <v>590</v>
      </c>
      <c r="BD739" t="s">
        <v>74</v>
      </c>
      <c r="BE739" t="s">
        <v>14437</v>
      </c>
      <c r="BF739" t="str">
        <f>HYPERLINK("http://dx.doi.org/10.1039/d2ea00013j","http://dx.doi.org/10.1039/d2ea00013j")</f>
        <v>http://dx.doi.org/10.1039/d2ea00013j</v>
      </c>
      <c r="BG739" t="s">
        <v>74</v>
      </c>
      <c r="BH739" t="s">
        <v>74</v>
      </c>
      <c r="BI739">
        <v>18</v>
      </c>
      <c r="BJ739" t="s">
        <v>1129</v>
      </c>
      <c r="BK739" t="s">
        <v>215</v>
      </c>
      <c r="BL739" t="s">
        <v>1130</v>
      </c>
      <c r="BM739" t="s">
        <v>14438</v>
      </c>
      <c r="BN739" t="s">
        <v>74</v>
      </c>
      <c r="BO739" t="s">
        <v>305</v>
      </c>
      <c r="BP739" t="s">
        <v>74</v>
      </c>
      <c r="BQ739" t="s">
        <v>74</v>
      </c>
      <c r="BR739" t="s">
        <v>103</v>
      </c>
      <c r="BS739" t="s">
        <v>14439</v>
      </c>
      <c r="BT739" t="str">
        <f>HYPERLINK("https%3A%2F%2Fwww.webofscience.com%2Fwos%2Fwoscc%2Ffull-record%2FWOS:000826362600001","View Full Record in Web of Science")</f>
        <v>View Full Record in Web of Science</v>
      </c>
    </row>
    <row r="740" spans="1:72" x14ac:dyDescent="0.15">
      <c r="A740" t="s">
        <v>72</v>
      </c>
      <c r="B740" t="s">
        <v>14440</v>
      </c>
      <c r="C740" t="s">
        <v>74</v>
      </c>
      <c r="D740" t="s">
        <v>74</v>
      </c>
      <c r="E740" t="s">
        <v>74</v>
      </c>
      <c r="F740" t="s">
        <v>14441</v>
      </c>
      <c r="G740" t="s">
        <v>74</v>
      </c>
      <c r="H740" t="s">
        <v>74</v>
      </c>
      <c r="I740" t="s">
        <v>14442</v>
      </c>
      <c r="J740" t="s">
        <v>14443</v>
      </c>
      <c r="K740" t="s">
        <v>74</v>
      </c>
      <c r="L740" t="s">
        <v>74</v>
      </c>
      <c r="M740" t="s">
        <v>78</v>
      </c>
      <c r="N740" t="s">
        <v>79</v>
      </c>
      <c r="O740" t="s">
        <v>74</v>
      </c>
      <c r="P740" t="s">
        <v>74</v>
      </c>
      <c r="Q740" t="s">
        <v>74</v>
      </c>
      <c r="R740" t="s">
        <v>74</v>
      </c>
      <c r="S740" t="s">
        <v>74</v>
      </c>
      <c r="T740" t="s">
        <v>14444</v>
      </c>
      <c r="U740" t="s">
        <v>14445</v>
      </c>
      <c r="V740" t="s">
        <v>14446</v>
      </c>
      <c r="W740" t="s">
        <v>14447</v>
      </c>
      <c r="X740" t="s">
        <v>14448</v>
      </c>
      <c r="Y740" t="s">
        <v>14449</v>
      </c>
      <c r="Z740" t="s">
        <v>14450</v>
      </c>
      <c r="AA740" t="s">
        <v>14451</v>
      </c>
      <c r="AB740" t="s">
        <v>14452</v>
      </c>
      <c r="AC740" t="s">
        <v>14453</v>
      </c>
      <c r="AD740" t="s">
        <v>14454</v>
      </c>
      <c r="AE740" t="s">
        <v>14455</v>
      </c>
      <c r="AF740" t="s">
        <v>74</v>
      </c>
      <c r="AG740">
        <v>94</v>
      </c>
      <c r="AH740">
        <v>9</v>
      </c>
      <c r="AI740">
        <v>9</v>
      </c>
      <c r="AJ740">
        <v>7</v>
      </c>
      <c r="AK740">
        <v>14</v>
      </c>
      <c r="AL740" t="s">
        <v>14456</v>
      </c>
      <c r="AM740" t="s">
        <v>14457</v>
      </c>
      <c r="AN740" t="s">
        <v>14458</v>
      </c>
      <c r="AO740" t="s">
        <v>74</v>
      </c>
      <c r="AP740" t="s">
        <v>14459</v>
      </c>
      <c r="AQ740" t="s">
        <v>74</v>
      </c>
      <c r="AR740" t="s">
        <v>14460</v>
      </c>
      <c r="AS740" t="s">
        <v>14461</v>
      </c>
      <c r="AT740" t="s">
        <v>74</v>
      </c>
      <c r="AU740">
        <v>2022</v>
      </c>
      <c r="AV740">
        <v>72</v>
      </c>
      <c r="AW740">
        <v>2</v>
      </c>
      <c r="AX740" t="s">
        <v>74</v>
      </c>
      <c r="AY740" t="s">
        <v>74</v>
      </c>
      <c r="AZ740" t="s">
        <v>74</v>
      </c>
      <c r="BA740" t="s">
        <v>74</v>
      </c>
      <c r="BB740">
        <v>93</v>
      </c>
      <c r="BC740">
        <v>116</v>
      </c>
      <c r="BD740" t="s">
        <v>74</v>
      </c>
      <c r="BE740" t="s">
        <v>14462</v>
      </c>
      <c r="BF740" t="str">
        <f>HYPERLINK("http://dx.doi.org/10.1071/ES21031","http://dx.doi.org/10.1071/ES21031")</f>
        <v>http://dx.doi.org/10.1071/ES21031</v>
      </c>
      <c r="BG740" t="s">
        <v>74</v>
      </c>
      <c r="BH740" t="s">
        <v>12326</v>
      </c>
      <c r="BI740">
        <v>24</v>
      </c>
      <c r="BJ740" t="s">
        <v>1033</v>
      </c>
      <c r="BK740" t="s">
        <v>100</v>
      </c>
      <c r="BL740" t="s">
        <v>1033</v>
      </c>
      <c r="BM740" t="s">
        <v>14463</v>
      </c>
      <c r="BN740" t="s">
        <v>74</v>
      </c>
      <c r="BO740" t="s">
        <v>5447</v>
      </c>
      <c r="BP740" t="s">
        <v>74</v>
      </c>
      <c r="BQ740" t="s">
        <v>74</v>
      </c>
      <c r="BR740" t="s">
        <v>103</v>
      </c>
      <c r="BS740" t="s">
        <v>14464</v>
      </c>
      <c r="BT740" t="str">
        <f>HYPERLINK("https%3A%2F%2Fwww.webofscience.com%2Fwos%2Fwoscc%2Ffull-record%2FWOS:000824633900001","View Full Record in Web of Science")</f>
        <v>View Full Record in Web of Science</v>
      </c>
    </row>
    <row r="741" spans="1:72" x14ac:dyDescent="0.15">
      <c r="A741" t="s">
        <v>72</v>
      </c>
      <c r="B741" t="s">
        <v>14465</v>
      </c>
      <c r="C741" t="s">
        <v>74</v>
      </c>
      <c r="D741" t="s">
        <v>74</v>
      </c>
      <c r="E741" t="s">
        <v>74</v>
      </c>
      <c r="F741" t="s">
        <v>14466</v>
      </c>
      <c r="G741" t="s">
        <v>74</v>
      </c>
      <c r="H741" t="s">
        <v>74</v>
      </c>
      <c r="I741" t="s">
        <v>14467</v>
      </c>
      <c r="J741" t="s">
        <v>14468</v>
      </c>
      <c r="K741" t="s">
        <v>74</v>
      </c>
      <c r="L741" t="s">
        <v>74</v>
      </c>
      <c r="M741" t="s">
        <v>78</v>
      </c>
      <c r="N741" t="s">
        <v>79</v>
      </c>
      <c r="O741" t="s">
        <v>74</v>
      </c>
      <c r="P741" t="s">
        <v>74</v>
      </c>
      <c r="Q741" t="s">
        <v>74</v>
      </c>
      <c r="R741" t="s">
        <v>74</v>
      </c>
      <c r="S741" t="s">
        <v>74</v>
      </c>
      <c r="T741" t="s">
        <v>14469</v>
      </c>
      <c r="U741" t="s">
        <v>14470</v>
      </c>
      <c r="V741" t="s">
        <v>14471</v>
      </c>
      <c r="W741" t="s">
        <v>14472</v>
      </c>
      <c r="X741" t="s">
        <v>14473</v>
      </c>
      <c r="Y741" t="s">
        <v>14474</v>
      </c>
      <c r="Z741" t="s">
        <v>14475</v>
      </c>
      <c r="AA741" t="s">
        <v>74</v>
      </c>
      <c r="AB741" t="s">
        <v>10515</v>
      </c>
      <c r="AC741" t="s">
        <v>14476</v>
      </c>
      <c r="AD741" t="s">
        <v>14477</v>
      </c>
      <c r="AE741" t="s">
        <v>14478</v>
      </c>
      <c r="AF741" t="s">
        <v>74</v>
      </c>
      <c r="AG741">
        <v>62</v>
      </c>
      <c r="AH741">
        <v>0</v>
      </c>
      <c r="AI741">
        <v>0</v>
      </c>
      <c r="AJ741">
        <v>4</v>
      </c>
      <c r="AK741">
        <v>12</v>
      </c>
      <c r="AL741" t="s">
        <v>178</v>
      </c>
      <c r="AM741" t="s">
        <v>179</v>
      </c>
      <c r="AN741" t="s">
        <v>180</v>
      </c>
      <c r="AO741" t="s">
        <v>14479</v>
      </c>
      <c r="AP741" t="s">
        <v>14480</v>
      </c>
      <c r="AQ741" t="s">
        <v>74</v>
      </c>
      <c r="AR741" t="s">
        <v>14481</v>
      </c>
      <c r="AS741" t="s">
        <v>14482</v>
      </c>
      <c r="AT741" t="s">
        <v>3605</v>
      </c>
      <c r="AU741">
        <v>2022</v>
      </c>
      <c r="AV741">
        <v>14</v>
      </c>
      <c r="AW741">
        <v>3</v>
      </c>
      <c r="AX741" t="s">
        <v>74</v>
      </c>
      <c r="AY741" t="s">
        <v>74</v>
      </c>
      <c r="AZ741" t="s">
        <v>74</v>
      </c>
      <c r="BA741" t="s">
        <v>74</v>
      </c>
      <c r="BB741">
        <v>281</v>
      </c>
      <c r="BC741">
        <v>289</v>
      </c>
      <c r="BD741" t="s">
        <v>74</v>
      </c>
      <c r="BE741" t="s">
        <v>14483</v>
      </c>
      <c r="BF741" t="str">
        <f>HYPERLINK("http://dx.doi.org/10.1007/s12686-022-01273-4","http://dx.doi.org/10.1007/s12686-022-01273-4")</f>
        <v>http://dx.doi.org/10.1007/s12686-022-01273-4</v>
      </c>
      <c r="BG741" t="s">
        <v>74</v>
      </c>
      <c r="BH741" t="s">
        <v>12326</v>
      </c>
      <c r="BI741">
        <v>9</v>
      </c>
      <c r="BJ741" t="s">
        <v>14484</v>
      </c>
      <c r="BK741" t="s">
        <v>100</v>
      </c>
      <c r="BL741" t="s">
        <v>14485</v>
      </c>
      <c r="BM741" t="s">
        <v>14486</v>
      </c>
      <c r="BN741" t="s">
        <v>74</v>
      </c>
      <c r="BO741" t="s">
        <v>3327</v>
      </c>
      <c r="BP741" t="s">
        <v>74</v>
      </c>
      <c r="BQ741" t="s">
        <v>74</v>
      </c>
      <c r="BR741" t="s">
        <v>103</v>
      </c>
      <c r="BS741" t="s">
        <v>14487</v>
      </c>
      <c r="BT741" t="str">
        <f>HYPERLINK("https%3A%2F%2Fwww.webofscience.com%2Fwos%2Fwoscc%2Ffull-record%2FWOS:000825201700001","View Full Record in Web of Science")</f>
        <v>View Full Record in Web of Science</v>
      </c>
    </row>
    <row r="742" spans="1:72" x14ac:dyDescent="0.15">
      <c r="A742" t="s">
        <v>72</v>
      </c>
      <c r="B742" t="s">
        <v>14488</v>
      </c>
      <c r="C742" t="s">
        <v>74</v>
      </c>
      <c r="D742" t="s">
        <v>74</v>
      </c>
      <c r="E742" t="s">
        <v>74</v>
      </c>
      <c r="F742" t="s">
        <v>14489</v>
      </c>
      <c r="G742" t="s">
        <v>74</v>
      </c>
      <c r="H742" t="s">
        <v>74</v>
      </c>
      <c r="I742" t="s">
        <v>14490</v>
      </c>
      <c r="J742" t="s">
        <v>14491</v>
      </c>
      <c r="K742" t="s">
        <v>74</v>
      </c>
      <c r="L742" t="s">
        <v>74</v>
      </c>
      <c r="M742" t="s">
        <v>78</v>
      </c>
      <c r="N742" t="s">
        <v>79</v>
      </c>
      <c r="O742" t="s">
        <v>74</v>
      </c>
      <c r="P742" t="s">
        <v>74</v>
      </c>
      <c r="Q742" t="s">
        <v>74</v>
      </c>
      <c r="R742" t="s">
        <v>74</v>
      </c>
      <c r="S742" t="s">
        <v>74</v>
      </c>
      <c r="T742" t="s">
        <v>74</v>
      </c>
      <c r="U742" t="s">
        <v>14492</v>
      </c>
      <c r="V742" t="s">
        <v>14493</v>
      </c>
      <c r="W742" t="s">
        <v>14494</v>
      </c>
      <c r="X742" t="s">
        <v>14495</v>
      </c>
      <c r="Y742" t="s">
        <v>14496</v>
      </c>
      <c r="Z742" t="s">
        <v>14497</v>
      </c>
      <c r="AA742" t="s">
        <v>14498</v>
      </c>
      <c r="AB742" t="s">
        <v>14499</v>
      </c>
      <c r="AC742" t="s">
        <v>14500</v>
      </c>
      <c r="AD742" t="s">
        <v>14501</v>
      </c>
      <c r="AE742" t="s">
        <v>14502</v>
      </c>
      <c r="AF742" t="s">
        <v>74</v>
      </c>
      <c r="AG742">
        <v>22</v>
      </c>
      <c r="AH742">
        <v>0</v>
      </c>
      <c r="AI742">
        <v>0</v>
      </c>
      <c r="AJ742">
        <v>0</v>
      </c>
      <c r="AK742">
        <v>1</v>
      </c>
      <c r="AL742" t="s">
        <v>2460</v>
      </c>
      <c r="AM742" t="s">
        <v>2461</v>
      </c>
      <c r="AN742" t="s">
        <v>2462</v>
      </c>
      <c r="AO742" t="s">
        <v>14503</v>
      </c>
      <c r="AP742" t="s">
        <v>14504</v>
      </c>
      <c r="AQ742" t="s">
        <v>74</v>
      </c>
      <c r="AR742" t="s">
        <v>14505</v>
      </c>
      <c r="AS742" t="s">
        <v>14506</v>
      </c>
      <c r="AT742" t="s">
        <v>14283</v>
      </c>
      <c r="AU742">
        <v>2022</v>
      </c>
      <c r="AV742">
        <v>11</v>
      </c>
      <c r="AW742">
        <v>2</v>
      </c>
      <c r="AX742" t="s">
        <v>74</v>
      </c>
      <c r="AY742" t="s">
        <v>74</v>
      </c>
      <c r="AZ742" t="s">
        <v>74</v>
      </c>
      <c r="BA742" t="s">
        <v>74</v>
      </c>
      <c r="BB742">
        <v>235</v>
      </c>
      <c r="BC742">
        <v>245</v>
      </c>
      <c r="BD742" t="s">
        <v>74</v>
      </c>
      <c r="BE742" t="s">
        <v>14507</v>
      </c>
      <c r="BF742" t="str">
        <f>HYPERLINK("http://dx.doi.org/10.5194/gi-11-235-2022","http://dx.doi.org/10.5194/gi-11-235-2022")</f>
        <v>http://dx.doi.org/10.5194/gi-11-235-2022</v>
      </c>
      <c r="BG742" t="s">
        <v>74</v>
      </c>
      <c r="BH742" t="s">
        <v>74</v>
      </c>
      <c r="BI742">
        <v>11</v>
      </c>
      <c r="BJ742" t="s">
        <v>3373</v>
      </c>
      <c r="BK742" t="s">
        <v>100</v>
      </c>
      <c r="BL742" t="s">
        <v>3374</v>
      </c>
      <c r="BM742" t="s">
        <v>14508</v>
      </c>
      <c r="BN742" t="s">
        <v>74</v>
      </c>
      <c r="BO742" t="s">
        <v>1195</v>
      </c>
      <c r="BP742" t="s">
        <v>74</v>
      </c>
      <c r="BQ742" t="s">
        <v>74</v>
      </c>
      <c r="BR742" t="s">
        <v>103</v>
      </c>
      <c r="BS742" t="s">
        <v>14509</v>
      </c>
      <c r="BT742" t="str">
        <f>HYPERLINK("https%3A%2F%2Fwww.webofscience.com%2Fwos%2Fwoscc%2Ffull-record%2FWOS:000824430200001","View Full Record in Web of Science")</f>
        <v>View Full Record in Web of Science</v>
      </c>
    </row>
    <row r="743" spans="1:72" x14ac:dyDescent="0.15">
      <c r="A743" t="s">
        <v>72</v>
      </c>
      <c r="B743" t="s">
        <v>14510</v>
      </c>
      <c r="C743" t="s">
        <v>74</v>
      </c>
      <c r="D743" t="s">
        <v>74</v>
      </c>
      <c r="E743" t="s">
        <v>74</v>
      </c>
      <c r="F743" t="s">
        <v>14511</v>
      </c>
      <c r="G743" t="s">
        <v>74</v>
      </c>
      <c r="H743" t="s">
        <v>74</v>
      </c>
      <c r="I743" t="s">
        <v>14512</v>
      </c>
      <c r="J743" t="s">
        <v>14513</v>
      </c>
      <c r="K743" t="s">
        <v>74</v>
      </c>
      <c r="L743" t="s">
        <v>74</v>
      </c>
      <c r="M743" t="s">
        <v>78</v>
      </c>
      <c r="N743" t="s">
        <v>79</v>
      </c>
      <c r="O743" t="s">
        <v>74</v>
      </c>
      <c r="P743" t="s">
        <v>74</v>
      </c>
      <c r="Q743" t="s">
        <v>74</v>
      </c>
      <c r="R743" t="s">
        <v>74</v>
      </c>
      <c r="S743" t="s">
        <v>74</v>
      </c>
      <c r="T743" t="s">
        <v>14514</v>
      </c>
      <c r="U743" t="s">
        <v>14515</v>
      </c>
      <c r="V743" t="s">
        <v>14516</v>
      </c>
      <c r="W743" t="s">
        <v>14517</v>
      </c>
      <c r="X743" t="s">
        <v>14518</v>
      </c>
      <c r="Y743" t="s">
        <v>14519</v>
      </c>
      <c r="Z743" t="s">
        <v>14520</v>
      </c>
      <c r="AA743" t="s">
        <v>14521</v>
      </c>
      <c r="AB743" t="s">
        <v>14522</v>
      </c>
      <c r="AC743" t="s">
        <v>74</v>
      </c>
      <c r="AD743" t="s">
        <v>74</v>
      </c>
      <c r="AE743" t="s">
        <v>74</v>
      </c>
      <c r="AF743" t="s">
        <v>74</v>
      </c>
      <c r="AG743">
        <v>69</v>
      </c>
      <c r="AH743">
        <v>5</v>
      </c>
      <c r="AI743">
        <v>5</v>
      </c>
      <c r="AJ743">
        <v>4</v>
      </c>
      <c r="AK743">
        <v>15</v>
      </c>
      <c r="AL743" t="s">
        <v>3499</v>
      </c>
      <c r="AM743" t="s">
        <v>2774</v>
      </c>
      <c r="AN743" t="s">
        <v>3500</v>
      </c>
      <c r="AO743" t="s">
        <v>14523</v>
      </c>
      <c r="AP743" t="s">
        <v>14524</v>
      </c>
      <c r="AQ743" t="s">
        <v>74</v>
      </c>
      <c r="AR743" t="s">
        <v>14525</v>
      </c>
      <c r="AS743" t="s">
        <v>14526</v>
      </c>
      <c r="AT743" t="s">
        <v>14527</v>
      </c>
      <c r="AU743">
        <v>2022</v>
      </c>
      <c r="AV743">
        <v>289</v>
      </c>
      <c r="AW743">
        <v>1978</v>
      </c>
      <c r="AX743" t="s">
        <v>74</v>
      </c>
      <c r="AY743" t="s">
        <v>74</v>
      </c>
      <c r="AZ743" t="s">
        <v>74</v>
      </c>
      <c r="BA743" t="s">
        <v>74</v>
      </c>
      <c r="BB743" t="s">
        <v>74</v>
      </c>
      <c r="BC743" t="s">
        <v>74</v>
      </c>
      <c r="BD743">
        <v>20220862</v>
      </c>
      <c r="BE743" t="s">
        <v>14528</v>
      </c>
      <c r="BF743" t="str">
        <f>HYPERLINK("http://dx.doi.org/10.1098/rspb.2022.0862","http://dx.doi.org/10.1098/rspb.2022.0862")</f>
        <v>http://dx.doi.org/10.1098/rspb.2022.0862</v>
      </c>
      <c r="BG743" t="s">
        <v>74</v>
      </c>
      <c r="BH743" t="s">
        <v>74</v>
      </c>
      <c r="BI743">
        <v>9</v>
      </c>
      <c r="BJ743" t="s">
        <v>14529</v>
      </c>
      <c r="BK743" t="s">
        <v>100</v>
      </c>
      <c r="BL743" t="s">
        <v>14530</v>
      </c>
      <c r="BM743" t="s">
        <v>14531</v>
      </c>
      <c r="BN743">
        <v>35858070</v>
      </c>
      <c r="BO743" t="s">
        <v>3952</v>
      </c>
      <c r="BP743" t="s">
        <v>74</v>
      </c>
      <c r="BQ743" t="s">
        <v>74</v>
      </c>
      <c r="BR743" t="s">
        <v>103</v>
      </c>
      <c r="BS743" t="s">
        <v>14532</v>
      </c>
      <c r="BT743" t="str">
        <f>HYPERLINK("https%3A%2F%2Fwww.webofscience.com%2Fwos%2Fwoscc%2Ffull-record%2FWOS:000902113300008","View Full Record in Web of Science")</f>
        <v>View Full Record in Web of Science</v>
      </c>
    </row>
    <row r="744" spans="1:72" x14ac:dyDescent="0.15">
      <c r="A744" t="s">
        <v>72</v>
      </c>
      <c r="B744" t="s">
        <v>14533</v>
      </c>
      <c r="C744" t="s">
        <v>74</v>
      </c>
      <c r="D744" t="s">
        <v>74</v>
      </c>
      <c r="E744" t="s">
        <v>74</v>
      </c>
      <c r="F744" t="s">
        <v>14534</v>
      </c>
      <c r="G744" t="s">
        <v>74</v>
      </c>
      <c r="H744" t="s">
        <v>74</v>
      </c>
      <c r="I744" t="s">
        <v>14535</v>
      </c>
      <c r="J744" t="s">
        <v>14536</v>
      </c>
      <c r="K744" t="s">
        <v>74</v>
      </c>
      <c r="L744" t="s">
        <v>74</v>
      </c>
      <c r="M744" t="s">
        <v>78</v>
      </c>
      <c r="N744" t="s">
        <v>79</v>
      </c>
      <c r="O744" t="s">
        <v>74</v>
      </c>
      <c r="P744" t="s">
        <v>74</v>
      </c>
      <c r="Q744" t="s">
        <v>74</v>
      </c>
      <c r="R744" t="s">
        <v>74</v>
      </c>
      <c r="S744" t="s">
        <v>74</v>
      </c>
      <c r="T744" t="s">
        <v>14537</v>
      </c>
      <c r="U744" t="s">
        <v>14538</v>
      </c>
      <c r="V744" t="s">
        <v>14539</v>
      </c>
      <c r="W744" t="s">
        <v>14540</v>
      </c>
      <c r="X744" t="s">
        <v>14541</v>
      </c>
      <c r="Y744" t="s">
        <v>14542</v>
      </c>
      <c r="Z744" t="s">
        <v>7066</v>
      </c>
      <c r="AA744" t="s">
        <v>14543</v>
      </c>
      <c r="AB744" t="s">
        <v>74</v>
      </c>
      <c r="AC744" t="s">
        <v>14544</v>
      </c>
      <c r="AD744" t="s">
        <v>14545</v>
      </c>
      <c r="AE744" t="s">
        <v>14546</v>
      </c>
      <c r="AF744" t="s">
        <v>74</v>
      </c>
      <c r="AG744">
        <v>36</v>
      </c>
      <c r="AH744">
        <v>5</v>
      </c>
      <c r="AI744">
        <v>5</v>
      </c>
      <c r="AJ744">
        <v>8</v>
      </c>
      <c r="AK744">
        <v>42</v>
      </c>
      <c r="AL744" t="s">
        <v>501</v>
      </c>
      <c r="AM744" t="s">
        <v>502</v>
      </c>
      <c r="AN744" t="s">
        <v>503</v>
      </c>
      <c r="AO744" t="s">
        <v>14547</v>
      </c>
      <c r="AP744" t="s">
        <v>14548</v>
      </c>
      <c r="AQ744" t="s">
        <v>74</v>
      </c>
      <c r="AR744" t="s">
        <v>14549</v>
      </c>
      <c r="AS744" t="s">
        <v>14550</v>
      </c>
      <c r="AT744" t="s">
        <v>5386</v>
      </c>
      <c r="AU744">
        <v>2022</v>
      </c>
      <c r="AV744">
        <v>112</v>
      </c>
      <c r="AW744" t="s">
        <v>74</v>
      </c>
      <c r="AX744" t="s">
        <v>74</v>
      </c>
      <c r="AY744" t="s">
        <v>74</v>
      </c>
      <c r="AZ744" t="s">
        <v>74</v>
      </c>
      <c r="BA744" t="s">
        <v>74</v>
      </c>
      <c r="BB744" t="s">
        <v>74</v>
      </c>
      <c r="BC744" t="s">
        <v>74</v>
      </c>
      <c r="BD744">
        <v>102908</v>
      </c>
      <c r="BE744" t="s">
        <v>14551</v>
      </c>
      <c r="BF744" t="str">
        <f>HYPERLINK("http://dx.doi.org/10.1016/j.jag.2022.102908","http://dx.doi.org/10.1016/j.jag.2022.102908")</f>
        <v>http://dx.doi.org/10.1016/j.jag.2022.102908</v>
      </c>
      <c r="BG744" t="s">
        <v>74</v>
      </c>
      <c r="BH744" t="s">
        <v>12326</v>
      </c>
      <c r="BI744">
        <v>14</v>
      </c>
      <c r="BJ744" t="s">
        <v>6340</v>
      </c>
      <c r="BK744" t="s">
        <v>100</v>
      </c>
      <c r="BL744" t="s">
        <v>6340</v>
      </c>
      <c r="BM744" t="s">
        <v>14552</v>
      </c>
      <c r="BN744" t="s">
        <v>74</v>
      </c>
      <c r="BO744" t="s">
        <v>266</v>
      </c>
      <c r="BP744" t="s">
        <v>74</v>
      </c>
      <c r="BQ744" t="s">
        <v>74</v>
      </c>
      <c r="BR744" t="s">
        <v>103</v>
      </c>
      <c r="BS744" t="s">
        <v>14553</v>
      </c>
      <c r="BT744" t="str">
        <f>HYPERLINK("https%3A%2F%2Fwww.webofscience.com%2Fwos%2Fwoscc%2Ffull-record%2FWOS:000860772200002","View Full Record in Web of Science")</f>
        <v>View Full Record in Web of Science</v>
      </c>
    </row>
    <row r="745" spans="1:72" x14ac:dyDescent="0.15">
      <c r="A745" t="s">
        <v>72</v>
      </c>
      <c r="B745" t="s">
        <v>14554</v>
      </c>
      <c r="C745" t="s">
        <v>74</v>
      </c>
      <c r="D745" t="s">
        <v>74</v>
      </c>
      <c r="E745" t="s">
        <v>74</v>
      </c>
      <c r="F745" t="s">
        <v>14555</v>
      </c>
      <c r="G745" t="s">
        <v>74</v>
      </c>
      <c r="H745" t="s">
        <v>74</v>
      </c>
      <c r="I745" t="s">
        <v>14556</v>
      </c>
      <c r="J745" t="s">
        <v>14557</v>
      </c>
      <c r="K745" t="s">
        <v>74</v>
      </c>
      <c r="L745" t="s">
        <v>74</v>
      </c>
      <c r="M745" t="s">
        <v>78</v>
      </c>
      <c r="N745" t="s">
        <v>165</v>
      </c>
      <c r="O745" t="s">
        <v>74</v>
      </c>
      <c r="P745" t="s">
        <v>74</v>
      </c>
      <c r="Q745" t="s">
        <v>74</v>
      </c>
      <c r="R745" t="s">
        <v>74</v>
      </c>
      <c r="S745" t="s">
        <v>74</v>
      </c>
      <c r="T745" t="s">
        <v>74</v>
      </c>
      <c r="U745" t="s">
        <v>14558</v>
      </c>
      <c r="V745" t="s">
        <v>74</v>
      </c>
      <c r="W745" t="s">
        <v>14559</v>
      </c>
      <c r="X745" t="s">
        <v>14560</v>
      </c>
      <c r="Y745" t="s">
        <v>14561</v>
      </c>
      <c r="Z745" t="s">
        <v>14562</v>
      </c>
      <c r="AA745" t="s">
        <v>74</v>
      </c>
      <c r="AB745" t="s">
        <v>14563</v>
      </c>
      <c r="AC745" t="s">
        <v>14564</v>
      </c>
      <c r="AD745" t="s">
        <v>14565</v>
      </c>
      <c r="AE745" t="s">
        <v>14566</v>
      </c>
      <c r="AF745" t="s">
        <v>74</v>
      </c>
      <c r="AG745">
        <v>85</v>
      </c>
      <c r="AH745">
        <v>40</v>
      </c>
      <c r="AI745">
        <v>42</v>
      </c>
      <c r="AJ745">
        <v>11</v>
      </c>
      <c r="AK745">
        <v>31</v>
      </c>
      <c r="AL745" t="s">
        <v>2876</v>
      </c>
      <c r="AM745" t="s">
        <v>346</v>
      </c>
      <c r="AN745" t="s">
        <v>2877</v>
      </c>
      <c r="AO745" t="s">
        <v>14567</v>
      </c>
      <c r="AP745" t="s">
        <v>14568</v>
      </c>
      <c r="AQ745" t="s">
        <v>74</v>
      </c>
      <c r="AR745" t="s">
        <v>14569</v>
      </c>
      <c r="AS745" t="s">
        <v>14570</v>
      </c>
      <c r="AT745" t="s">
        <v>5386</v>
      </c>
      <c r="AU745">
        <v>2022</v>
      </c>
      <c r="AV745">
        <v>38</v>
      </c>
      <c r="AW745">
        <v>8</v>
      </c>
      <c r="AX745" t="s">
        <v>74</v>
      </c>
      <c r="AY745" t="s">
        <v>74</v>
      </c>
      <c r="AZ745" t="s">
        <v>74</v>
      </c>
      <c r="BA745" t="s">
        <v>74</v>
      </c>
      <c r="BB745">
        <v>642</v>
      </c>
      <c r="BC745">
        <v>659</v>
      </c>
      <c r="BD745" t="s">
        <v>74</v>
      </c>
      <c r="BE745" t="s">
        <v>14571</v>
      </c>
      <c r="BF745" t="str">
        <f>HYPERLINK("http://dx.doi.org/10.1016/j.pt.2022.05.007","http://dx.doi.org/10.1016/j.pt.2022.05.007")</f>
        <v>http://dx.doi.org/10.1016/j.pt.2022.05.007</v>
      </c>
      <c r="BG745" t="s">
        <v>74</v>
      </c>
      <c r="BH745" t="s">
        <v>12326</v>
      </c>
      <c r="BI745">
        <v>18</v>
      </c>
      <c r="BJ745" t="s">
        <v>14572</v>
      </c>
      <c r="BK745" t="s">
        <v>100</v>
      </c>
      <c r="BL745" t="s">
        <v>14572</v>
      </c>
      <c r="BM745" t="s">
        <v>14573</v>
      </c>
      <c r="BN745">
        <v>35667993</v>
      </c>
      <c r="BO745" t="s">
        <v>5370</v>
      </c>
      <c r="BP745" t="s">
        <v>74</v>
      </c>
      <c r="BQ745" t="s">
        <v>74</v>
      </c>
      <c r="BR745" t="s">
        <v>103</v>
      </c>
      <c r="BS745" t="s">
        <v>14574</v>
      </c>
      <c r="BT745" t="str">
        <f>HYPERLINK("https%3A%2F%2Fwww.webofscience.com%2Fwos%2Fwoscc%2Ffull-record%2FWOS:000853407900006","View Full Record in Web of Science")</f>
        <v>View Full Record in Web of Science</v>
      </c>
    </row>
    <row r="746" spans="1:72" x14ac:dyDescent="0.15">
      <c r="A746" t="s">
        <v>72</v>
      </c>
      <c r="B746" t="s">
        <v>14575</v>
      </c>
      <c r="C746" t="s">
        <v>74</v>
      </c>
      <c r="D746" t="s">
        <v>74</v>
      </c>
      <c r="E746" t="s">
        <v>74</v>
      </c>
      <c r="F746" t="s">
        <v>14576</v>
      </c>
      <c r="G746" t="s">
        <v>74</v>
      </c>
      <c r="H746" t="s">
        <v>74</v>
      </c>
      <c r="I746" t="s">
        <v>14577</v>
      </c>
      <c r="J746" t="s">
        <v>5106</v>
      </c>
      <c r="K746" t="s">
        <v>74</v>
      </c>
      <c r="L746" t="s">
        <v>74</v>
      </c>
      <c r="M746" t="s">
        <v>78</v>
      </c>
      <c r="N746" t="s">
        <v>79</v>
      </c>
      <c r="O746" t="s">
        <v>74</v>
      </c>
      <c r="P746" t="s">
        <v>74</v>
      </c>
      <c r="Q746" t="s">
        <v>74</v>
      </c>
      <c r="R746" t="s">
        <v>74</v>
      </c>
      <c r="S746" t="s">
        <v>74</v>
      </c>
      <c r="T746" t="s">
        <v>14578</v>
      </c>
      <c r="U746" t="s">
        <v>14579</v>
      </c>
      <c r="V746" t="s">
        <v>14580</v>
      </c>
      <c r="W746" t="s">
        <v>14581</v>
      </c>
      <c r="X746" t="s">
        <v>14582</v>
      </c>
      <c r="Y746" t="s">
        <v>14583</v>
      </c>
      <c r="Z746" t="s">
        <v>10018</v>
      </c>
      <c r="AA746" t="s">
        <v>14584</v>
      </c>
      <c r="AB746" t="s">
        <v>14585</v>
      </c>
      <c r="AC746" t="s">
        <v>14586</v>
      </c>
      <c r="AD746" t="s">
        <v>14587</v>
      </c>
      <c r="AE746" t="s">
        <v>14588</v>
      </c>
      <c r="AF746" t="s">
        <v>74</v>
      </c>
      <c r="AG746">
        <v>70</v>
      </c>
      <c r="AH746">
        <v>3</v>
      </c>
      <c r="AI746">
        <v>3</v>
      </c>
      <c r="AJ746">
        <v>9</v>
      </c>
      <c r="AK746">
        <v>27</v>
      </c>
      <c r="AL746" t="s">
        <v>2275</v>
      </c>
      <c r="AM746" t="s">
        <v>90</v>
      </c>
      <c r="AN746" t="s">
        <v>2276</v>
      </c>
      <c r="AO746" t="s">
        <v>5119</v>
      </c>
      <c r="AP746" t="s">
        <v>5120</v>
      </c>
      <c r="AQ746" t="s">
        <v>74</v>
      </c>
      <c r="AR746" t="s">
        <v>5121</v>
      </c>
      <c r="AS746" t="s">
        <v>5122</v>
      </c>
      <c r="AT746" t="s">
        <v>3605</v>
      </c>
      <c r="AU746">
        <v>2022</v>
      </c>
      <c r="AV746">
        <v>187</v>
      </c>
      <c r="AW746" t="s">
        <v>74</v>
      </c>
      <c r="AX746" t="s">
        <v>74</v>
      </c>
      <c r="AY746" t="s">
        <v>74</v>
      </c>
      <c r="AZ746" t="s">
        <v>74</v>
      </c>
      <c r="BA746" t="s">
        <v>74</v>
      </c>
      <c r="BB746" t="s">
        <v>74</v>
      </c>
      <c r="BC746" t="s">
        <v>74</v>
      </c>
      <c r="BD746">
        <v>103834</v>
      </c>
      <c r="BE746" t="s">
        <v>14589</v>
      </c>
      <c r="BF746" t="str">
        <f>HYPERLINK("http://dx.doi.org/10.1016/j.dsr.2022.103834","http://dx.doi.org/10.1016/j.dsr.2022.103834")</f>
        <v>http://dx.doi.org/10.1016/j.dsr.2022.103834</v>
      </c>
      <c r="BG746" t="s">
        <v>74</v>
      </c>
      <c r="BH746" t="s">
        <v>12326</v>
      </c>
      <c r="BI746">
        <v>18</v>
      </c>
      <c r="BJ746" t="s">
        <v>674</v>
      </c>
      <c r="BK746" t="s">
        <v>100</v>
      </c>
      <c r="BL746" t="s">
        <v>674</v>
      </c>
      <c r="BM746" t="s">
        <v>14590</v>
      </c>
      <c r="BN746" t="s">
        <v>74</v>
      </c>
      <c r="BO746" t="s">
        <v>1341</v>
      </c>
      <c r="BP746" t="s">
        <v>74</v>
      </c>
      <c r="BQ746" t="s">
        <v>74</v>
      </c>
      <c r="BR746" t="s">
        <v>103</v>
      </c>
      <c r="BS746" t="s">
        <v>14591</v>
      </c>
      <c r="BT746" t="str">
        <f>HYPERLINK("https%3A%2F%2Fwww.webofscience.com%2Fwos%2Fwoscc%2Ffull-record%2FWOS:000830751600002","View Full Record in Web of Science")</f>
        <v>View Full Record in Web of Science</v>
      </c>
    </row>
    <row r="747" spans="1:72" x14ac:dyDescent="0.15">
      <c r="A747" t="s">
        <v>72</v>
      </c>
      <c r="B747" t="s">
        <v>14592</v>
      </c>
      <c r="C747" t="s">
        <v>74</v>
      </c>
      <c r="D747" t="s">
        <v>74</v>
      </c>
      <c r="E747" t="s">
        <v>74</v>
      </c>
      <c r="F747" t="s">
        <v>14593</v>
      </c>
      <c r="G747" t="s">
        <v>74</v>
      </c>
      <c r="H747" t="s">
        <v>74</v>
      </c>
      <c r="I747" t="s">
        <v>14594</v>
      </c>
      <c r="J747" t="s">
        <v>9896</v>
      </c>
      <c r="K747" t="s">
        <v>74</v>
      </c>
      <c r="L747" t="s">
        <v>74</v>
      </c>
      <c r="M747" t="s">
        <v>78</v>
      </c>
      <c r="N747" t="s">
        <v>79</v>
      </c>
      <c r="O747" t="s">
        <v>74</v>
      </c>
      <c r="P747" t="s">
        <v>74</v>
      </c>
      <c r="Q747" t="s">
        <v>74</v>
      </c>
      <c r="R747" t="s">
        <v>74</v>
      </c>
      <c r="S747" t="s">
        <v>74</v>
      </c>
      <c r="T747" t="s">
        <v>14595</v>
      </c>
      <c r="U747" t="s">
        <v>14596</v>
      </c>
      <c r="V747" t="s">
        <v>14597</v>
      </c>
      <c r="W747" t="s">
        <v>14598</v>
      </c>
      <c r="X747" t="s">
        <v>14599</v>
      </c>
      <c r="Y747" t="s">
        <v>14600</v>
      </c>
      <c r="Z747" t="s">
        <v>14601</v>
      </c>
      <c r="AA747" t="s">
        <v>74</v>
      </c>
      <c r="AB747" t="s">
        <v>74</v>
      </c>
      <c r="AC747" t="s">
        <v>74</v>
      </c>
      <c r="AD747" t="s">
        <v>74</v>
      </c>
      <c r="AE747" t="s">
        <v>74</v>
      </c>
      <c r="AF747" t="s">
        <v>74</v>
      </c>
      <c r="AG747">
        <v>58</v>
      </c>
      <c r="AH747">
        <v>3</v>
      </c>
      <c r="AI747">
        <v>3</v>
      </c>
      <c r="AJ747">
        <v>5</v>
      </c>
      <c r="AK747">
        <v>14</v>
      </c>
      <c r="AL747" t="s">
        <v>6126</v>
      </c>
      <c r="AM747" t="s">
        <v>450</v>
      </c>
      <c r="AN747" t="s">
        <v>6127</v>
      </c>
      <c r="AO747" t="s">
        <v>9909</v>
      </c>
      <c r="AP747" t="s">
        <v>9910</v>
      </c>
      <c r="AQ747" t="s">
        <v>74</v>
      </c>
      <c r="AR747" t="s">
        <v>9911</v>
      </c>
      <c r="AS747" t="s">
        <v>9912</v>
      </c>
      <c r="AT747" t="s">
        <v>428</v>
      </c>
      <c r="AU747">
        <v>2022</v>
      </c>
      <c r="AV747">
        <v>280</v>
      </c>
      <c r="AW747" t="s">
        <v>74</v>
      </c>
      <c r="AX747" t="s">
        <v>74</v>
      </c>
      <c r="AY747" t="s">
        <v>74</v>
      </c>
      <c r="AZ747" t="s">
        <v>74</v>
      </c>
      <c r="BA747" t="s">
        <v>74</v>
      </c>
      <c r="BB747" t="s">
        <v>74</v>
      </c>
      <c r="BC747" t="s">
        <v>74</v>
      </c>
      <c r="BD747">
        <v>113165</v>
      </c>
      <c r="BE747" t="s">
        <v>14602</v>
      </c>
      <c r="BF747" t="str">
        <f>HYPERLINK("http://dx.doi.org/10.1016/j.rse.2022.113165","http://dx.doi.org/10.1016/j.rse.2022.113165")</f>
        <v>http://dx.doi.org/10.1016/j.rse.2022.113165</v>
      </c>
      <c r="BG747" t="s">
        <v>74</v>
      </c>
      <c r="BH747" t="s">
        <v>12326</v>
      </c>
      <c r="BI747">
        <v>16</v>
      </c>
      <c r="BJ747" t="s">
        <v>9914</v>
      </c>
      <c r="BK747" t="s">
        <v>100</v>
      </c>
      <c r="BL747" t="s">
        <v>9915</v>
      </c>
      <c r="BM747" t="s">
        <v>14603</v>
      </c>
      <c r="BN747" t="s">
        <v>74</v>
      </c>
      <c r="BO747" t="s">
        <v>74</v>
      </c>
      <c r="BP747" t="s">
        <v>74</v>
      </c>
      <c r="BQ747" t="s">
        <v>74</v>
      </c>
      <c r="BR747" t="s">
        <v>103</v>
      </c>
      <c r="BS747" t="s">
        <v>14604</v>
      </c>
      <c r="BT747" t="str">
        <f>HYPERLINK("https%3A%2F%2Fwww.webofscience.com%2Fwos%2Fwoscc%2Ffull-record%2FWOS:000830424900002","View Full Record in Web of Science")</f>
        <v>View Full Record in Web of Science</v>
      </c>
    </row>
    <row r="748" spans="1:72" x14ac:dyDescent="0.15">
      <c r="A748" t="s">
        <v>72</v>
      </c>
      <c r="B748" t="s">
        <v>14605</v>
      </c>
      <c r="C748" t="s">
        <v>74</v>
      </c>
      <c r="D748" t="s">
        <v>74</v>
      </c>
      <c r="E748" t="s">
        <v>74</v>
      </c>
      <c r="F748" t="s">
        <v>14606</v>
      </c>
      <c r="G748" t="s">
        <v>74</v>
      </c>
      <c r="H748" t="s">
        <v>74</v>
      </c>
      <c r="I748" t="s">
        <v>14607</v>
      </c>
      <c r="J748" t="s">
        <v>137</v>
      </c>
      <c r="K748" t="s">
        <v>74</v>
      </c>
      <c r="L748" t="s">
        <v>74</v>
      </c>
      <c r="M748" t="s">
        <v>78</v>
      </c>
      <c r="N748" t="s">
        <v>79</v>
      </c>
      <c r="O748" t="s">
        <v>74</v>
      </c>
      <c r="P748" t="s">
        <v>74</v>
      </c>
      <c r="Q748" t="s">
        <v>74</v>
      </c>
      <c r="R748" t="s">
        <v>74</v>
      </c>
      <c r="S748" t="s">
        <v>74</v>
      </c>
      <c r="T748" t="s">
        <v>74</v>
      </c>
      <c r="U748" t="s">
        <v>14608</v>
      </c>
      <c r="V748" t="s">
        <v>14609</v>
      </c>
      <c r="W748" t="s">
        <v>14610</v>
      </c>
      <c r="X748" t="s">
        <v>14611</v>
      </c>
      <c r="Y748" t="s">
        <v>14612</v>
      </c>
      <c r="Z748" t="s">
        <v>14613</v>
      </c>
      <c r="AA748" t="s">
        <v>14614</v>
      </c>
      <c r="AB748" t="s">
        <v>14615</v>
      </c>
      <c r="AC748" t="s">
        <v>14616</v>
      </c>
      <c r="AD748" t="s">
        <v>14617</v>
      </c>
      <c r="AE748" t="s">
        <v>14618</v>
      </c>
      <c r="AF748" t="s">
        <v>74</v>
      </c>
      <c r="AG748">
        <v>72</v>
      </c>
      <c r="AH748">
        <v>20</v>
      </c>
      <c r="AI748">
        <v>21</v>
      </c>
      <c r="AJ748">
        <v>1</v>
      </c>
      <c r="AK748">
        <v>14</v>
      </c>
      <c r="AL748" t="s">
        <v>149</v>
      </c>
      <c r="AM748" t="s">
        <v>150</v>
      </c>
      <c r="AN748" t="s">
        <v>151</v>
      </c>
      <c r="AO748" t="s">
        <v>74</v>
      </c>
      <c r="AP748" t="s">
        <v>152</v>
      </c>
      <c r="AQ748" t="s">
        <v>74</v>
      </c>
      <c r="AR748" t="s">
        <v>153</v>
      </c>
      <c r="AS748" t="s">
        <v>154</v>
      </c>
      <c r="AT748" t="s">
        <v>14527</v>
      </c>
      <c r="AU748">
        <v>2022</v>
      </c>
      <c r="AV748">
        <v>13</v>
      </c>
      <c r="AW748">
        <v>1</v>
      </c>
      <c r="AX748" t="s">
        <v>74</v>
      </c>
      <c r="AY748" t="s">
        <v>74</v>
      </c>
      <c r="AZ748" t="s">
        <v>74</v>
      </c>
      <c r="BA748" t="s">
        <v>74</v>
      </c>
      <c r="BB748" t="s">
        <v>74</v>
      </c>
      <c r="BC748" t="s">
        <v>74</v>
      </c>
      <c r="BD748">
        <v>3906</v>
      </c>
      <c r="BE748" t="s">
        <v>14619</v>
      </c>
      <c r="BF748" t="str">
        <f>HYPERLINK("http://dx.doi.org/10.1038/s41467-022-31119-4","http://dx.doi.org/10.1038/s41467-022-31119-4")</f>
        <v>http://dx.doi.org/10.1038/s41467-022-31119-4</v>
      </c>
      <c r="BG748" t="s">
        <v>74</v>
      </c>
      <c r="BH748" t="s">
        <v>74</v>
      </c>
      <c r="BI748">
        <v>13</v>
      </c>
      <c r="BJ748" t="s">
        <v>156</v>
      </c>
      <c r="BK748" t="s">
        <v>100</v>
      </c>
      <c r="BL748" t="s">
        <v>157</v>
      </c>
      <c r="BM748" t="s">
        <v>14620</v>
      </c>
      <c r="BN748">
        <v>35831281</v>
      </c>
      <c r="BO748" t="s">
        <v>14621</v>
      </c>
      <c r="BP748" t="s">
        <v>74</v>
      </c>
      <c r="BQ748" t="s">
        <v>74</v>
      </c>
      <c r="BR748" t="s">
        <v>103</v>
      </c>
      <c r="BS748" t="s">
        <v>14622</v>
      </c>
      <c r="BT748" t="str">
        <f>HYPERLINK("https%3A%2F%2Fwww.webofscience.com%2Fwos%2Fwoscc%2Ffull-record%2FWOS:000825090700026","View Full Record in Web of Science")</f>
        <v>View Full Record in Web of Science</v>
      </c>
    </row>
    <row r="749" spans="1:72" x14ac:dyDescent="0.15">
      <c r="A749" t="s">
        <v>72</v>
      </c>
      <c r="B749" t="s">
        <v>14623</v>
      </c>
      <c r="C749" t="s">
        <v>74</v>
      </c>
      <c r="D749" t="s">
        <v>74</v>
      </c>
      <c r="E749" t="s">
        <v>74</v>
      </c>
      <c r="F749" t="s">
        <v>14624</v>
      </c>
      <c r="G749" t="s">
        <v>74</v>
      </c>
      <c r="H749" t="s">
        <v>74</v>
      </c>
      <c r="I749" t="s">
        <v>14625</v>
      </c>
      <c r="J749" t="s">
        <v>137</v>
      </c>
      <c r="K749" t="s">
        <v>74</v>
      </c>
      <c r="L749" t="s">
        <v>74</v>
      </c>
      <c r="M749" t="s">
        <v>78</v>
      </c>
      <c r="N749" t="s">
        <v>79</v>
      </c>
      <c r="O749" t="s">
        <v>74</v>
      </c>
      <c r="P749" t="s">
        <v>74</v>
      </c>
      <c r="Q749" t="s">
        <v>74</v>
      </c>
      <c r="R749" t="s">
        <v>74</v>
      </c>
      <c r="S749" t="s">
        <v>74</v>
      </c>
      <c r="T749" t="s">
        <v>74</v>
      </c>
      <c r="U749" t="s">
        <v>14626</v>
      </c>
      <c r="V749" t="s">
        <v>14627</v>
      </c>
      <c r="W749" t="s">
        <v>14628</v>
      </c>
      <c r="X749" t="s">
        <v>14629</v>
      </c>
      <c r="Y749" t="s">
        <v>14630</v>
      </c>
      <c r="Z749" t="s">
        <v>14631</v>
      </c>
      <c r="AA749" t="s">
        <v>14632</v>
      </c>
      <c r="AB749" t="s">
        <v>14633</v>
      </c>
      <c r="AC749" t="s">
        <v>14634</v>
      </c>
      <c r="AD749" t="s">
        <v>14635</v>
      </c>
      <c r="AE749" t="s">
        <v>14636</v>
      </c>
      <c r="AF749" t="s">
        <v>74</v>
      </c>
      <c r="AG749">
        <v>77</v>
      </c>
      <c r="AH749">
        <v>6</v>
      </c>
      <c r="AI749">
        <v>7</v>
      </c>
      <c r="AJ749">
        <v>7</v>
      </c>
      <c r="AK749">
        <v>40</v>
      </c>
      <c r="AL749" t="s">
        <v>149</v>
      </c>
      <c r="AM749" t="s">
        <v>150</v>
      </c>
      <c r="AN749" t="s">
        <v>151</v>
      </c>
      <c r="AO749" t="s">
        <v>74</v>
      </c>
      <c r="AP749" t="s">
        <v>152</v>
      </c>
      <c r="AQ749" t="s">
        <v>74</v>
      </c>
      <c r="AR749" t="s">
        <v>153</v>
      </c>
      <c r="AS749" t="s">
        <v>154</v>
      </c>
      <c r="AT749" t="s">
        <v>14527</v>
      </c>
      <c r="AU749">
        <v>2022</v>
      </c>
      <c r="AV749">
        <v>13</v>
      </c>
      <c r="AW749">
        <v>1</v>
      </c>
      <c r="AX749" t="s">
        <v>74</v>
      </c>
      <c r="AY749" t="s">
        <v>74</v>
      </c>
      <c r="AZ749" t="s">
        <v>74</v>
      </c>
      <c r="BA749" t="s">
        <v>74</v>
      </c>
      <c r="BB749" t="s">
        <v>74</v>
      </c>
      <c r="BC749" t="s">
        <v>74</v>
      </c>
      <c r="BD749">
        <v>4056</v>
      </c>
      <c r="BE749" t="s">
        <v>14637</v>
      </c>
      <c r="BF749" t="str">
        <f>HYPERLINK("http://dx.doi.org/10.1038/s41467-022-31560-5","http://dx.doi.org/10.1038/s41467-022-31560-5")</f>
        <v>http://dx.doi.org/10.1038/s41467-022-31560-5</v>
      </c>
      <c r="BG749" t="s">
        <v>74</v>
      </c>
      <c r="BH749" t="s">
        <v>74</v>
      </c>
      <c r="BI749">
        <v>11</v>
      </c>
      <c r="BJ749" t="s">
        <v>156</v>
      </c>
      <c r="BK749" t="s">
        <v>100</v>
      </c>
      <c r="BL749" t="s">
        <v>157</v>
      </c>
      <c r="BM749" t="s">
        <v>14620</v>
      </c>
      <c r="BN749">
        <v>35831323</v>
      </c>
      <c r="BO749" t="s">
        <v>4714</v>
      </c>
      <c r="BP749" t="s">
        <v>74</v>
      </c>
      <c r="BQ749" t="s">
        <v>74</v>
      </c>
      <c r="BR749" t="s">
        <v>103</v>
      </c>
      <c r="BS749" t="s">
        <v>14638</v>
      </c>
      <c r="BT749" t="str">
        <f>HYPERLINK("https%3A%2F%2Fwww.webofscience.com%2Fwos%2Fwoscc%2Ffull-record%2FWOS:000825090700020","View Full Record in Web of Science")</f>
        <v>View Full Record in Web of Science</v>
      </c>
    </row>
    <row r="750" spans="1:72" x14ac:dyDescent="0.15">
      <c r="A750" t="s">
        <v>72</v>
      </c>
      <c r="B750" t="s">
        <v>14639</v>
      </c>
      <c r="C750" t="s">
        <v>74</v>
      </c>
      <c r="D750" t="s">
        <v>74</v>
      </c>
      <c r="E750" t="s">
        <v>74</v>
      </c>
      <c r="F750" t="s">
        <v>14640</v>
      </c>
      <c r="G750" t="s">
        <v>74</v>
      </c>
      <c r="H750" t="s">
        <v>74</v>
      </c>
      <c r="I750" t="s">
        <v>14641</v>
      </c>
      <c r="J750" t="s">
        <v>10259</v>
      </c>
      <c r="K750" t="s">
        <v>74</v>
      </c>
      <c r="L750" t="s">
        <v>74</v>
      </c>
      <c r="M750" t="s">
        <v>78</v>
      </c>
      <c r="N750" t="s">
        <v>3357</v>
      </c>
      <c r="O750" t="s">
        <v>74</v>
      </c>
      <c r="P750" t="s">
        <v>74</v>
      </c>
      <c r="Q750" t="s">
        <v>74</v>
      </c>
      <c r="R750" t="s">
        <v>74</v>
      </c>
      <c r="S750" t="s">
        <v>74</v>
      </c>
      <c r="T750" t="s">
        <v>74</v>
      </c>
      <c r="U750" t="s">
        <v>14642</v>
      </c>
      <c r="V750" t="s">
        <v>14643</v>
      </c>
      <c r="W750" t="s">
        <v>14644</v>
      </c>
      <c r="X750" t="s">
        <v>14645</v>
      </c>
      <c r="Y750" t="s">
        <v>14646</v>
      </c>
      <c r="Z750" t="s">
        <v>14647</v>
      </c>
      <c r="AA750" t="s">
        <v>14648</v>
      </c>
      <c r="AB750" t="s">
        <v>14649</v>
      </c>
      <c r="AC750" t="s">
        <v>14650</v>
      </c>
      <c r="AD750" t="s">
        <v>14651</v>
      </c>
      <c r="AE750" t="s">
        <v>14652</v>
      </c>
      <c r="AF750" t="s">
        <v>74</v>
      </c>
      <c r="AG750">
        <v>70</v>
      </c>
      <c r="AH750">
        <v>6</v>
      </c>
      <c r="AI750">
        <v>6</v>
      </c>
      <c r="AJ750">
        <v>1</v>
      </c>
      <c r="AK750">
        <v>7</v>
      </c>
      <c r="AL750" t="s">
        <v>149</v>
      </c>
      <c r="AM750" t="s">
        <v>150</v>
      </c>
      <c r="AN750" t="s">
        <v>151</v>
      </c>
      <c r="AO750" t="s">
        <v>74</v>
      </c>
      <c r="AP750" t="s">
        <v>10267</v>
      </c>
      <c r="AQ750" t="s">
        <v>74</v>
      </c>
      <c r="AR750" t="s">
        <v>10268</v>
      </c>
      <c r="AS750" t="s">
        <v>10269</v>
      </c>
      <c r="AT750" t="s">
        <v>14527</v>
      </c>
      <c r="AU750">
        <v>2022</v>
      </c>
      <c r="AV750">
        <v>9</v>
      </c>
      <c r="AW750">
        <v>1</v>
      </c>
      <c r="AX750" t="s">
        <v>74</v>
      </c>
      <c r="AY750" t="s">
        <v>74</v>
      </c>
      <c r="AZ750" t="s">
        <v>74</v>
      </c>
      <c r="BA750" t="s">
        <v>74</v>
      </c>
      <c r="BB750" t="s">
        <v>74</v>
      </c>
      <c r="BC750" t="s">
        <v>74</v>
      </c>
      <c r="BD750">
        <v>404</v>
      </c>
      <c r="BE750" t="s">
        <v>14653</v>
      </c>
      <c r="BF750" t="str">
        <f>HYPERLINK("http://dx.doi.org/10.1038/s41597-022-01496-y","http://dx.doi.org/10.1038/s41597-022-01496-y")</f>
        <v>http://dx.doi.org/10.1038/s41597-022-01496-y</v>
      </c>
      <c r="BG750" t="s">
        <v>74</v>
      </c>
      <c r="BH750" t="s">
        <v>74</v>
      </c>
      <c r="BI750">
        <v>9</v>
      </c>
      <c r="BJ750" t="s">
        <v>156</v>
      </c>
      <c r="BK750" t="s">
        <v>100</v>
      </c>
      <c r="BL750" t="s">
        <v>157</v>
      </c>
      <c r="BM750" t="s">
        <v>14654</v>
      </c>
      <c r="BN750">
        <v>35831309</v>
      </c>
      <c r="BO750" t="s">
        <v>374</v>
      </c>
      <c r="BP750" t="s">
        <v>74</v>
      </c>
      <c r="BQ750" t="s">
        <v>74</v>
      </c>
      <c r="BR750" t="s">
        <v>103</v>
      </c>
      <c r="BS750" t="s">
        <v>14655</v>
      </c>
      <c r="BT750" t="str">
        <f>HYPERLINK("https%3A%2F%2Fwww.webofscience.com%2Fwos%2Fwoscc%2Ffull-record%2FWOS:000824710100001","View Full Record in Web of Science")</f>
        <v>View Full Record in Web of Science</v>
      </c>
    </row>
    <row r="751" spans="1:72" x14ac:dyDescent="0.15">
      <c r="A751" t="s">
        <v>72</v>
      </c>
      <c r="B751" t="s">
        <v>14656</v>
      </c>
      <c r="C751" t="s">
        <v>74</v>
      </c>
      <c r="D751" t="s">
        <v>74</v>
      </c>
      <c r="E751" t="s">
        <v>74</v>
      </c>
      <c r="F751" t="s">
        <v>14657</v>
      </c>
      <c r="G751" t="s">
        <v>74</v>
      </c>
      <c r="H751" t="s">
        <v>74</v>
      </c>
      <c r="I751" t="s">
        <v>14658</v>
      </c>
      <c r="J751" t="s">
        <v>2427</v>
      </c>
      <c r="K751" t="s">
        <v>74</v>
      </c>
      <c r="L751" t="s">
        <v>74</v>
      </c>
      <c r="M751" t="s">
        <v>78</v>
      </c>
      <c r="N751" t="s">
        <v>79</v>
      </c>
      <c r="O751" t="s">
        <v>74</v>
      </c>
      <c r="P751" t="s">
        <v>74</v>
      </c>
      <c r="Q751" t="s">
        <v>74</v>
      </c>
      <c r="R751" t="s">
        <v>74</v>
      </c>
      <c r="S751" t="s">
        <v>74</v>
      </c>
      <c r="T751" t="s">
        <v>14659</v>
      </c>
      <c r="U751" t="s">
        <v>14660</v>
      </c>
      <c r="V751" t="s">
        <v>14661</v>
      </c>
      <c r="W751" t="s">
        <v>14662</v>
      </c>
      <c r="X751" t="s">
        <v>14663</v>
      </c>
      <c r="Y751" t="s">
        <v>14664</v>
      </c>
      <c r="Z751" t="s">
        <v>14665</v>
      </c>
      <c r="AA751" t="s">
        <v>14666</v>
      </c>
      <c r="AB751" t="s">
        <v>74</v>
      </c>
      <c r="AC751" t="s">
        <v>14667</v>
      </c>
      <c r="AD751" t="s">
        <v>14668</v>
      </c>
      <c r="AE751" t="s">
        <v>14669</v>
      </c>
      <c r="AF751" t="s">
        <v>74</v>
      </c>
      <c r="AG751">
        <v>47</v>
      </c>
      <c r="AH751">
        <v>3</v>
      </c>
      <c r="AI751">
        <v>3</v>
      </c>
      <c r="AJ751">
        <v>0</v>
      </c>
      <c r="AK751">
        <v>8</v>
      </c>
      <c r="AL751" t="s">
        <v>345</v>
      </c>
      <c r="AM751" t="s">
        <v>450</v>
      </c>
      <c r="AN751" t="s">
        <v>821</v>
      </c>
      <c r="AO751" t="s">
        <v>2435</v>
      </c>
      <c r="AP751" t="s">
        <v>2436</v>
      </c>
      <c r="AQ751" t="s">
        <v>74</v>
      </c>
      <c r="AR751" t="s">
        <v>2437</v>
      </c>
      <c r="AS751" t="s">
        <v>2438</v>
      </c>
      <c r="AT751" t="s">
        <v>14527</v>
      </c>
      <c r="AU751">
        <v>2022</v>
      </c>
      <c r="AV751">
        <v>58</v>
      </c>
      <c r="AW751" t="s">
        <v>74</v>
      </c>
      <c r="AX751" t="s">
        <v>74</v>
      </c>
      <c r="AY751" t="s">
        <v>74</v>
      </c>
      <c r="AZ751" t="s">
        <v>74</v>
      </c>
      <c r="BA751" t="s">
        <v>74</v>
      </c>
      <c r="BB751" t="s">
        <v>74</v>
      </c>
      <c r="BC751" t="s">
        <v>74</v>
      </c>
      <c r="BD751" t="s">
        <v>14670</v>
      </c>
      <c r="BE751" t="s">
        <v>14671</v>
      </c>
      <c r="BF751" t="str">
        <f>HYPERLINK("http://dx.doi.org/10.1017/S0032247422000195","http://dx.doi.org/10.1017/S0032247422000195")</f>
        <v>http://dx.doi.org/10.1017/S0032247422000195</v>
      </c>
      <c r="BG751" t="s">
        <v>74</v>
      </c>
      <c r="BH751" t="s">
        <v>74</v>
      </c>
      <c r="BI751">
        <v>10</v>
      </c>
      <c r="BJ751" t="s">
        <v>2442</v>
      </c>
      <c r="BK751" t="s">
        <v>100</v>
      </c>
      <c r="BL751" t="s">
        <v>2041</v>
      </c>
      <c r="BM751" t="s">
        <v>14672</v>
      </c>
      <c r="BN751" t="s">
        <v>74</v>
      </c>
      <c r="BO751" t="s">
        <v>74</v>
      </c>
      <c r="BP751" t="s">
        <v>74</v>
      </c>
      <c r="BQ751" t="s">
        <v>74</v>
      </c>
      <c r="BR751" t="s">
        <v>103</v>
      </c>
      <c r="BS751" t="s">
        <v>14673</v>
      </c>
      <c r="BT751" t="str">
        <f>HYPERLINK("https%3A%2F%2Fwww.webofscience.com%2Fwos%2Fwoscc%2Ffull-record%2FWOS:000823508800001","View Full Record in Web of Science")</f>
        <v>View Full Record in Web of Science</v>
      </c>
    </row>
    <row r="752" spans="1:72" x14ac:dyDescent="0.15">
      <c r="A752" t="s">
        <v>72</v>
      </c>
      <c r="B752" t="s">
        <v>14674</v>
      </c>
      <c r="C752" t="s">
        <v>74</v>
      </c>
      <c r="D752" t="s">
        <v>74</v>
      </c>
      <c r="E752" t="s">
        <v>74</v>
      </c>
      <c r="F752" t="s">
        <v>14675</v>
      </c>
      <c r="G752" t="s">
        <v>74</v>
      </c>
      <c r="H752" t="s">
        <v>74</v>
      </c>
      <c r="I752" t="s">
        <v>14676</v>
      </c>
      <c r="J752" t="s">
        <v>5452</v>
      </c>
      <c r="K752" t="s">
        <v>74</v>
      </c>
      <c r="L752" t="s">
        <v>74</v>
      </c>
      <c r="M752" t="s">
        <v>78</v>
      </c>
      <c r="N752" t="s">
        <v>79</v>
      </c>
      <c r="O752" t="s">
        <v>74</v>
      </c>
      <c r="P752" t="s">
        <v>74</v>
      </c>
      <c r="Q752" t="s">
        <v>74</v>
      </c>
      <c r="R752" t="s">
        <v>74</v>
      </c>
      <c r="S752" t="s">
        <v>74</v>
      </c>
      <c r="T752" t="s">
        <v>14677</v>
      </c>
      <c r="U752" t="s">
        <v>14678</v>
      </c>
      <c r="V752" t="s">
        <v>14679</v>
      </c>
      <c r="W752" t="s">
        <v>14680</v>
      </c>
      <c r="X752" t="s">
        <v>13731</v>
      </c>
      <c r="Y752" t="s">
        <v>14681</v>
      </c>
      <c r="Z752" t="s">
        <v>14682</v>
      </c>
      <c r="AA752" t="s">
        <v>74</v>
      </c>
      <c r="AB752" t="s">
        <v>74</v>
      </c>
      <c r="AC752" t="s">
        <v>14683</v>
      </c>
      <c r="AD752" t="s">
        <v>14684</v>
      </c>
      <c r="AE752" t="s">
        <v>14685</v>
      </c>
      <c r="AF752" t="s">
        <v>74</v>
      </c>
      <c r="AG752">
        <v>96</v>
      </c>
      <c r="AH752">
        <v>2</v>
      </c>
      <c r="AI752">
        <v>2</v>
      </c>
      <c r="AJ752">
        <v>3</v>
      </c>
      <c r="AK752">
        <v>6</v>
      </c>
      <c r="AL752" t="s">
        <v>501</v>
      </c>
      <c r="AM752" t="s">
        <v>502</v>
      </c>
      <c r="AN752" t="s">
        <v>503</v>
      </c>
      <c r="AO752" t="s">
        <v>5464</v>
      </c>
      <c r="AP752" t="s">
        <v>5465</v>
      </c>
      <c r="AQ752" t="s">
        <v>74</v>
      </c>
      <c r="AR752" t="s">
        <v>5466</v>
      </c>
      <c r="AS752" t="s">
        <v>5467</v>
      </c>
      <c r="AT752" t="s">
        <v>5933</v>
      </c>
      <c r="AU752">
        <v>2022</v>
      </c>
      <c r="AV752">
        <v>601</v>
      </c>
      <c r="AW752" t="s">
        <v>74</v>
      </c>
      <c r="AX752" t="s">
        <v>74</v>
      </c>
      <c r="AY752" t="s">
        <v>74</v>
      </c>
      <c r="AZ752" t="s">
        <v>74</v>
      </c>
      <c r="BA752" t="s">
        <v>74</v>
      </c>
      <c r="BB752" t="s">
        <v>74</v>
      </c>
      <c r="BC752" t="s">
        <v>74</v>
      </c>
      <c r="BD752">
        <v>111140</v>
      </c>
      <c r="BE752" t="s">
        <v>14686</v>
      </c>
      <c r="BF752" t="str">
        <f>HYPERLINK("http://dx.doi.org/10.1016/j.palaeo.2022.111140","http://dx.doi.org/10.1016/j.palaeo.2022.111140")</f>
        <v>http://dx.doi.org/10.1016/j.palaeo.2022.111140</v>
      </c>
      <c r="BG752" t="s">
        <v>74</v>
      </c>
      <c r="BH752" t="s">
        <v>12326</v>
      </c>
      <c r="BI752">
        <v>11</v>
      </c>
      <c r="BJ752" t="s">
        <v>5469</v>
      </c>
      <c r="BK752" t="s">
        <v>100</v>
      </c>
      <c r="BL752" t="s">
        <v>5470</v>
      </c>
      <c r="BM752" t="s">
        <v>14687</v>
      </c>
      <c r="BN752" t="s">
        <v>74</v>
      </c>
      <c r="BO752" t="s">
        <v>74</v>
      </c>
      <c r="BP752" t="s">
        <v>74</v>
      </c>
      <c r="BQ752" t="s">
        <v>74</v>
      </c>
      <c r="BR752" t="s">
        <v>103</v>
      </c>
      <c r="BS752" t="s">
        <v>14688</v>
      </c>
      <c r="BT752" t="str">
        <f>HYPERLINK("https%3A%2F%2Fwww.webofscience.com%2Fwos%2Fwoscc%2Ffull-record%2FWOS:000877920700004","View Full Record in Web of Science")</f>
        <v>View Full Record in Web of Science</v>
      </c>
    </row>
    <row r="753" spans="1:72" x14ac:dyDescent="0.15">
      <c r="A753" t="s">
        <v>72</v>
      </c>
      <c r="B753" t="s">
        <v>14689</v>
      </c>
      <c r="C753" t="s">
        <v>74</v>
      </c>
      <c r="D753" t="s">
        <v>74</v>
      </c>
      <c r="E753" t="s">
        <v>74</v>
      </c>
      <c r="F753" t="s">
        <v>14690</v>
      </c>
      <c r="G753" t="s">
        <v>74</v>
      </c>
      <c r="H753" t="s">
        <v>74</v>
      </c>
      <c r="I753" t="s">
        <v>14691</v>
      </c>
      <c r="J753" t="s">
        <v>14692</v>
      </c>
      <c r="K753" t="s">
        <v>74</v>
      </c>
      <c r="L753" t="s">
        <v>74</v>
      </c>
      <c r="M753" t="s">
        <v>78</v>
      </c>
      <c r="N753" t="s">
        <v>79</v>
      </c>
      <c r="O753" t="s">
        <v>74</v>
      </c>
      <c r="P753" t="s">
        <v>74</v>
      </c>
      <c r="Q753" t="s">
        <v>74</v>
      </c>
      <c r="R753" t="s">
        <v>74</v>
      </c>
      <c r="S753" t="s">
        <v>74</v>
      </c>
      <c r="T753" t="s">
        <v>14693</v>
      </c>
      <c r="U753" t="s">
        <v>14694</v>
      </c>
      <c r="V753" t="s">
        <v>14695</v>
      </c>
      <c r="W753" t="s">
        <v>14696</v>
      </c>
      <c r="X753" t="s">
        <v>14697</v>
      </c>
      <c r="Y753" t="s">
        <v>14698</v>
      </c>
      <c r="Z753" t="s">
        <v>14699</v>
      </c>
      <c r="AA753" t="s">
        <v>14700</v>
      </c>
      <c r="AB753" t="s">
        <v>14701</v>
      </c>
      <c r="AC753" t="s">
        <v>14702</v>
      </c>
      <c r="AD753" t="s">
        <v>14703</v>
      </c>
      <c r="AE753" t="s">
        <v>14704</v>
      </c>
      <c r="AF753" t="s">
        <v>74</v>
      </c>
      <c r="AG753">
        <v>61</v>
      </c>
      <c r="AH753">
        <v>4</v>
      </c>
      <c r="AI753">
        <v>4</v>
      </c>
      <c r="AJ753">
        <v>0</v>
      </c>
      <c r="AK753">
        <v>8</v>
      </c>
      <c r="AL753" t="s">
        <v>14705</v>
      </c>
      <c r="AM753" t="s">
        <v>14706</v>
      </c>
      <c r="AN753" t="s">
        <v>14707</v>
      </c>
      <c r="AO753" t="s">
        <v>14708</v>
      </c>
      <c r="AP753" t="s">
        <v>14709</v>
      </c>
      <c r="AQ753" t="s">
        <v>74</v>
      </c>
      <c r="AR753" t="s">
        <v>14710</v>
      </c>
      <c r="AS753" t="s">
        <v>14711</v>
      </c>
      <c r="AT753" t="s">
        <v>325</v>
      </c>
      <c r="AU753">
        <v>2022</v>
      </c>
      <c r="AV753">
        <v>91</v>
      </c>
      <c r="AW753" t="s">
        <v>74</v>
      </c>
      <c r="AX753" t="s">
        <v>74</v>
      </c>
      <c r="AY753" t="s">
        <v>74</v>
      </c>
      <c r="AZ753" t="s">
        <v>74</v>
      </c>
      <c r="BA753" t="s">
        <v>74</v>
      </c>
      <c r="BB753" t="s">
        <v>74</v>
      </c>
      <c r="BC753" t="s">
        <v>74</v>
      </c>
      <c r="BD753">
        <v>102616</v>
      </c>
      <c r="BE753" t="s">
        <v>14712</v>
      </c>
      <c r="BF753" t="str">
        <f>HYPERLINK("http://dx.doi.org/10.1016/j.parint.2022.102616","http://dx.doi.org/10.1016/j.parint.2022.102616")</f>
        <v>http://dx.doi.org/10.1016/j.parint.2022.102616</v>
      </c>
      <c r="BG753" t="s">
        <v>74</v>
      </c>
      <c r="BH753" t="s">
        <v>12326</v>
      </c>
      <c r="BI753">
        <v>12</v>
      </c>
      <c r="BJ753" t="s">
        <v>14572</v>
      </c>
      <c r="BK753" t="s">
        <v>100</v>
      </c>
      <c r="BL753" t="s">
        <v>14572</v>
      </c>
      <c r="BM753" t="s">
        <v>14713</v>
      </c>
      <c r="BN753">
        <v>35753653</v>
      </c>
      <c r="BO753" t="s">
        <v>74</v>
      </c>
      <c r="BP753" t="s">
        <v>74</v>
      </c>
      <c r="BQ753" t="s">
        <v>74</v>
      </c>
      <c r="BR753" t="s">
        <v>103</v>
      </c>
      <c r="BS753" t="s">
        <v>14714</v>
      </c>
      <c r="BT753" t="str">
        <f>HYPERLINK("https%3A%2F%2Fwww.webofscience.com%2Fwos%2Fwoscc%2Ffull-record%2FWOS:000863121200009","View Full Record in Web of Science")</f>
        <v>View Full Record in Web of Science</v>
      </c>
    </row>
    <row r="754" spans="1:72" x14ac:dyDescent="0.15">
      <c r="A754" t="s">
        <v>72</v>
      </c>
      <c r="B754" t="s">
        <v>14715</v>
      </c>
      <c r="C754" t="s">
        <v>74</v>
      </c>
      <c r="D754" t="s">
        <v>74</v>
      </c>
      <c r="E754" t="s">
        <v>74</v>
      </c>
      <c r="F754" t="s">
        <v>14716</v>
      </c>
      <c r="G754" t="s">
        <v>74</v>
      </c>
      <c r="H754" t="s">
        <v>74</v>
      </c>
      <c r="I754" t="s">
        <v>14717</v>
      </c>
      <c r="J754" t="s">
        <v>14718</v>
      </c>
      <c r="K754" t="s">
        <v>74</v>
      </c>
      <c r="L754" t="s">
        <v>74</v>
      </c>
      <c r="M754" t="s">
        <v>78</v>
      </c>
      <c r="N754" t="s">
        <v>79</v>
      </c>
      <c r="O754" t="s">
        <v>74</v>
      </c>
      <c r="P754" t="s">
        <v>74</v>
      </c>
      <c r="Q754" t="s">
        <v>74</v>
      </c>
      <c r="R754" t="s">
        <v>74</v>
      </c>
      <c r="S754" t="s">
        <v>74</v>
      </c>
      <c r="T754" t="s">
        <v>14719</v>
      </c>
      <c r="U754" t="s">
        <v>14720</v>
      </c>
      <c r="V754" t="s">
        <v>14721</v>
      </c>
      <c r="W754" t="s">
        <v>14722</v>
      </c>
      <c r="X754" t="s">
        <v>14723</v>
      </c>
      <c r="Y754" t="s">
        <v>14724</v>
      </c>
      <c r="Z754" t="s">
        <v>14725</v>
      </c>
      <c r="AA754" t="s">
        <v>14726</v>
      </c>
      <c r="AB754" t="s">
        <v>14727</v>
      </c>
      <c r="AC754" t="s">
        <v>14728</v>
      </c>
      <c r="AD754" t="s">
        <v>14729</v>
      </c>
      <c r="AE754" t="s">
        <v>14730</v>
      </c>
      <c r="AF754" t="s">
        <v>74</v>
      </c>
      <c r="AG754">
        <v>54</v>
      </c>
      <c r="AH754">
        <v>17</v>
      </c>
      <c r="AI754">
        <v>17</v>
      </c>
      <c r="AJ754">
        <v>9</v>
      </c>
      <c r="AK754">
        <v>33</v>
      </c>
      <c r="AL754" t="s">
        <v>14731</v>
      </c>
      <c r="AM754" t="s">
        <v>14732</v>
      </c>
      <c r="AN754" t="s">
        <v>14733</v>
      </c>
      <c r="AO754" t="s">
        <v>14734</v>
      </c>
      <c r="AP754" t="s">
        <v>74</v>
      </c>
      <c r="AQ754" t="s">
        <v>74</v>
      </c>
      <c r="AR754" t="s">
        <v>14735</v>
      </c>
      <c r="AS754" t="s">
        <v>14736</v>
      </c>
      <c r="AT754" t="s">
        <v>14737</v>
      </c>
      <c r="AU754">
        <v>2022</v>
      </c>
      <c r="AV754">
        <v>10</v>
      </c>
      <c r="AW754">
        <v>1</v>
      </c>
      <c r="AX754" t="s">
        <v>74</v>
      </c>
      <c r="AY754" t="s">
        <v>74</v>
      </c>
      <c r="AZ754" t="s">
        <v>74</v>
      </c>
      <c r="BA754" t="s">
        <v>74</v>
      </c>
      <c r="BB754" t="s">
        <v>74</v>
      </c>
      <c r="BC754" t="s">
        <v>74</v>
      </c>
      <c r="BD754" t="s">
        <v>74</v>
      </c>
      <c r="BE754" t="s">
        <v>14738</v>
      </c>
      <c r="BF754" t="str">
        <f>HYPERLINK("http://dx.doi.org/10.1525/elementa.2021.000089","http://dx.doi.org/10.1525/elementa.2021.000089")</f>
        <v>http://dx.doi.org/10.1525/elementa.2021.000089</v>
      </c>
      <c r="BG754" t="s">
        <v>74</v>
      </c>
      <c r="BH754" t="s">
        <v>74</v>
      </c>
      <c r="BI754">
        <v>22</v>
      </c>
      <c r="BJ754" t="s">
        <v>1129</v>
      </c>
      <c r="BK754" t="s">
        <v>100</v>
      </c>
      <c r="BL754" t="s">
        <v>1130</v>
      </c>
      <c r="BM754" t="s">
        <v>14739</v>
      </c>
      <c r="BN754" t="s">
        <v>74</v>
      </c>
      <c r="BO754" t="s">
        <v>266</v>
      </c>
      <c r="BP754" t="s">
        <v>74</v>
      </c>
      <c r="BQ754" t="s">
        <v>74</v>
      </c>
      <c r="BR754" t="s">
        <v>103</v>
      </c>
      <c r="BS754" t="s">
        <v>14740</v>
      </c>
      <c r="BT754" t="str">
        <f>HYPERLINK("https%3A%2F%2Fwww.webofscience.com%2Fwos%2Fwoscc%2Ffull-record%2FWOS:000836667200001","View Full Record in Web of Science")</f>
        <v>View Full Record in Web of Science</v>
      </c>
    </row>
    <row r="755" spans="1:72" x14ac:dyDescent="0.15">
      <c r="A755" t="s">
        <v>72</v>
      </c>
      <c r="B755" t="s">
        <v>14741</v>
      </c>
      <c r="C755" t="s">
        <v>74</v>
      </c>
      <c r="D755" t="s">
        <v>74</v>
      </c>
      <c r="E755" t="s">
        <v>74</v>
      </c>
      <c r="F755" t="s">
        <v>14742</v>
      </c>
      <c r="G755" t="s">
        <v>74</v>
      </c>
      <c r="H755" t="s">
        <v>74</v>
      </c>
      <c r="I755" t="s">
        <v>14743</v>
      </c>
      <c r="J755" t="s">
        <v>14744</v>
      </c>
      <c r="K755" t="s">
        <v>74</v>
      </c>
      <c r="L755" t="s">
        <v>74</v>
      </c>
      <c r="M755" t="s">
        <v>78</v>
      </c>
      <c r="N755" t="s">
        <v>79</v>
      </c>
      <c r="O755" t="s">
        <v>74</v>
      </c>
      <c r="P755" t="s">
        <v>74</v>
      </c>
      <c r="Q755" t="s">
        <v>74</v>
      </c>
      <c r="R755" t="s">
        <v>74</v>
      </c>
      <c r="S755" t="s">
        <v>74</v>
      </c>
      <c r="T755" t="s">
        <v>14745</v>
      </c>
      <c r="U755" t="s">
        <v>14746</v>
      </c>
      <c r="V755" t="s">
        <v>14747</v>
      </c>
      <c r="W755" t="s">
        <v>14748</v>
      </c>
      <c r="X755" t="s">
        <v>14749</v>
      </c>
      <c r="Y755" t="s">
        <v>14750</v>
      </c>
      <c r="Z755" t="s">
        <v>14751</v>
      </c>
      <c r="AA755" t="s">
        <v>74</v>
      </c>
      <c r="AB755" t="s">
        <v>14752</v>
      </c>
      <c r="AC755" t="s">
        <v>14753</v>
      </c>
      <c r="AD755" t="s">
        <v>14754</v>
      </c>
      <c r="AE755" t="s">
        <v>14755</v>
      </c>
      <c r="AF755" t="s">
        <v>74</v>
      </c>
      <c r="AG755">
        <v>47</v>
      </c>
      <c r="AH755">
        <v>0</v>
      </c>
      <c r="AI755">
        <v>0</v>
      </c>
      <c r="AJ755">
        <v>0</v>
      </c>
      <c r="AK755">
        <v>5</v>
      </c>
      <c r="AL755" t="s">
        <v>501</v>
      </c>
      <c r="AM755" t="s">
        <v>502</v>
      </c>
      <c r="AN755" t="s">
        <v>503</v>
      </c>
      <c r="AO755" t="s">
        <v>14756</v>
      </c>
      <c r="AP755" t="s">
        <v>14757</v>
      </c>
      <c r="AQ755" t="s">
        <v>74</v>
      </c>
      <c r="AR755" t="s">
        <v>14758</v>
      </c>
      <c r="AS755" t="s">
        <v>14759</v>
      </c>
      <c r="AT755" t="s">
        <v>428</v>
      </c>
      <c r="AU755">
        <v>2022</v>
      </c>
      <c r="AV755">
        <v>202</v>
      </c>
      <c r="AW755" t="s">
        <v>74</v>
      </c>
      <c r="AX755" t="s">
        <v>74</v>
      </c>
      <c r="AY755" t="s">
        <v>74</v>
      </c>
      <c r="AZ755" t="s">
        <v>74</v>
      </c>
      <c r="BA755" t="s">
        <v>74</v>
      </c>
      <c r="BB755" t="s">
        <v>74</v>
      </c>
      <c r="BC755" t="s">
        <v>74</v>
      </c>
      <c r="BD755">
        <v>103615</v>
      </c>
      <c r="BE755" t="s">
        <v>14760</v>
      </c>
      <c r="BF755" t="str">
        <f>HYPERLINK("http://dx.doi.org/10.1016/j.coldregions.2022.103615","http://dx.doi.org/10.1016/j.coldregions.2022.103615")</f>
        <v>http://dx.doi.org/10.1016/j.coldregions.2022.103615</v>
      </c>
      <c r="BG755" t="s">
        <v>74</v>
      </c>
      <c r="BH755" t="s">
        <v>12326</v>
      </c>
      <c r="BI755">
        <v>10</v>
      </c>
      <c r="BJ755" t="s">
        <v>7557</v>
      </c>
      <c r="BK755" t="s">
        <v>100</v>
      </c>
      <c r="BL755" t="s">
        <v>7558</v>
      </c>
      <c r="BM755" t="s">
        <v>14761</v>
      </c>
      <c r="BN755" t="s">
        <v>74</v>
      </c>
      <c r="BO755" t="s">
        <v>1341</v>
      </c>
      <c r="BP755" t="s">
        <v>74</v>
      </c>
      <c r="BQ755" t="s">
        <v>74</v>
      </c>
      <c r="BR755" t="s">
        <v>103</v>
      </c>
      <c r="BS755" t="s">
        <v>14762</v>
      </c>
      <c r="BT755" t="str">
        <f>HYPERLINK("https%3A%2F%2Fwww.webofscience.com%2Fwos%2Fwoscc%2Ffull-record%2FWOS:000831536000002","View Full Record in Web of Science")</f>
        <v>View Full Record in Web of Science</v>
      </c>
    </row>
    <row r="756" spans="1:72" x14ac:dyDescent="0.15">
      <c r="A756" t="s">
        <v>72</v>
      </c>
      <c r="B756" t="s">
        <v>14763</v>
      </c>
      <c r="C756" t="s">
        <v>74</v>
      </c>
      <c r="D756" t="s">
        <v>74</v>
      </c>
      <c r="E756" t="s">
        <v>74</v>
      </c>
      <c r="F756" t="s">
        <v>14764</v>
      </c>
      <c r="G756" t="s">
        <v>74</v>
      </c>
      <c r="H756" t="s">
        <v>74</v>
      </c>
      <c r="I756" t="s">
        <v>14765</v>
      </c>
      <c r="J756" t="s">
        <v>247</v>
      </c>
      <c r="K756" t="s">
        <v>74</v>
      </c>
      <c r="L756" t="s">
        <v>74</v>
      </c>
      <c r="M756" t="s">
        <v>78</v>
      </c>
      <c r="N756" t="s">
        <v>79</v>
      </c>
      <c r="O756" t="s">
        <v>74</v>
      </c>
      <c r="P756" t="s">
        <v>74</v>
      </c>
      <c r="Q756" t="s">
        <v>74</v>
      </c>
      <c r="R756" t="s">
        <v>74</v>
      </c>
      <c r="S756" t="s">
        <v>74</v>
      </c>
      <c r="T756" t="s">
        <v>14766</v>
      </c>
      <c r="U756" t="s">
        <v>14767</v>
      </c>
      <c r="V756" t="s">
        <v>14768</v>
      </c>
      <c r="W756" t="s">
        <v>14769</v>
      </c>
      <c r="X756" t="s">
        <v>1502</v>
      </c>
      <c r="Y756" t="s">
        <v>14770</v>
      </c>
      <c r="Z756" t="s">
        <v>1504</v>
      </c>
      <c r="AA756" t="s">
        <v>14771</v>
      </c>
      <c r="AB756" t="s">
        <v>14772</v>
      </c>
      <c r="AC756" t="s">
        <v>14773</v>
      </c>
      <c r="AD756" t="s">
        <v>14774</v>
      </c>
      <c r="AE756" t="s">
        <v>14775</v>
      </c>
      <c r="AF756" t="s">
        <v>74</v>
      </c>
      <c r="AG756">
        <v>46</v>
      </c>
      <c r="AH756">
        <v>2</v>
      </c>
      <c r="AI756">
        <v>2</v>
      </c>
      <c r="AJ756">
        <v>2</v>
      </c>
      <c r="AK756">
        <v>12</v>
      </c>
      <c r="AL756" t="s">
        <v>121</v>
      </c>
      <c r="AM756" t="s">
        <v>122</v>
      </c>
      <c r="AN756" t="s">
        <v>123</v>
      </c>
      <c r="AO756" t="s">
        <v>74</v>
      </c>
      <c r="AP756" t="s">
        <v>258</v>
      </c>
      <c r="AQ756" t="s">
        <v>74</v>
      </c>
      <c r="AR756" t="s">
        <v>259</v>
      </c>
      <c r="AS756" t="s">
        <v>260</v>
      </c>
      <c r="AT756" t="s">
        <v>14737</v>
      </c>
      <c r="AU756">
        <v>2022</v>
      </c>
      <c r="AV756">
        <v>9</v>
      </c>
      <c r="AW756" t="s">
        <v>74</v>
      </c>
      <c r="AX756" t="s">
        <v>74</v>
      </c>
      <c r="AY756" t="s">
        <v>74</v>
      </c>
      <c r="AZ756" t="s">
        <v>74</v>
      </c>
      <c r="BA756" t="s">
        <v>74</v>
      </c>
      <c r="BB756" t="s">
        <v>74</v>
      </c>
      <c r="BC756" t="s">
        <v>74</v>
      </c>
      <c r="BD756">
        <v>889317</v>
      </c>
      <c r="BE756" t="s">
        <v>14776</v>
      </c>
      <c r="BF756" t="str">
        <f>HYPERLINK("http://dx.doi.org/10.3389/fmars.2022.889317","http://dx.doi.org/10.3389/fmars.2022.889317")</f>
        <v>http://dx.doi.org/10.3389/fmars.2022.889317</v>
      </c>
      <c r="BG756" t="s">
        <v>74</v>
      </c>
      <c r="BH756" t="s">
        <v>74</v>
      </c>
      <c r="BI756">
        <v>12</v>
      </c>
      <c r="BJ756" t="s">
        <v>263</v>
      </c>
      <c r="BK756" t="s">
        <v>100</v>
      </c>
      <c r="BL756" t="s">
        <v>264</v>
      </c>
      <c r="BM756" t="s">
        <v>14777</v>
      </c>
      <c r="BN756" t="s">
        <v>74</v>
      </c>
      <c r="BO756" t="s">
        <v>159</v>
      </c>
      <c r="BP756" t="s">
        <v>74</v>
      </c>
      <c r="BQ756" t="s">
        <v>74</v>
      </c>
      <c r="BR756" t="s">
        <v>103</v>
      </c>
      <c r="BS756" t="s">
        <v>14778</v>
      </c>
      <c r="BT756" t="str">
        <f>HYPERLINK("https%3A%2F%2Fwww.webofscience.com%2Fwos%2Fwoscc%2Ffull-record%2FWOS:000832990600001","View Full Record in Web of Science")</f>
        <v>View Full Record in Web of Science</v>
      </c>
    </row>
    <row r="757" spans="1:72" x14ac:dyDescent="0.15">
      <c r="A757" t="s">
        <v>72</v>
      </c>
      <c r="B757" t="s">
        <v>14779</v>
      </c>
      <c r="C757" t="s">
        <v>74</v>
      </c>
      <c r="D757" t="s">
        <v>74</v>
      </c>
      <c r="E757" t="s">
        <v>74</v>
      </c>
      <c r="F757" t="s">
        <v>14780</v>
      </c>
      <c r="G757" t="s">
        <v>74</v>
      </c>
      <c r="H757" t="s">
        <v>74</v>
      </c>
      <c r="I757" t="s">
        <v>14781</v>
      </c>
      <c r="J757" t="s">
        <v>2849</v>
      </c>
      <c r="K757" t="s">
        <v>74</v>
      </c>
      <c r="L757" t="s">
        <v>74</v>
      </c>
      <c r="M757" t="s">
        <v>78</v>
      </c>
      <c r="N757" t="s">
        <v>79</v>
      </c>
      <c r="O757" t="s">
        <v>74</v>
      </c>
      <c r="P757" t="s">
        <v>74</v>
      </c>
      <c r="Q757" t="s">
        <v>74</v>
      </c>
      <c r="R757" t="s">
        <v>74</v>
      </c>
      <c r="S757" t="s">
        <v>74</v>
      </c>
      <c r="T757" t="s">
        <v>14782</v>
      </c>
      <c r="U757" t="s">
        <v>14783</v>
      </c>
      <c r="V757" t="s">
        <v>14784</v>
      </c>
      <c r="W757" t="s">
        <v>14785</v>
      </c>
      <c r="X757" t="s">
        <v>14786</v>
      </c>
      <c r="Y757" t="s">
        <v>14787</v>
      </c>
      <c r="Z757" t="s">
        <v>14788</v>
      </c>
      <c r="AA757" t="s">
        <v>14789</v>
      </c>
      <c r="AB757" t="s">
        <v>14790</v>
      </c>
      <c r="AC757" t="s">
        <v>14791</v>
      </c>
      <c r="AD757" t="s">
        <v>14792</v>
      </c>
      <c r="AE757" t="s">
        <v>14793</v>
      </c>
      <c r="AF757" t="s">
        <v>74</v>
      </c>
      <c r="AG757">
        <v>48</v>
      </c>
      <c r="AH757">
        <v>1</v>
      </c>
      <c r="AI757">
        <v>1</v>
      </c>
      <c r="AJ757">
        <v>5</v>
      </c>
      <c r="AK757">
        <v>13</v>
      </c>
      <c r="AL757" t="s">
        <v>2249</v>
      </c>
      <c r="AM757" t="s">
        <v>90</v>
      </c>
      <c r="AN757" t="s">
        <v>2250</v>
      </c>
      <c r="AO757" t="s">
        <v>2862</v>
      </c>
      <c r="AP757" t="s">
        <v>2863</v>
      </c>
      <c r="AQ757" t="s">
        <v>74</v>
      </c>
      <c r="AR757" t="s">
        <v>2864</v>
      </c>
      <c r="AS757" t="s">
        <v>2865</v>
      </c>
      <c r="AT757" t="s">
        <v>5386</v>
      </c>
      <c r="AU757">
        <v>2022</v>
      </c>
      <c r="AV757">
        <v>176</v>
      </c>
      <c r="AW757" t="s">
        <v>74</v>
      </c>
      <c r="AX757" t="s">
        <v>74</v>
      </c>
      <c r="AY757" t="s">
        <v>74</v>
      </c>
      <c r="AZ757" t="s">
        <v>74</v>
      </c>
      <c r="BA757" t="s">
        <v>74</v>
      </c>
      <c r="BB757" t="s">
        <v>74</v>
      </c>
      <c r="BC757" t="s">
        <v>74</v>
      </c>
      <c r="BD757">
        <v>176</v>
      </c>
      <c r="BE757" t="s">
        <v>14794</v>
      </c>
      <c r="BF757" t="str">
        <f>HYPERLINK("http://dx.doi.org/10.1016/j.ocemod.2022.102069","http://dx.doi.org/10.1016/j.ocemod.2022.102069")</f>
        <v>http://dx.doi.org/10.1016/j.ocemod.2022.102069</v>
      </c>
      <c r="BG757" t="s">
        <v>74</v>
      </c>
      <c r="BH757" t="s">
        <v>12326</v>
      </c>
      <c r="BI757">
        <v>16</v>
      </c>
      <c r="BJ757" t="s">
        <v>1033</v>
      </c>
      <c r="BK757" t="s">
        <v>100</v>
      </c>
      <c r="BL757" t="s">
        <v>1033</v>
      </c>
      <c r="BM757" t="s">
        <v>14795</v>
      </c>
      <c r="BN757" t="s">
        <v>74</v>
      </c>
      <c r="BO757" t="s">
        <v>3327</v>
      </c>
      <c r="BP757" t="s">
        <v>74</v>
      </c>
      <c r="BQ757" t="s">
        <v>74</v>
      </c>
      <c r="BR757" t="s">
        <v>103</v>
      </c>
      <c r="BS757" t="s">
        <v>14796</v>
      </c>
      <c r="BT757" t="str">
        <f>HYPERLINK("https%3A%2F%2Fwww.webofscience.com%2Fwos%2Fwoscc%2Ffull-record%2FWOS:000829494200001","View Full Record in Web of Science")</f>
        <v>View Full Record in Web of Science</v>
      </c>
    </row>
    <row r="758" spans="1:72" x14ac:dyDescent="0.15">
      <c r="A758" t="s">
        <v>72</v>
      </c>
      <c r="B758" t="s">
        <v>14797</v>
      </c>
      <c r="C758" t="s">
        <v>74</v>
      </c>
      <c r="D758" t="s">
        <v>74</v>
      </c>
      <c r="E758" t="s">
        <v>74</v>
      </c>
      <c r="F758" t="s">
        <v>14798</v>
      </c>
      <c r="G758" t="s">
        <v>74</v>
      </c>
      <c r="H758" t="s">
        <v>74</v>
      </c>
      <c r="I758" t="s">
        <v>14799</v>
      </c>
      <c r="J758" t="s">
        <v>14800</v>
      </c>
      <c r="K758" t="s">
        <v>74</v>
      </c>
      <c r="L758" t="s">
        <v>74</v>
      </c>
      <c r="M758" t="s">
        <v>78</v>
      </c>
      <c r="N758" t="s">
        <v>165</v>
      </c>
      <c r="O758" t="s">
        <v>74</v>
      </c>
      <c r="P758" t="s">
        <v>74</v>
      </c>
      <c r="Q758" t="s">
        <v>74</v>
      </c>
      <c r="R758" t="s">
        <v>74</v>
      </c>
      <c r="S758" t="s">
        <v>74</v>
      </c>
      <c r="T758" t="s">
        <v>14801</v>
      </c>
      <c r="U758" t="s">
        <v>14802</v>
      </c>
      <c r="V758" t="s">
        <v>14803</v>
      </c>
      <c r="W758" t="s">
        <v>14804</v>
      </c>
      <c r="X758" t="s">
        <v>14805</v>
      </c>
      <c r="Y758" t="s">
        <v>14806</v>
      </c>
      <c r="Z758" t="s">
        <v>14807</v>
      </c>
      <c r="AA758" t="s">
        <v>74</v>
      </c>
      <c r="AB758" t="s">
        <v>74</v>
      </c>
      <c r="AC758" t="s">
        <v>14808</v>
      </c>
      <c r="AD758" t="s">
        <v>14809</v>
      </c>
      <c r="AE758" t="s">
        <v>14810</v>
      </c>
      <c r="AF758" t="s">
        <v>74</v>
      </c>
      <c r="AG758">
        <v>196</v>
      </c>
      <c r="AH758">
        <v>7</v>
      </c>
      <c r="AI758">
        <v>7</v>
      </c>
      <c r="AJ758">
        <v>10</v>
      </c>
      <c r="AK758">
        <v>42</v>
      </c>
      <c r="AL758" t="s">
        <v>178</v>
      </c>
      <c r="AM758" t="s">
        <v>450</v>
      </c>
      <c r="AN758" t="s">
        <v>668</v>
      </c>
      <c r="AO758" t="s">
        <v>14811</v>
      </c>
      <c r="AP758" t="s">
        <v>14812</v>
      </c>
      <c r="AQ758" t="s">
        <v>74</v>
      </c>
      <c r="AR758" t="s">
        <v>14813</v>
      </c>
      <c r="AS758" t="s">
        <v>14814</v>
      </c>
      <c r="AT758" t="s">
        <v>184</v>
      </c>
      <c r="AU758">
        <v>2023</v>
      </c>
      <c r="AV758">
        <v>20</v>
      </c>
      <c r="AW758">
        <v>7</v>
      </c>
      <c r="AX758" t="s">
        <v>74</v>
      </c>
      <c r="AY758" t="s">
        <v>74</v>
      </c>
      <c r="AZ758" t="s">
        <v>74</v>
      </c>
      <c r="BA758" t="s">
        <v>74</v>
      </c>
      <c r="BB758">
        <v>8175</v>
      </c>
      <c r="BC758">
        <v>8198</v>
      </c>
      <c r="BD758" t="s">
        <v>74</v>
      </c>
      <c r="BE758" t="s">
        <v>14815</v>
      </c>
      <c r="BF758" t="str">
        <f>HYPERLINK("http://dx.doi.org/10.1007/s13762-022-04363-w","http://dx.doi.org/10.1007/s13762-022-04363-w")</f>
        <v>http://dx.doi.org/10.1007/s13762-022-04363-w</v>
      </c>
      <c r="BG758" t="s">
        <v>74</v>
      </c>
      <c r="BH758" t="s">
        <v>12326</v>
      </c>
      <c r="BI758">
        <v>24</v>
      </c>
      <c r="BJ758" t="s">
        <v>2040</v>
      </c>
      <c r="BK758" t="s">
        <v>100</v>
      </c>
      <c r="BL758" t="s">
        <v>2041</v>
      </c>
      <c r="BM758" t="s">
        <v>14816</v>
      </c>
      <c r="BN758" t="s">
        <v>74</v>
      </c>
      <c r="BO758" t="s">
        <v>74</v>
      </c>
      <c r="BP758" t="s">
        <v>74</v>
      </c>
      <c r="BQ758" t="s">
        <v>74</v>
      </c>
      <c r="BR758" t="s">
        <v>103</v>
      </c>
      <c r="BS758" t="s">
        <v>14817</v>
      </c>
      <c r="BT758" t="str">
        <f>HYPERLINK("https%3A%2F%2Fwww.webofscience.com%2Fwos%2Fwoscc%2Ffull-record%2FWOS:000825740900001","View Full Record in Web of Science")</f>
        <v>View Full Record in Web of Science</v>
      </c>
    </row>
    <row r="759" spans="1:72" x14ac:dyDescent="0.15">
      <c r="A759" t="s">
        <v>72</v>
      </c>
      <c r="B759" t="s">
        <v>14818</v>
      </c>
      <c r="C759" t="s">
        <v>74</v>
      </c>
      <c r="D759" t="s">
        <v>74</v>
      </c>
      <c r="E759" t="s">
        <v>74</v>
      </c>
      <c r="F759" t="s">
        <v>14819</v>
      </c>
      <c r="G759" t="s">
        <v>74</v>
      </c>
      <c r="H759" t="s">
        <v>74</v>
      </c>
      <c r="I759" t="s">
        <v>14820</v>
      </c>
      <c r="J759" t="s">
        <v>14821</v>
      </c>
      <c r="K759" t="s">
        <v>74</v>
      </c>
      <c r="L759" t="s">
        <v>74</v>
      </c>
      <c r="M759" t="s">
        <v>78</v>
      </c>
      <c r="N759" t="s">
        <v>79</v>
      </c>
      <c r="O759" t="s">
        <v>74</v>
      </c>
      <c r="P759" t="s">
        <v>74</v>
      </c>
      <c r="Q759" t="s">
        <v>74</v>
      </c>
      <c r="R759" t="s">
        <v>74</v>
      </c>
      <c r="S759" t="s">
        <v>74</v>
      </c>
      <c r="T759" t="s">
        <v>14822</v>
      </c>
      <c r="U759" t="s">
        <v>14823</v>
      </c>
      <c r="V759" t="s">
        <v>14824</v>
      </c>
      <c r="W759" t="s">
        <v>14825</v>
      </c>
      <c r="X759" t="s">
        <v>14826</v>
      </c>
      <c r="Y759" t="s">
        <v>14827</v>
      </c>
      <c r="Z759" t="s">
        <v>14828</v>
      </c>
      <c r="AA759" t="s">
        <v>14829</v>
      </c>
      <c r="AB759" t="s">
        <v>14830</v>
      </c>
      <c r="AC759" t="s">
        <v>14831</v>
      </c>
      <c r="AD759" t="s">
        <v>14832</v>
      </c>
      <c r="AE759" t="s">
        <v>14833</v>
      </c>
      <c r="AF759" t="s">
        <v>74</v>
      </c>
      <c r="AG759">
        <v>189</v>
      </c>
      <c r="AH759">
        <v>4</v>
      </c>
      <c r="AI759">
        <v>4</v>
      </c>
      <c r="AJ759">
        <v>6</v>
      </c>
      <c r="AK759">
        <v>25</v>
      </c>
      <c r="AL759" t="s">
        <v>10573</v>
      </c>
      <c r="AM759" t="s">
        <v>2774</v>
      </c>
      <c r="AN759" t="s">
        <v>10574</v>
      </c>
      <c r="AO759" t="s">
        <v>74</v>
      </c>
      <c r="AP759" t="s">
        <v>14834</v>
      </c>
      <c r="AQ759" t="s">
        <v>74</v>
      </c>
      <c r="AR759" t="s">
        <v>14835</v>
      </c>
      <c r="AS759" t="s">
        <v>14836</v>
      </c>
      <c r="AT759" t="s">
        <v>14737</v>
      </c>
      <c r="AU759">
        <v>2022</v>
      </c>
      <c r="AV759">
        <v>22</v>
      </c>
      <c r="AW759">
        <v>1</v>
      </c>
      <c r="AX759" t="s">
        <v>74</v>
      </c>
      <c r="AY759" t="s">
        <v>74</v>
      </c>
      <c r="AZ759" t="s">
        <v>74</v>
      </c>
      <c r="BA759" t="s">
        <v>74</v>
      </c>
      <c r="BB759" t="s">
        <v>74</v>
      </c>
      <c r="BC759" t="s">
        <v>74</v>
      </c>
      <c r="BD759">
        <v>88</v>
      </c>
      <c r="BE759" t="s">
        <v>14837</v>
      </c>
      <c r="BF759" t="str">
        <f>HYPERLINK("http://dx.doi.org/10.1186/s12862-022-02038-1","http://dx.doi.org/10.1186/s12862-022-02038-1")</f>
        <v>http://dx.doi.org/10.1186/s12862-022-02038-1</v>
      </c>
      <c r="BG759" t="s">
        <v>74</v>
      </c>
      <c r="BH759" t="s">
        <v>74</v>
      </c>
      <c r="BI759">
        <v>18</v>
      </c>
      <c r="BJ759" t="s">
        <v>14838</v>
      </c>
      <c r="BK759" t="s">
        <v>100</v>
      </c>
      <c r="BL759" t="s">
        <v>14839</v>
      </c>
      <c r="BM759" t="s">
        <v>14840</v>
      </c>
      <c r="BN759">
        <v>35818031</v>
      </c>
      <c r="BO759" t="s">
        <v>132</v>
      </c>
      <c r="BP759" t="s">
        <v>74</v>
      </c>
      <c r="BQ759" t="s">
        <v>74</v>
      </c>
      <c r="BR759" t="s">
        <v>103</v>
      </c>
      <c r="BS759" t="s">
        <v>14841</v>
      </c>
      <c r="BT759" t="str">
        <f>HYPERLINK("https%3A%2F%2Fwww.webofscience.com%2Fwos%2Fwoscc%2Ffull-record%2FWOS:000824899100001","View Full Record in Web of Science")</f>
        <v>View Full Record in Web of Science</v>
      </c>
    </row>
    <row r="760" spans="1:72" x14ac:dyDescent="0.15">
      <c r="A760" t="s">
        <v>72</v>
      </c>
      <c r="B760" t="s">
        <v>14842</v>
      </c>
      <c r="C760" t="s">
        <v>74</v>
      </c>
      <c r="D760" t="s">
        <v>74</v>
      </c>
      <c r="E760" t="s">
        <v>74</v>
      </c>
      <c r="F760" t="s">
        <v>14843</v>
      </c>
      <c r="G760" t="s">
        <v>74</v>
      </c>
      <c r="H760" t="s">
        <v>74</v>
      </c>
      <c r="I760" t="s">
        <v>14844</v>
      </c>
      <c r="J760" t="s">
        <v>2473</v>
      </c>
      <c r="K760" t="s">
        <v>74</v>
      </c>
      <c r="L760" t="s">
        <v>74</v>
      </c>
      <c r="M760" t="s">
        <v>78</v>
      </c>
      <c r="N760" t="s">
        <v>79</v>
      </c>
      <c r="O760" t="s">
        <v>74</v>
      </c>
      <c r="P760" t="s">
        <v>74</v>
      </c>
      <c r="Q760" t="s">
        <v>74</v>
      </c>
      <c r="R760" t="s">
        <v>74</v>
      </c>
      <c r="S760" t="s">
        <v>74</v>
      </c>
      <c r="T760" t="s">
        <v>74</v>
      </c>
      <c r="U760" t="s">
        <v>14845</v>
      </c>
      <c r="V760" t="s">
        <v>14846</v>
      </c>
      <c r="W760" t="s">
        <v>14847</v>
      </c>
      <c r="X760" t="s">
        <v>14848</v>
      </c>
      <c r="Y760" t="s">
        <v>14849</v>
      </c>
      <c r="Z760" t="s">
        <v>14850</v>
      </c>
      <c r="AA760" t="s">
        <v>14851</v>
      </c>
      <c r="AB760" t="s">
        <v>14852</v>
      </c>
      <c r="AC760" t="s">
        <v>14853</v>
      </c>
      <c r="AD760" t="s">
        <v>14854</v>
      </c>
      <c r="AE760" t="s">
        <v>14855</v>
      </c>
      <c r="AF760" t="s">
        <v>74</v>
      </c>
      <c r="AG760">
        <v>57</v>
      </c>
      <c r="AH760">
        <v>2</v>
      </c>
      <c r="AI760">
        <v>2</v>
      </c>
      <c r="AJ760">
        <v>3</v>
      </c>
      <c r="AK760">
        <v>10</v>
      </c>
      <c r="AL760" t="s">
        <v>2460</v>
      </c>
      <c r="AM760" t="s">
        <v>2461</v>
      </c>
      <c r="AN760" t="s">
        <v>2462</v>
      </c>
      <c r="AO760" t="s">
        <v>2485</v>
      </c>
      <c r="AP760" t="s">
        <v>2486</v>
      </c>
      <c r="AQ760" t="s">
        <v>74</v>
      </c>
      <c r="AR760" t="s">
        <v>2473</v>
      </c>
      <c r="AS760" t="s">
        <v>2487</v>
      </c>
      <c r="AT760" t="s">
        <v>14737</v>
      </c>
      <c r="AU760">
        <v>2022</v>
      </c>
      <c r="AV760">
        <v>16</v>
      </c>
      <c r="AW760">
        <v>7</v>
      </c>
      <c r="AX760" t="s">
        <v>74</v>
      </c>
      <c r="AY760" t="s">
        <v>74</v>
      </c>
      <c r="AZ760" t="s">
        <v>74</v>
      </c>
      <c r="BA760" t="s">
        <v>74</v>
      </c>
      <c r="BB760">
        <v>2709</v>
      </c>
      <c r="BC760">
        <v>2724</v>
      </c>
      <c r="BD760" t="s">
        <v>74</v>
      </c>
      <c r="BE760" t="s">
        <v>14856</v>
      </c>
      <c r="BF760" t="str">
        <f>HYPERLINK("http://dx.doi.org/10.5194/tc-16-2709-2022","http://dx.doi.org/10.5194/tc-16-2709-2022")</f>
        <v>http://dx.doi.org/10.5194/tc-16-2709-2022</v>
      </c>
      <c r="BG760" t="s">
        <v>74</v>
      </c>
      <c r="BH760" t="s">
        <v>74</v>
      </c>
      <c r="BI760">
        <v>16</v>
      </c>
      <c r="BJ760" t="s">
        <v>354</v>
      </c>
      <c r="BK760" t="s">
        <v>100</v>
      </c>
      <c r="BL760" t="s">
        <v>241</v>
      </c>
      <c r="BM760" t="s">
        <v>14857</v>
      </c>
      <c r="BN760" t="s">
        <v>74</v>
      </c>
      <c r="BO760" t="s">
        <v>3262</v>
      </c>
      <c r="BP760" t="s">
        <v>74</v>
      </c>
      <c r="BQ760" t="s">
        <v>74</v>
      </c>
      <c r="BR760" t="s">
        <v>103</v>
      </c>
      <c r="BS760" t="s">
        <v>14858</v>
      </c>
      <c r="BT760" t="str">
        <f>HYPERLINK("https%3A%2F%2Fwww.webofscience.com%2Fwos%2Fwoscc%2Ffull-record%2FWOS:000823057200001","View Full Record in Web of Science")</f>
        <v>View Full Record in Web of Science</v>
      </c>
    </row>
    <row r="761" spans="1:72" x14ac:dyDescent="0.15">
      <c r="A761" t="s">
        <v>72</v>
      </c>
      <c r="B761" t="s">
        <v>14859</v>
      </c>
      <c r="C761" t="s">
        <v>74</v>
      </c>
      <c r="D761" t="s">
        <v>74</v>
      </c>
      <c r="E761" t="s">
        <v>74</v>
      </c>
      <c r="F761" t="s">
        <v>14860</v>
      </c>
      <c r="G761" t="s">
        <v>74</v>
      </c>
      <c r="H761" t="s">
        <v>74</v>
      </c>
      <c r="I761" t="s">
        <v>14861</v>
      </c>
      <c r="J761" t="s">
        <v>5194</v>
      </c>
      <c r="K761" t="s">
        <v>74</v>
      </c>
      <c r="L761" t="s">
        <v>74</v>
      </c>
      <c r="M761" t="s">
        <v>78</v>
      </c>
      <c r="N761" t="s">
        <v>1346</v>
      </c>
      <c r="O761" t="s">
        <v>74</v>
      </c>
      <c r="P761" t="s">
        <v>74</v>
      </c>
      <c r="Q761" t="s">
        <v>74</v>
      </c>
      <c r="R761" t="s">
        <v>74</v>
      </c>
      <c r="S761" t="s">
        <v>74</v>
      </c>
      <c r="T761" t="s">
        <v>74</v>
      </c>
      <c r="U761" t="s">
        <v>14862</v>
      </c>
      <c r="V761" t="s">
        <v>14863</v>
      </c>
      <c r="W761" t="s">
        <v>14864</v>
      </c>
      <c r="X761" t="s">
        <v>14865</v>
      </c>
      <c r="Y761" t="s">
        <v>14866</v>
      </c>
      <c r="Z761" t="s">
        <v>14867</v>
      </c>
      <c r="AA761" t="s">
        <v>14868</v>
      </c>
      <c r="AB761" t="s">
        <v>14869</v>
      </c>
      <c r="AC761" t="s">
        <v>74</v>
      </c>
      <c r="AD761" t="s">
        <v>74</v>
      </c>
      <c r="AE761" t="s">
        <v>74</v>
      </c>
      <c r="AF761" t="s">
        <v>74</v>
      </c>
      <c r="AG761">
        <v>47</v>
      </c>
      <c r="AH761">
        <v>10</v>
      </c>
      <c r="AI761">
        <v>11</v>
      </c>
      <c r="AJ761">
        <v>9</v>
      </c>
      <c r="AK761">
        <v>23</v>
      </c>
      <c r="AL761" t="s">
        <v>231</v>
      </c>
      <c r="AM761" t="s">
        <v>232</v>
      </c>
      <c r="AN761" t="s">
        <v>233</v>
      </c>
      <c r="AO761" t="s">
        <v>5207</v>
      </c>
      <c r="AP761" t="s">
        <v>5208</v>
      </c>
      <c r="AQ761" t="s">
        <v>74</v>
      </c>
      <c r="AR761" t="s">
        <v>5209</v>
      </c>
      <c r="AS761" t="s">
        <v>5210</v>
      </c>
      <c r="AT761" t="s">
        <v>428</v>
      </c>
      <c r="AU761">
        <v>2022</v>
      </c>
      <c r="AV761">
        <v>28</v>
      </c>
      <c r="AW761">
        <v>20</v>
      </c>
      <c r="AX761" t="s">
        <v>74</v>
      </c>
      <c r="AY761" t="s">
        <v>74</v>
      </c>
      <c r="AZ761" t="s">
        <v>74</v>
      </c>
      <c r="BA761" t="s">
        <v>74</v>
      </c>
      <c r="BB761">
        <v>5861</v>
      </c>
      <c r="BC761">
        <v>5864</v>
      </c>
      <c r="BD761" t="s">
        <v>74</v>
      </c>
      <c r="BE761" t="s">
        <v>14870</v>
      </c>
      <c r="BF761" t="str">
        <f>HYPERLINK("http://dx.doi.org/10.1111/gcb.16309","http://dx.doi.org/10.1111/gcb.16309")</f>
        <v>http://dx.doi.org/10.1111/gcb.16309</v>
      </c>
      <c r="BG761" t="s">
        <v>74</v>
      </c>
      <c r="BH761" t="s">
        <v>12326</v>
      </c>
      <c r="BI761">
        <v>4</v>
      </c>
      <c r="BJ761" t="s">
        <v>3785</v>
      </c>
      <c r="BK761" t="s">
        <v>100</v>
      </c>
      <c r="BL761" t="s">
        <v>1170</v>
      </c>
      <c r="BM761" t="s">
        <v>13043</v>
      </c>
      <c r="BN761">
        <v>35821589</v>
      </c>
      <c r="BO761" t="s">
        <v>11028</v>
      </c>
      <c r="BP761" t="s">
        <v>74</v>
      </c>
      <c r="BQ761" t="s">
        <v>74</v>
      </c>
      <c r="BR761" t="s">
        <v>103</v>
      </c>
      <c r="BS761" t="s">
        <v>14871</v>
      </c>
      <c r="BT761" t="str">
        <f>HYPERLINK("https%3A%2F%2Fwww.webofscience.com%2Fwos%2Fwoscc%2Ffull-record%2FWOS:000823270200001","View Full Record in Web of Science")</f>
        <v>View Full Record in Web of Science</v>
      </c>
    </row>
    <row r="762" spans="1:72" x14ac:dyDescent="0.15">
      <c r="A762" t="s">
        <v>72</v>
      </c>
      <c r="B762" t="s">
        <v>14872</v>
      </c>
      <c r="C762" t="s">
        <v>74</v>
      </c>
      <c r="D762" t="s">
        <v>74</v>
      </c>
      <c r="E762" t="s">
        <v>74</v>
      </c>
      <c r="F762" t="s">
        <v>14873</v>
      </c>
      <c r="G762" t="s">
        <v>74</v>
      </c>
      <c r="H762" t="s">
        <v>74</v>
      </c>
      <c r="I762" t="s">
        <v>14874</v>
      </c>
      <c r="J762" t="s">
        <v>14875</v>
      </c>
      <c r="K762" t="s">
        <v>74</v>
      </c>
      <c r="L762" t="s">
        <v>74</v>
      </c>
      <c r="M762" t="s">
        <v>78</v>
      </c>
      <c r="N762" t="s">
        <v>165</v>
      </c>
      <c r="O762" t="s">
        <v>74</v>
      </c>
      <c r="P762" t="s">
        <v>74</v>
      </c>
      <c r="Q762" t="s">
        <v>74</v>
      </c>
      <c r="R762" t="s">
        <v>74</v>
      </c>
      <c r="S762" t="s">
        <v>74</v>
      </c>
      <c r="T762" t="s">
        <v>74</v>
      </c>
      <c r="U762" t="s">
        <v>14876</v>
      </c>
      <c r="V762" t="s">
        <v>14877</v>
      </c>
      <c r="W762" t="s">
        <v>14878</v>
      </c>
      <c r="X762" t="s">
        <v>14879</v>
      </c>
      <c r="Y762" t="s">
        <v>14880</v>
      </c>
      <c r="Z762" t="s">
        <v>14881</v>
      </c>
      <c r="AA762" t="s">
        <v>14882</v>
      </c>
      <c r="AB762" t="s">
        <v>14883</v>
      </c>
      <c r="AC762" t="s">
        <v>14884</v>
      </c>
      <c r="AD762" t="s">
        <v>14885</v>
      </c>
      <c r="AE762" t="s">
        <v>14886</v>
      </c>
      <c r="AF762" t="s">
        <v>74</v>
      </c>
      <c r="AG762">
        <v>229</v>
      </c>
      <c r="AH762">
        <v>10</v>
      </c>
      <c r="AI762">
        <v>11</v>
      </c>
      <c r="AJ762">
        <v>5</v>
      </c>
      <c r="AK762">
        <v>28</v>
      </c>
      <c r="AL762" t="s">
        <v>2773</v>
      </c>
      <c r="AM762" t="s">
        <v>2774</v>
      </c>
      <c r="AN762" t="s">
        <v>2775</v>
      </c>
      <c r="AO762" t="s">
        <v>74</v>
      </c>
      <c r="AP762" t="s">
        <v>14887</v>
      </c>
      <c r="AQ762" t="s">
        <v>74</v>
      </c>
      <c r="AR762" t="s">
        <v>14888</v>
      </c>
      <c r="AS762" t="s">
        <v>14889</v>
      </c>
      <c r="AT762" t="s">
        <v>5386</v>
      </c>
      <c r="AU762">
        <v>2022</v>
      </c>
      <c r="AV762">
        <v>3</v>
      </c>
      <c r="AW762">
        <v>8</v>
      </c>
      <c r="AX762" t="s">
        <v>74</v>
      </c>
      <c r="AY762" t="s">
        <v>74</v>
      </c>
      <c r="AZ762" t="s">
        <v>74</v>
      </c>
      <c r="BA762" t="s">
        <v>74</v>
      </c>
      <c r="BB762">
        <v>500</v>
      </c>
      <c r="BC762">
        <v>515</v>
      </c>
      <c r="BD762" t="s">
        <v>74</v>
      </c>
      <c r="BE762" t="s">
        <v>14890</v>
      </c>
      <c r="BF762" t="str">
        <f>HYPERLINK("http://dx.doi.org/10.1038/s43017-022-00309-5","http://dx.doi.org/10.1038/s43017-022-00309-5")</f>
        <v>http://dx.doi.org/10.1038/s43017-022-00309-5</v>
      </c>
      <c r="BG762" t="s">
        <v>74</v>
      </c>
      <c r="BH762" t="s">
        <v>12326</v>
      </c>
      <c r="BI762">
        <v>16</v>
      </c>
      <c r="BJ762" t="s">
        <v>1218</v>
      </c>
      <c r="BK762" t="s">
        <v>100</v>
      </c>
      <c r="BL762" t="s">
        <v>1219</v>
      </c>
      <c r="BM762" t="s">
        <v>14891</v>
      </c>
      <c r="BN762" t="s">
        <v>74</v>
      </c>
      <c r="BO762" t="s">
        <v>2260</v>
      </c>
      <c r="BP762" t="s">
        <v>74</v>
      </c>
      <c r="BQ762" t="s">
        <v>74</v>
      </c>
      <c r="BR762" t="s">
        <v>103</v>
      </c>
      <c r="BS762" t="s">
        <v>14892</v>
      </c>
      <c r="BT762" t="str">
        <f>HYPERLINK("https%3A%2F%2Fwww.webofscience.com%2Fwos%2Fwoscc%2Ffull-record%2FWOS:000823351800001","View Full Record in Web of Science")</f>
        <v>View Full Record in Web of Science</v>
      </c>
    </row>
    <row r="763" spans="1:72" x14ac:dyDescent="0.15">
      <c r="A763" t="s">
        <v>72</v>
      </c>
      <c r="B763" t="s">
        <v>14893</v>
      </c>
      <c r="C763" t="s">
        <v>74</v>
      </c>
      <c r="D763" t="s">
        <v>74</v>
      </c>
      <c r="E763" t="s">
        <v>74</v>
      </c>
      <c r="F763" t="s">
        <v>14894</v>
      </c>
      <c r="G763" t="s">
        <v>74</v>
      </c>
      <c r="H763" t="s">
        <v>74</v>
      </c>
      <c r="I763" t="s">
        <v>14895</v>
      </c>
      <c r="J763" t="s">
        <v>335</v>
      </c>
      <c r="K763" t="s">
        <v>74</v>
      </c>
      <c r="L763" t="s">
        <v>74</v>
      </c>
      <c r="M763" t="s">
        <v>78</v>
      </c>
      <c r="N763" t="s">
        <v>79</v>
      </c>
      <c r="O763" t="s">
        <v>74</v>
      </c>
      <c r="P763" t="s">
        <v>74</v>
      </c>
      <c r="Q763" t="s">
        <v>74</v>
      </c>
      <c r="R763" t="s">
        <v>74</v>
      </c>
      <c r="S763" t="s">
        <v>74</v>
      </c>
      <c r="T763" t="s">
        <v>14896</v>
      </c>
      <c r="U763" t="s">
        <v>14897</v>
      </c>
      <c r="V763" t="s">
        <v>14898</v>
      </c>
      <c r="W763" t="s">
        <v>14899</v>
      </c>
      <c r="X763" t="s">
        <v>14900</v>
      </c>
      <c r="Y763" t="s">
        <v>14901</v>
      </c>
      <c r="Z763" t="s">
        <v>14902</v>
      </c>
      <c r="AA763" t="s">
        <v>74</v>
      </c>
      <c r="AB763" t="s">
        <v>14903</v>
      </c>
      <c r="AC763" t="s">
        <v>14904</v>
      </c>
      <c r="AD763" t="s">
        <v>14905</v>
      </c>
      <c r="AE763" t="s">
        <v>14906</v>
      </c>
      <c r="AF763" t="s">
        <v>74</v>
      </c>
      <c r="AG763">
        <v>43</v>
      </c>
      <c r="AH763">
        <v>3</v>
      </c>
      <c r="AI763">
        <v>3</v>
      </c>
      <c r="AJ763">
        <v>3</v>
      </c>
      <c r="AK763">
        <v>7</v>
      </c>
      <c r="AL763" t="s">
        <v>345</v>
      </c>
      <c r="AM763" t="s">
        <v>346</v>
      </c>
      <c r="AN763" t="s">
        <v>347</v>
      </c>
      <c r="AO763" t="s">
        <v>348</v>
      </c>
      <c r="AP763" t="s">
        <v>349</v>
      </c>
      <c r="AQ763" t="s">
        <v>74</v>
      </c>
      <c r="AR763" t="s">
        <v>350</v>
      </c>
      <c r="AS763" t="s">
        <v>351</v>
      </c>
      <c r="AT763" t="s">
        <v>3663</v>
      </c>
      <c r="AU763">
        <v>2023</v>
      </c>
      <c r="AV763">
        <v>69</v>
      </c>
      <c r="AW763">
        <v>273</v>
      </c>
      <c r="AX763" t="s">
        <v>74</v>
      </c>
      <c r="AY763" t="s">
        <v>74</v>
      </c>
      <c r="AZ763" t="s">
        <v>74</v>
      </c>
      <c r="BA763" t="s">
        <v>74</v>
      </c>
      <c r="BB763">
        <v>153</v>
      </c>
      <c r="BC763">
        <v>163</v>
      </c>
      <c r="BD763" t="s">
        <v>74</v>
      </c>
      <c r="BE763" t="s">
        <v>14907</v>
      </c>
      <c r="BF763" t="str">
        <f>HYPERLINK("http://dx.doi.org/10.1017/jog.2022.52","http://dx.doi.org/10.1017/jog.2022.52")</f>
        <v>http://dx.doi.org/10.1017/jog.2022.52</v>
      </c>
      <c r="BG763" t="s">
        <v>74</v>
      </c>
      <c r="BH763" t="s">
        <v>12326</v>
      </c>
      <c r="BI763">
        <v>11</v>
      </c>
      <c r="BJ763" t="s">
        <v>354</v>
      </c>
      <c r="BK763" t="s">
        <v>100</v>
      </c>
      <c r="BL763" t="s">
        <v>241</v>
      </c>
      <c r="BM763" t="s">
        <v>14908</v>
      </c>
      <c r="BN763" t="s">
        <v>74</v>
      </c>
      <c r="BO763" t="s">
        <v>159</v>
      </c>
      <c r="BP763" t="s">
        <v>74</v>
      </c>
      <c r="BQ763" t="s">
        <v>74</v>
      </c>
      <c r="BR763" t="s">
        <v>103</v>
      </c>
      <c r="BS763" t="s">
        <v>14909</v>
      </c>
      <c r="BT763" t="str">
        <f>HYPERLINK("https%3A%2F%2Fwww.webofscience.com%2Fwos%2Fwoscc%2Ffull-record%2FWOS:000822949200001","View Full Record in Web of Science")</f>
        <v>View Full Record in Web of Science</v>
      </c>
    </row>
    <row r="764" spans="1:72" x14ac:dyDescent="0.15">
      <c r="A764" t="s">
        <v>72</v>
      </c>
      <c r="B764" t="s">
        <v>14910</v>
      </c>
      <c r="C764" t="s">
        <v>74</v>
      </c>
      <c r="D764" t="s">
        <v>74</v>
      </c>
      <c r="E764" t="s">
        <v>74</v>
      </c>
      <c r="F764" t="s">
        <v>14911</v>
      </c>
      <c r="G764" t="s">
        <v>74</v>
      </c>
      <c r="H764" t="s">
        <v>74</v>
      </c>
      <c r="I764" t="s">
        <v>14912</v>
      </c>
      <c r="J764" t="s">
        <v>14913</v>
      </c>
      <c r="K764" t="s">
        <v>74</v>
      </c>
      <c r="L764" t="s">
        <v>74</v>
      </c>
      <c r="M764" t="s">
        <v>78</v>
      </c>
      <c r="N764" t="s">
        <v>79</v>
      </c>
      <c r="O764" t="s">
        <v>74</v>
      </c>
      <c r="P764" t="s">
        <v>74</v>
      </c>
      <c r="Q764" t="s">
        <v>74</v>
      </c>
      <c r="R764" t="s">
        <v>74</v>
      </c>
      <c r="S764" t="s">
        <v>74</v>
      </c>
      <c r="T764" t="s">
        <v>14914</v>
      </c>
      <c r="U764" t="s">
        <v>14915</v>
      </c>
      <c r="V764" t="s">
        <v>14916</v>
      </c>
      <c r="W764" t="s">
        <v>14917</v>
      </c>
      <c r="X764" t="s">
        <v>14918</v>
      </c>
      <c r="Y764" t="s">
        <v>14919</v>
      </c>
      <c r="Z764" t="s">
        <v>14920</v>
      </c>
      <c r="AA764" t="s">
        <v>14921</v>
      </c>
      <c r="AB764" t="s">
        <v>14922</v>
      </c>
      <c r="AC764" t="s">
        <v>14923</v>
      </c>
      <c r="AD764" t="s">
        <v>14924</v>
      </c>
      <c r="AE764" t="s">
        <v>14923</v>
      </c>
      <c r="AF764" t="s">
        <v>74</v>
      </c>
      <c r="AG764">
        <v>43</v>
      </c>
      <c r="AH764">
        <v>1</v>
      </c>
      <c r="AI764">
        <v>1</v>
      </c>
      <c r="AJ764">
        <v>1</v>
      </c>
      <c r="AK764">
        <v>1</v>
      </c>
      <c r="AL764" t="s">
        <v>231</v>
      </c>
      <c r="AM764" t="s">
        <v>232</v>
      </c>
      <c r="AN764" t="s">
        <v>233</v>
      </c>
      <c r="AO764" t="s">
        <v>14925</v>
      </c>
      <c r="AP764" t="s">
        <v>14926</v>
      </c>
      <c r="AQ764" t="s">
        <v>74</v>
      </c>
      <c r="AR764" t="s">
        <v>14927</v>
      </c>
      <c r="AS764" t="s">
        <v>14928</v>
      </c>
      <c r="AT764" t="s">
        <v>3605</v>
      </c>
      <c r="AU764">
        <v>2022</v>
      </c>
      <c r="AV764">
        <v>101</v>
      </c>
      <c r="AW764">
        <v>3</v>
      </c>
      <c r="AX764" t="s">
        <v>74</v>
      </c>
      <c r="AY764" t="s">
        <v>74</v>
      </c>
      <c r="AZ764" t="s">
        <v>74</v>
      </c>
      <c r="BA764" t="s">
        <v>74</v>
      </c>
      <c r="BB764">
        <v>659</v>
      </c>
      <c r="BC764">
        <v>675</v>
      </c>
      <c r="BD764" t="s">
        <v>74</v>
      </c>
      <c r="BE764" t="s">
        <v>14929</v>
      </c>
      <c r="BF764" t="str">
        <f>HYPERLINK("http://dx.doi.org/10.1111/jfb.15136","http://dx.doi.org/10.1111/jfb.15136")</f>
        <v>http://dx.doi.org/10.1111/jfb.15136</v>
      </c>
      <c r="BG764" t="s">
        <v>74</v>
      </c>
      <c r="BH764" t="s">
        <v>12326</v>
      </c>
      <c r="BI764">
        <v>17</v>
      </c>
      <c r="BJ764" t="s">
        <v>1193</v>
      </c>
      <c r="BK764" t="s">
        <v>100</v>
      </c>
      <c r="BL764" t="s">
        <v>1193</v>
      </c>
      <c r="BM764" t="s">
        <v>14930</v>
      </c>
      <c r="BN764">
        <v>35722968</v>
      </c>
      <c r="BO764" t="s">
        <v>74</v>
      </c>
      <c r="BP764" t="s">
        <v>74</v>
      </c>
      <c r="BQ764" t="s">
        <v>74</v>
      </c>
      <c r="BR764" t="s">
        <v>103</v>
      </c>
      <c r="BS764" t="s">
        <v>14931</v>
      </c>
      <c r="BT764" t="str">
        <f>HYPERLINK("https%3A%2F%2Fwww.webofscience.com%2Fwos%2Fwoscc%2Ffull-record%2FWOS:000822976500001","View Full Record in Web of Science")</f>
        <v>View Full Record in Web of Science</v>
      </c>
    </row>
    <row r="765" spans="1:72" x14ac:dyDescent="0.15">
      <c r="A765" t="s">
        <v>72</v>
      </c>
      <c r="B765" t="s">
        <v>14932</v>
      </c>
      <c r="C765" t="s">
        <v>74</v>
      </c>
      <c r="D765" t="s">
        <v>74</v>
      </c>
      <c r="E765" t="s">
        <v>74</v>
      </c>
      <c r="F765" t="s">
        <v>14933</v>
      </c>
      <c r="G765" t="s">
        <v>74</v>
      </c>
      <c r="H765" t="s">
        <v>74</v>
      </c>
      <c r="I765" t="s">
        <v>14934</v>
      </c>
      <c r="J765" t="s">
        <v>7774</v>
      </c>
      <c r="K765" t="s">
        <v>74</v>
      </c>
      <c r="L765" t="s">
        <v>74</v>
      </c>
      <c r="M765" t="s">
        <v>78</v>
      </c>
      <c r="N765" t="s">
        <v>79</v>
      </c>
      <c r="O765" t="s">
        <v>74</v>
      </c>
      <c r="P765" t="s">
        <v>74</v>
      </c>
      <c r="Q765" t="s">
        <v>74</v>
      </c>
      <c r="R765" t="s">
        <v>74</v>
      </c>
      <c r="S765" t="s">
        <v>74</v>
      </c>
      <c r="T765" t="s">
        <v>14935</v>
      </c>
      <c r="U765" t="s">
        <v>14936</v>
      </c>
      <c r="V765" t="s">
        <v>14937</v>
      </c>
      <c r="W765" t="s">
        <v>14938</v>
      </c>
      <c r="X765" t="s">
        <v>14939</v>
      </c>
      <c r="Y765" t="s">
        <v>14940</v>
      </c>
      <c r="Z765" t="s">
        <v>14941</v>
      </c>
      <c r="AA765" t="s">
        <v>14942</v>
      </c>
      <c r="AB765" t="s">
        <v>74</v>
      </c>
      <c r="AC765" t="s">
        <v>14943</v>
      </c>
      <c r="AD765" t="s">
        <v>14943</v>
      </c>
      <c r="AE765" t="s">
        <v>14944</v>
      </c>
      <c r="AF765" t="s">
        <v>74</v>
      </c>
      <c r="AG765">
        <v>50</v>
      </c>
      <c r="AH765">
        <v>19</v>
      </c>
      <c r="AI765">
        <v>20</v>
      </c>
      <c r="AJ765">
        <v>14</v>
      </c>
      <c r="AK765">
        <v>70</v>
      </c>
      <c r="AL765" t="s">
        <v>231</v>
      </c>
      <c r="AM765" t="s">
        <v>232</v>
      </c>
      <c r="AN765" t="s">
        <v>233</v>
      </c>
      <c r="AO765" t="s">
        <v>7787</v>
      </c>
      <c r="AP765" t="s">
        <v>74</v>
      </c>
      <c r="AQ765" t="s">
        <v>74</v>
      </c>
      <c r="AR765" t="s">
        <v>7788</v>
      </c>
      <c r="AS765" t="s">
        <v>7789</v>
      </c>
      <c r="AT765" t="s">
        <v>3605</v>
      </c>
      <c r="AU765">
        <v>2022</v>
      </c>
      <c r="AV765">
        <v>15</v>
      </c>
      <c r="AW765">
        <v>5</v>
      </c>
      <c r="AX765" t="s">
        <v>74</v>
      </c>
      <c r="AY765" t="s">
        <v>74</v>
      </c>
      <c r="AZ765" t="s">
        <v>74</v>
      </c>
      <c r="BA765" t="s">
        <v>74</v>
      </c>
      <c r="BB765" t="s">
        <v>74</v>
      </c>
      <c r="BC765" t="s">
        <v>74</v>
      </c>
      <c r="BD765" t="s">
        <v>14945</v>
      </c>
      <c r="BE765" t="s">
        <v>14946</v>
      </c>
      <c r="BF765" t="str">
        <f>HYPERLINK("http://dx.doi.org/10.1111/conl.12910","http://dx.doi.org/10.1111/conl.12910")</f>
        <v>http://dx.doi.org/10.1111/conl.12910</v>
      </c>
      <c r="BG765" t="s">
        <v>74</v>
      </c>
      <c r="BH765" t="s">
        <v>12326</v>
      </c>
      <c r="BI765">
        <v>11</v>
      </c>
      <c r="BJ765" t="s">
        <v>7792</v>
      </c>
      <c r="BK765" t="s">
        <v>100</v>
      </c>
      <c r="BL765" t="s">
        <v>7793</v>
      </c>
      <c r="BM765" t="s">
        <v>7794</v>
      </c>
      <c r="BN765" t="s">
        <v>74</v>
      </c>
      <c r="BO765" t="s">
        <v>483</v>
      </c>
      <c r="BP765" t="s">
        <v>74</v>
      </c>
      <c r="BQ765" t="s">
        <v>74</v>
      </c>
      <c r="BR765" t="s">
        <v>103</v>
      </c>
      <c r="BS765" t="s">
        <v>14947</v>
      </c>
      <c r="BT765" t="str">
        <f>HYPERLINK("https%3A%2F%2Fwww.webofscience.com%2Fwos%2Fwoscc%2Ffull-record%2FWOS:000822723600001","View Full Record in Web of Science")</f>
        <v>View Full Record in Web of Science</v>
      </c>
    </row>
    <row r="766" spans="1:72" x14ac:dyDescent="0.15">
      <c r="A766" t="s">
        <v>72</v>
      </c>
      <c r="B766" t="s">
        <v>14948</v>
      </c>
      <c r="C766" t="s">
        <v>74</v>
      </c>
      <c r="D766" t="s">
        <v>74</v>
      </c>
      <c r="E766" t="s">
        <v>74</v>
      </c>
      <c r="F766" t="s">
        <v>14949</v>
      </c>
      <c r="G766" t="s">
        <v>74</v>
      </c>
      <c r="H766" t="s">
        <v>74</v>
      </c>
      <c r="I766" t="s">
        <v>14950</v>
      </c>
      <c r="J766" t="s">
        <v>9517</v>
      </c>
      <c r="K766" t="s">
        <v>74</v>
      </c>
      <c r="L766" t="s">
        <v>74</v>
      </c>
      <c r="M766" t="s">
        <v>78</v>
      </c>
      <c r="N766" t="s">
        <v>165</v>
      </c>
      <c r="O766" t="s">
        <v>74</v>
      </c>
      <c r="P766" t="s">
        <v>74</v>
      </c>
      <c r="Q766" t="s">
        <v>74</v>
      </c>
      <c r="R766" t="s">
        <v>74</v>
      </c>
      <c r="S766" t="s">
        <v>74</v>
      </c>
      <c r="T766" t="s">
        <v>14951</v>
      </c>
      <c r="U766" t="s">
        <v>14952</v>
      </c>
      <c r="V766" t="s">
        <v>14953</v>
      </c>
      <c r="W766" t="s">
        <v>14954</v>
      </c>
      <c r="X766" t="s">
        <v>14955</v>
      </c>
      <c r="Y766" t="s">
        <v>14956</v>
      </c>
      <c r="Z766" t="s">
        <v>14957</v>
      </c>
      <c r="AA766" t="s">
        <v>74</v>
      </c>
      <c r="AB766" t="s">
        <v>74</v>
      </c>
      <c r="AC766" t="s">
        <v>74</v>
      </c>
      <c r="AD766" t="s">
        <v>74</v>
      </c>
      <c r="AE766" t="s">
        <v>74</v>
      </c>
      <c r="AF766" t="s">
        <v>74</v>
      </c>
      <c r="AG766">
        <v>170</v>
      </c>
      <c r="AH766">
        <v>0</v>
      </c>
      <c r="AI766">
        <v>0</v>
      </c>
      <c r="AJ766">
        <v>4</v>
      </c>
      <c r="AK766">
        <v>6</v>
      </c>
      <c r="AL766" t="s">
        <v>121</v>
      </c>
      <c r="AM766" t="s">
        <v>122</v>
      </c>
      <c r="AN766" t="s">
        <v>123</v>
      </c>
      <c r="AO766" t="s">
        <v>74</v>
      </c>
      <c r="AP766" t="s">
        <v>9527</v>
      </c>
      <c r="AQ766" t="s">
        <v>74</v>
      </c>
      <c r="AR766" t="s">
        <v>9528</v>
      </c>
      <c r="AS766" t="s">
        <v>9529</v>
      </c>
      <c r="AT766" t="s">
        <v>14958</v>
      </c>
      <c r="AU766">
        <v>2022</v>
      </c>
      <c r="AV766">
        <v>4</v>
      </c>
      <c r="AW766" t="s">
        <v>74</v>
      </c>
      <c r="AX766" t="s">
        <v>74</v>
      </c>
      <c r="AY766" t="s">
        <v>74</v>
      </c>
      <c r="AZ766" t="s">
        <v>74</v>
      </c>
      <c r="BA766" t="s">
        <v>74</v>
      </c>
      <c r="BB766" t="s">
        <v>74</v>
      </c>
      <c r="BC766" t="s">
        <v>74</v>
      </c>
      <c r="BD766">
        <v>754264</v>
      </c>
      <c r="BE766" t="s">
        <v>14959</v>
      </c>
      <c r="BF766" t="str">
        <f>HYPERLINK("http://dx.doi.org/10.3389/fclim.2022.754264","http://dx.doi.org/10.3389/fclim.2022.754264")</f>
        <v>http://dx.doi.org/10.3389/fclim.2022.754264</v>
      </c>
      <c r="BG766" t="s">
        <v>74</v>
      </c>
      <c r="BH766" t="s">
        <v>74</v>
      </c>
      <c r="BI766">
        <v>29</v>
      </c>
      <c r="BJ766" t="s">
        <v>9532</v>
      </c>
      <c r="BK766" t="s">
        <v>215</v>
      </c>
      <c r="BL766" t="s">
        <v>2041</v>
      </c>
      <c r="BM766" t="s">
        <v>14960</v>
      </c>
      <c r="BN766" t="s">
        <v>74</v>
      </c>
      <c r="BO766" t="s">
        <v>159</v>
      </c>
      <c r="BP766" t="s">
        <v>74</v>
      </c>
      <c r="BQ766" t="s">
        <v>74</v>
      </c>
      <c r="BR766" t="s">
        <v>103</v>
      </c>
      <c r="BS766" t="s">
        <v>14961</v>
      </c>
      <c r="BT766" t="str">
        <f>HYPERLINK("https%3A%2F%2Fwww.webofscience.com%2Fwos%2Fwoscc%2Ffull-record%2FWOS:001019252900001","View Full Record in Web of Science")</f>
        <v>View Full Record in Web of Science</v>
      </c>
    </row>
    <row r="767" spans="1:72" x14ac:dyDescent="0.15">
      <c r="A767" t="s">
        <v>72</v>
      </c>
      <c r="B767" t="s">
        <v>14962</v>
      </c>
      <c r="C767" t="s">
        <v>74</v>
      </c>
      <c r="D767" t="s">
        <v>74</v>
      </c>
      <c r="E767" t="s">
        <v>74</v>
      </c>
      <c r="F767" t="s">
        <v>14963</v>
      </c>
      <c r="G767" t="s">
        <v>74</v>
      </c>
      <c r="H767" t="s">
        <v>74</v>
      </c>
      <c r="I767" t="s">
        <v>14964</v>
      </c>
      <c r="J767" t="s">
        <v>5278</v>
      </c>
      <c r="K767" t="s">
        <v>74</v>
      </c>
      <c r="L767" t="s">
        <v>74</v>
      </c>
      <c r="M767" t="s">
        <v>78</v>
      </c>
      <c r="N767" t="s">
        <v>79</v>
      </c>
      <c r="O767" t="s">
        <v>74</v>
      </c>
      <c r="P767" t="s">
        <v>74</v>
      </c>
      <c r="Q767" t="s">
        <v>74</v>
      </c>
      <c r="R767" t="s">
        <v>74</v>
      </c>
      <c r="S767" t="s">
        <v>74</v>
      </c>
      <c r="T767" t="s">
        <v>14965</v>
      </c>
      <c r="U767" t="s">
        <v>14966</v>
      </c>
      <c r="V767" t="s">
        <v>14967</v>
      </c>
      <c r="W767" t="s">
        <v>14968</v>
      </c>
      <c r="X767" t="s">
        <v>14969</v>
      </c>
      <c r="Y767" t="s">
        <v>14970</v>
      </c>
      <c r="Z767" t="s">
        <v>14971</v>
      </c>
      <c r="AA767" t="s">
        <v>74</v>
      </c>
      <c r="AB767" t="s">
        <v>14972</v>
      </c>
      <c r="AC767" t="s">
        <v>74</v>
      </c>
      <c r="AD767" t="s">
        <v>74</v>
      </c>
      <c r="AE767" t="s">
        <v>74</v>
      </c>
      <c r="AF767" t="s">
        <v>74</v>
      </c>
      <c r="AG767">
        <v>71</v>
      </c>
      <c r="AH767">
        <v>0</v>
      </c>
      <c r="AI767">
        <v>0</v>
      </c>
      <c r="AJ767">
        <v>0</v>
      </c>
      <c r="AK767">
        <v>1</v>
      </c>
      <c r="AL767" t="s">
        <v>3089</v>
      </c>
      <c r="AM767" t="s">
        <v>2774</v>
      </c>
      <c r="AN767" t="s">
        <v>3090</v>
      </c>
      <c r="AO767" t="s">
        <v>5290</v>
      </c>
      <c r="AP767" t="s">
        <v>5291</v>
      </c>
      <c r="AQ767" t="s">
        <v>74</v>
      </c>
      <c r="AR767" t="s">
        <v>5292</v>
      </c>
      <c r="AS767" t="s">
        <v>5293</v>
      </c>
      <c r="AT767" t="s">
        <v>238</v>
      </c>
      <c r="AU767">
        <v>2023</v>
      </c>
      <c r="AV767">
        <v>141</v>
      </c>
      <c r="AW767" t="s">
        <v>74</v>
      </c>
      <c r="AX767" t="s">
        <v>74</v>
      </c>
      <c r="AY767" t="s">
        <v>74</v>
      </c>
      <c r="AZ767" t="s">
        <v>74</v>
      </c>
      <c r="BA767" t="s">
        <v>74</v>
      </c>
      <c r="BB767" t="s">
        <v>74</v>
      </c>
      <c r="BC767" t="s">
        <v>74</v>
      </c>
      <c r="BD767">
        <v>105367</v>
      </c>
      <c r="BE767" t="s">
        <v>14973</v>
      </c>
      <c r="BF767" t="str">
        <f>HYPERLINK("http://dx.doi.org/10.1016/j.cretres.2022.105367","http://dx.doi.org/10.1016/j.cretres.2022.105367")</f>
        <v>http://dx.doi.org/10.1016/j.cretres.2022.105367</v>
      </c>
      <c r="BG767" t="s">
        <v>74</v>
      </c>
      <c r="BH767" t="s">
        <v>12326</v>
      </c>
      <c r="BI767">
        <v>14</v>
      </c>
      <c r="BJ767" t="s">
        <v>5295</v>
      </c>
      <c r="BK767" t="s">
        <v>100</v>
      </c>
      <c r="BL767" t="s">
        <v>5295</v>
      </c>
      <c r="BM767" t="s">
        <v>14974</v>
      </c>
      <c r="BN767" t="s">
        <v>74</v>
      </c>
      <c r="BO767" t="s">
        <v>74</v>
      </c>
      <c r="BP767" t="s">
        <v>74</v>
      </c>
      <c r="BQ767" t="s">
        <v>74</v>
      </c>
      <c r="BR767" t="s">
        <v>103</v>
      </c>
      <c r="BS767" t="s">
        <v>14975</v>
      </c>
      <c r="BT767" t="str">
        <f>HYPERLINK("https%3A%2F%2Fwww.webofscience.com%2Fwos%2Fwoscc%2Ffull-record%2FWOS:001026618300001","View Full Record in Web of Science")</f>
        <v>View Full Record in Web of Science</v>
      </c>
    </row>
    <row r="768" spans="1:72" x14ac:dyDescent="0.15">
      <c r="A768" t="s">
        <v>72</v>
      </c>
      <c r="B768" t="s">
        <v>14976</v>
      </c>
      <c r="C768" t="s">
        <v>74</v>
      </c>
      <c r="D768" t="s">
        <v>74</v>
      </c>
      <c r="E768" t="s">
        <v>74</v>
      </c>
      <c r="F768" t="s">
        <v>14977</v>
      </c>
      <c r="G768" t="s">
        <v>74</v>
      </c>
      <c r="H768" t="s">
        <v>74</v>
      </c>
      <c r="I768" t="s">
        <v>14978</v>
      </c>
      <c r="J768" t="s">
        <v>14979</v>
      </c>
      <c r="K768" t="s">
        <v>74</v>
      </c>
      <c r="L768" t="s">
        <v>74</v>
      </c>
      <c r="M768" t="s">
        <v>78</v>
      </c>
      <c r="N768" t="s">
        <v>79</v>
      </c>
      <c r="O768" t="s">
        <v>74</v>
      </c>
      <c r="P768" t="s">
        <v>74</v>
      </c>
      <c r="Q768" t="s">
        <v>74</v>
      </c>
      <c r="R768" t="s">
        <v>74</v>
      </c>
      <c r="S768" t="s">
        <v>74</v>
      </c>
      <c r="T768" t="s">
        <v>14980</v>
      </c>
      <c r="U768" t="s">
        <v>14981</v>
      </c>
      <c r="V768" t="s">
        <v>14982</v>
      </c>
      <c r="W768" t="s">
        <v>14983</v>
      </c>
      <c r="X768" t="s">
        <v>14984</v>
      </c>
      <c r="Y768" t="s">
        <v>14985</v>
      </c>
      <c r="Z768" t="s">
        <v>14986</v>
      </c>
      <c r="AA768" t="s">
        <v>14987</v>
      </c>
      <c r="AB768" t="s">
        <v>14988</v>
      </c>
      <c r="AC768" t="s">
        <v>14989</v>
      </c>
      <c r="AD768" t="s">
        <v>14990</v>
      </c>
      <c r="AE768" t="s">
        <v>14991</v>
      </c>
      <c r="AF768" t="s">
        <v>74</v>
      </c>
      <c r="AG768">
        <v>74</v>
      </c>
      <c r="AH768">
        <v>4</v>
      </c>
      <c r="AI768">
        <v>4</v>
      </c>
      <c r="AJ768">
        <v>2</v>
      </c>
      <c r="AK768">
        <v>9</v>
      </c>
      <c r="AL768" t="s">
        <v>231</v>
      </c>
      <c r="AM768" t="s">
        <v>232</v>
      </c>
      <c r="AN768" t="s">
        <v>233</v>
      </c>
      <c r="AO768" t="s">
        <v>14992</v>
      </c>
      <c r="AP768" t="s">
        <v>14993</v>
      </c>
      <c r="AQ768" t="s">
        <v>74</v>
      </c>
      <c r="AR768" t="s">
        <v>14994</v>
      </c>
      <c r="AS768" t="s">
        <v>14995</v>
      </c>
      <c r="AT768" t="s">
        <v>428</v>
      </c>
      <c r="AU768">
        <v>2022</v>
      </c>
      <c r="AV768">
        <v>36</v>
      </c>
      <c r="AW768">
        <v>10</v>
      </c>
      <c r="AX768" t="s">
        <v>74</v>
      </c>
      <c r="AY768" t="s">
        <v>74</v>
      </c>
      <c r="AZ768" t="s">
        <v>74</v>
      </c>
      <c r="BA768" t="s">
        <v>74</v>
      </c>
      <c r="BB768">
        <v>2636</v>
      </c>
      <c r="BC768">
        <v>2648</v>
      </c>
      <c r="BD768" t="s">
        <v>74</v>
      </c>
      <c r="BE768" t="s">
        <v>14996</v>
      </c>
      <c r="BF768" t="str">
        <f>HYPERLINK("http://dx.doi.org/10.1111/1365-2435.14123","http://dx.doi.org/10.1111/1365-2435.14123")</f>
        <v>http://dx.doi.org/10.1111/1365-2435.14123</v>
      </c>
      <c r="BG768" t="s">
        <v>74</v>
      </c>
      <c r="BH768" t="s">
        <v>12326</v>
      </c>
      <c r="BI768">
        <v>13</v>
      </c>
      <c r="BJ768" t="s">
        <v>3900</v>
      </c>
      <c r="BK768" t="s">
        <v>100</v>
      </c>
      <c r="BL768" t="s">
        <v>2041</v>
      </c>
      <c r="BM768" t="s">
        <v>14997</v>
      </c>
      <c r="BN768" t="s">
        <v>74</v>
      </c>
      <c r="BO768" t="s">
        <v>831</v>
      </c>
      <c r="BP768" t="s">
        <v>74</v>
      </c>
      <c r="BQ768" t="s">
        <v>74</v>
      </c>
      <c r="BR768" t="s">
        <v>103</v>
      </c>
      <c r="BS768" t="s">
        <v>14998</v>
      </c>
      <c r="BT768" t="str">
        <f>HYPERLINK("https%3A%2F%2Fwww.webofscience.com%2Fwos%2Fwoscc%2Ffull-record%2FWOS:000822634400001","View Full Record in Web of Science")</f>
        <v>View Full Record in Web of Science</v>
      </c>
    </row>
    <row r="769" spans="1:72" x14ac:dyDescent="0.15">
      <c r="A769" t="s">
        <v>72</v>
      </c>
      <c r="B769" t="s">
        <v>14999</v>
      </c>
      <c r="C769" t="s">
        <v>74</v>
      </c>
      <c r="D769" t="s">
        <v>74</v>
      </c>
      <c r="E769" t="s">
        <v>74</v>
      </c>
      <c r="F769" t="s">
        <v>15000</v>
      </c>
      <c r="G769" t="s">
        <v>74</v>
      </c>
      <c r="H769" t="s">
        <v>74</v>
      </c>
      <c r="I769" t="s">
        <v>15001</v>
      </c>
      <c r="J769" t="s">
        <v>8472</v>
      </c>
      <c r="K769" t="s">
        <v>74</v>
      </c>
      <c r="L769" t="s">
        <v>74</v>
      </c>
      <c r="M769" t="s">
        <v>78</v>
      </c>
      <c r="N769" t="s">
        <v>79</v>
      </c>
      <c r="O769" t="s">
        <v>74</v>
      </c>
      <c r="P769" t="s">
        <v>74</v>
      </c>
      <c r="Q769" t="s">
        <v>74</v>
      </c>
      <c r="R769" t="s">
        <v>74</v>
      </c>
      <c r="S769" t="s">
        <v>74</v>
      </c>
      <c r="T769" t="s">
        <v>15002</v>
      </c>
      <c r="U769" t="s">
        <v>15003</v>
      </c>
      <c r="V769" t="s">
        <v>15004</v>
      </c>
      <c r="W769" t="s">
        <v>15005</v>
      </c>
      <c r="X769" t="s">
        <v>15006</v>
      </c>
      <c r="Y769" t="s">
        <v>15007</v>
      </c>
      <c r="Z769" t="s">
        <v>15008</v>
      </c>
      <c r="AA769" t="s">
        <v>15009</v>
      </c>
      <c r="AB769" t="s">
        <v>15010</v>
      </c>
      <c r="AC769" t="s">
        <v>15011</v>
      </c>
      <c r="AD769" t="s">
        <v>15012</v>
      </c>
      <c r="AE769" t="s">
        <v>15013</v>
      </c>
      <c r="AF769" t="s">
        <v>74</v>
      </c>
      <c r="AG769">
        <v>57</v>
      </c>
      <c r="AH769">
        <v>1</v>
      </c>
      <c r="AI769">
        <v>1</v>
      </c>
      <c r="AJ769">
        <v>4</v>
      </c>
      <c r="AK769">
        <v>23</v>
      </c>
      <c r="AL769" t="s">
        <v>178</v>
      </c>
      <c r="AM769" t="s">
        <v>450</v>
      </c>
      <c r="AN769" t="s">
        <v>668</v>
      </c>
      <c r="AO769" t="s">
        <v>8484</v>
      </c>
      <c r="AP769" t="s">
        <v>8485</v>
      </c>
      <c r="AQ769" t="s">
        <v>74</v>
      </c>
      <c r="AR769" t="s">
        <v>8486</v>
      </c>
      <c r="AS769" t="s">
        <v>8487</v>
      </c>
      <c r="AT769" t="s">
        <v>8743</v>
      </c>
      <c r="AU769">
        <v>2023</v>
      </c>
      <c r="AV769">
        <v>60</v>
      </c>
      <c r="AW769" t="s">
        <v>12800</v>
      </c>
      <c r="AX769" t="s">
        <v>74</v>
      </c>
      <c r="AY769" t="s">
        <v>74</v>
      </c>
      <c r="AZ769" t="s">
        <v>74</v>
      </c>
      <c r="BA769" t="s">
        <v>74</v>
      </c>
      <c r="BB769">
        <v>1635</v>
      </c>
      <c r="BC769">
        <v>1649</v>
      </c>
      <c r="BD769" t="s">
        <v>74</v>
      </c>
      <c r="BE769" t="s">
        <v>15014</v>
      </c>
      <c r="BF769" t="str">
        <f>HYPERLINK("http://dx.doi.org/10.1007/s00382-022-06384-0","http://dx.doi.org/10.1007/s00382-022-06384-0")</f>
        <v>http://dx.doi.org/10.1007/s00382-022-06384-0</v>
      </c>
      <c r="BG769" t="s">
        <v>74</v>
      </c>
      <c r="BH769" t="s">
        <v>12326</v>
      </c>
      <c r="BI769">
        <v>15</v>
      </c>
      <c r="BJ769" t="s">
        <v>457</v>
      </c>
      <c r="BK769" t="s">
        <v>100</v>
      </c>
      <c r="BL769" t="s">
        <v>457</v>
      </c>
      <c r="BM769" t="s">
        <v>15015</v>
      </c>
      <c r="BN769" t="s">
        <v>74</v>
      </c>
      <c r="BO769" t="s">
        <v>74</v>
      </c>
      <c r="BP769" t="s">
        <v>74</v>
      </c>
      <c r="BQ769" t="s">
        <v>74</v>
      </c>
      <c r="BR769" t="s">
        <v>103</v>
      </c>
      <c r="BS769" t="s">
        <v>15016</v>
      </c>
      <c r="BT769" t="str">
        <f>HYPERLINK("https%3A%2F%2Fwww.webofscience.com%2Fwos%2Fwoscc%2Ffull-record%2FWOS:000823370900001","View Full Record in Web of Science")</f>
        <v>View Full Record in Web of Science</v>
      </c>
    </row>
    <row r="770" spans="1:72" x14ac:dyDescent="0.15">
      <c r="A770" t="s">
        <v>72</v>
      </c>
      <c r="B770" t="s">
        <v>15017</v>
      </c>
      <c r="C770" t="s">
        <v>74</v>
      </c>
      <c r="D770" t="s">
        <v>74</v>
      </c>
      <c r="E770" t="s">
        <v>74</v>
      </c>
      <c r="F770" t="s">
        <v>15018</v>
      </c>
      <c r="G770" t="s">
        <v>74</v>
      </c>
      <c r="H770" t="s">
        <v>74</v>
      </c>
      <c r="I770" t="s">
        <v>15019</v>
      </c>
      <c r="J770" t="s">
        <v>15020</v>
      </c>
      <c r="K770" t="s">
        <v>74</v>
      </c>
      <c r="L770" t="s">
        <v>74</v>
      </c>
      <c r="M770" t="s">
        <v>78</v>
      </c>
      <c r="N770" t="s">
        <v>79</v>
      </c>
      <c r="O770" t="s">
        <v>74</v>
      </c>
      <c r="P770" t="s">
        <v>74</v>
      </c>
      <c r="Q770" t="s">
        <v>74</v>
      </c>
      <c r="R770" t="s">
        <v>74</v>
      </c>
      <c r="S770" t="s">
        <v>74</v>
      </c>
      <c r="T770" t="s">
        <v>15021</v>
      </c>
      <c r="U770" t="s">
        <v>15022</v>
      </c>
      <c r="V770" t="s">
        <v>15023</v>
      </c>
      <c r="W770" t="s">
        <v>15024</v>
      </c>
      <c r="X770" t="s">
        <v>15025</v>
      </c>
      <c r="Y770" t="s">
        <v>15026</v>
      </c>
      <c r="Z770" t="s">
        <v>15027</v>
      </c>
      <c r="AA770" t="s">
        <v>15028</v>
      </c>
      <c r="AB770" t="s">
        <v>15029</v>
      </c>
      <c r="AC770" t="s">
        <v>74</v>
      </c>
      <c r="AD770" t="s">
        <v>74</v>
      </c>
      <c r="AE770" t="s">
        <v>74</v>
      </c>
      <c r="AF770" t="s">
        <v>74</v>
      </c>
      <c r="AG770">
        <v>58</v>
      </c>
      <c r="AH770">
        <v>4</v>
      </c>
      <c r="AI770">
        <v>4</v>
      </c>
      <c r="AJ770">
        <v>2</v>
      </c>
      <c r="AK770">
        <v>16</v>
      </c>
      <c r="AL770" t="s">
        <v>3089</v>
      </c>
      <c r="AM770" t="s">
        <v>2774</v>
      </c>
      <c r="AN770" t="s">
        <v>3090</v>
      </c>
      <c r="AO770" t="s">
        <v>15030</v>
      </c>
      <c r="AP770" t="s">
        <v>15031</v>
      </c>
      <c r="AQ770" t="s">
        <v>74</v>
      </c>
      <c r="AR770" t="s">
        <v>15032</v>
      </c>
      <c r="AS770" t="s">
        <v>15033</v>
      </c>
      <c r="AT770" t="s">
        <v>5386</v>
      </c>
      <c r="AU770">
        <v>2022</v>
      </c>
      <c r="AV770">
        <v>190</v>
      </c>
      <c r="AW770" t="s">
        <v>74</v>
      </c>
      <c r="AX770" t="s">
        <v>74</v>
      </c>
      <c r="AY770" t="s">
        <v>74</v>
      </c>
      <c r="AZ770" t="s">
        <v>74</v>
      </c>
      <c r="BA770" t="s">
        <v>74</v>
      </c>
      <c r="BB770">
        <v>187</v>
      </c>
      <c r="BC770">
        <v>198</v>
      </c>
      <c r="BD770" t="s">
        <v>74</v>
      </c>
      <c r="BE770" t="s">
        <v>15034</v>
      </c>
      <c r="BF770" t="str">
        <f>HYPERLINK("http://dx.doi.org/10.1016/j.anbehav.2022.06.009","http://dx.doi.org/10.1016/j.anbehav.2022.06.009")</f>
        <v>http://dx.doi.org/10.1016/j.anbehav.2022.06.009</v>
      </c>
      <c r="BG770" t="s">
        <v>74</v>
      </c>
      <c r="BH770" t="s">
        <v>12326</v>
      </c>
      <c r="BI770">
        <v>12</v>
      </c>
      <c r="BJ770" t="s">
        <v>15035</v>
      </c>
      <c r="BK770" t="s">
        <v>100</v>
      </c>
      <c r="BL770" t="s">
        <v>15035</v>
      </c>
      <c r="BM770" t="s">
        <v>15036</v>
      </c>
      <c r="BN770" t="s">
        <v>74</v>
      </c>
      <c r="BO770" t="s">
        <v>74</v>
      </c>
      <c r="BP770" t="s">
        <v>74</v>
      </c>
      <c r="BQ770" t="s">
        <v>74</v>
      </c>
      <c r="BR770" t="s">
        <v>103</v>
      </c>
      <c r="BS770" t="s">
        <v>15037</v>
      </c>
      <c r="BT770" t="str">
        <f>HYPERLINK("https%3A%2F%2Fwww.webofscience.com%2Fwos%2Fwoscc%2Ffull-record%2FWOS:000840992000003","View Full Record in Web of Science")</f>
        <v>View Full Record in Web of Science</v>
      </c>
    </row>
    <row r="771" spans="1:72" x14ac:dyDescent="0.15">
      <c r="A771" t="s">
        <v>72</v>
      </c>
      <c r="B771" t="s">
        <v>15038</v>
      </c>
      <c r="C771" t="s">
        <v>74</v>
      </c>
      <c r="D771" t="s">
        <v>74</v>
      </c>
      <c r="E771" t="s">
        <v>74</v>
      </c>
      <c r="F771" t="s">
        <v>15039</v>
      </c>
      <c r="G771" t="s">
        <v>74</v>
      </c>
      <c r="H771" t="s">
        <v>74</v>
      </c>
      <c r="I771" t="s">
        <v>15040</v>
      </c>
      <c r="J771" t="s">
        <v>2239</v>
      </c>
      <c r="K771" t="s">
        <v>74</v>
      </c>
      <c r="L771" t="s">
        <v>74</v>
      </c>
      <c r="M771" t="s">
        <v>78</v>
      </c>
      <c r="N771" t="s">
        <v>79</v>
      </c>
      <c r="O771" t="s">
        <v>74</v>
      </c>
      <c r="P771" t="s">
        <v>74</v>
      </c>
      <c r="Q771" t="s">
        <v>74</v>
      </c>
      <c r="R771" t="s">
        <v>74</v>
      </c>
      <c r="S771" t="s">
        <v>74</v>
      </c>
      <c r="T771" t="s">
        <v>15041</v>
      </c>
      <c r="U771" t="s">
        <v>74</v>
      </c>
      <c r="V771" t="s">
        <v>15042</v>
      </c>
      <c r="W771" t="s">
        <v>15043</v>
      </c>
      <c r="X771" t="s">
        <v>6535</v>
      </c>
      <c r="Y771" t="s">
        <v>15044</v>
      </c>
      <c r="Z771" t="s">
        <v>15045</v>
      </c>
      <c r="AA771" t="s">
        <v>15046</v>
      </c>
      <c r="AB771" t="s">
        <v>15047</v>
      </c>
      <c r="AC771" t="s">
        <v>15048</v>
      </c>
      <c r="AD771" t="s">
        <v>15049</v>
      </c>
      <c r="AE771" t="s">
        <v>15050</v>
      </c>
      <c r="AF771" t="s">
        <v>74</v>
      </c>
      <c r="AG771">
        <v>37</v>
      </c>
      <c r="AH771">
        <v>3</v>
      </c>
      <c r="AI771">
        <v>3</v>
      </c>
      <c r="AJ771">
        <v>2</v>
      </c>
      <c r="AK771">
        <v>7</v>
      </c>
      <c r="AL771" t="s">
        <v>2249</v>
      </c>
      <c r="AM771" t="s">
        <v>90</v>
      </c>
      <c r="AN771" t="s">
        <v>2250</v>
      </c>
      <c r="AO771" t="s">
        <v>2251</v>
      </c>
      <c r="AP771" t="s">
        <v>2252</v>
      </c>
      <c r="AQ771" t="s">
        <v>74</v>
      </c>
      <c r="AR771" t="s">
        <v>2253</v>
      </c>
      <c r="AS771" t="s">
        <v>2254</v>
      </c>
      <c r="AT771" t="s">
        <v>3605</v>
      </c>
      <c r="AU771">
        <v>2022</v>
      </c>
      <c r="AV771">
        <v>143</v>
      </c>
      <c r="AW771" t="s">
        <v>74</v>
      </c>
      <c r="AX771" t="s">
        <v>74</v>
      </c>
      <c r="AY771" t="s">
        <v>74</v>
      </c>
      <c r="AZ771" t="s">
        <v>74</v>
      </c>
      <c r="BA771" t="s">
        <v>74</v>
      </c>
      <c r="BB771" t="s">
        <v>74</v>
      </c>
      <c r="BC771" t="s">
        <v>74</v>
      </c>
      <c r="BD771">
        <v>105201</v>
      </c>
      <c r="BE771" t="s">
        <v>15051</v>
      </c>
      <c r="BF771" t="str">
        <f>HYPERLINK("http://dx.doi.org/10.1016/j.marpol.2022.105201","http://dx.doi.org/10.1016/j.marpol.2022.105201")</f>
        <v>http://dx.doi.org/10.1016/j.marpol.2022.105201</v>
      </c>
      <c r="BG771" t="s">
        <v>74</v>
      </c>
      <c r="BH771" t="s">
        <v>12326</v>
      </c>
      <c r="BI771">
        <v>9</v>
      </c>
      <c r="BJ771" t="s">
        <v>2256</v>
      </c>
      <c r="BK771" t="s">
        <v>2257</v>
      </c>
      <c r="BL771" t="s">
        <v>2258</v>
      </c>
      <c r="BM771" t="s">
        <v>15052</v>
      </c>
      <c r="BN771" t="s">
        <v>74</v>
      </c>
      <c r="BO771" t="s">
        <v>74</v>
      </c>
      <c r="BP771" t="s">
        <v>74</v>
      </c>
      <c r="BQ771" t="s">
        <v>74</v>
      </c>
      <c r="BR771" t="s">
        <v>103</v>
      </c>
      <c r="BS771" t="s">
        <v>15053</v>
      </c>
      <c r="BT771" t="str">
        <f>HYPERLINK("https%3A%2F%2Fwww.webofscience.com%2Fwos%2Fwoscc%2Ffull-record%2FWOS:000828137300008","View Full Record in Web of Science")</f>
        <v>View Full Record in Web of Science</v>
      </c>
    </row>
    <row r="772" spans="1:72" x14ac:dyDescent="0.15">
      <c r="A772" t="s">
        <v>72</v>
      </c>
      <c r="B772" t="s">
        <v>15054</v>
      </c>
      <c r="C772" t="s">
        <v>74</v>
      </c>
      <c r="D772" t="s">
        <v>74</v>
      </c>
      <c r="E772" t="s">
        <v>74</v>
      </c>
      <c r="F772" t="s">
        <v>15055</v>
      </c>
      <c r="G772" t="s">
        <v>74</v>
      </c>
      <c r="H772" t="s">
        <v>74</v>
      </c>
      <c r="I772" t="s">
        <v>15056</v>
      </c>
      <c r="J772" t="s">
        <v>15057</v>
      </c>
      <c r="K772" t="s">
        <v>74</v>
      </c>
      <c r="L772" t="s">
        <v>74</v>
      </c>
      <c r="M772" t="s">
        <v>78</v>
      </c>
      <c r="N772" t="s">
        <v>79</v>
      </c>
      <c r="O772" t="s">
        <v>74</v>
      </c>
      <c r="P772" t="s">
        <v>74</v>
      </c>
      <c r="Q772" t="s">
        <v>74</v>
      </c>
      <c r="R772" t="s">
        <v>74</v>
      </c>
      <c r="S772" t="s">
        <v>74</v>
      </c>
      <c r="T772" t="s">
        <v>15058</v>
      </c>
      <c r="U772" t="s">
        <v>15059</v>
      </c>
      <c r="V772" t="s">
        <v>15060</v>
      </c>
      <c r="W772" t="s">
        <v>15061</v>
      </c>
      <c r="X772" t="s">
        <v>15062</v>
      </c>
      <c r="Y772" t="s">
        <v>15063</v>
      </c>
      <c r="Z772" t="s">
        <v>15064</v>
      </c>
      <c r="AA772" t="s">
        <v>74</v>
      </c>
      <c r="AB772" t="s">
        <v>15065</v>
      </c>
      <c r="AC772" t="s">
        <v>15066</v>
      </c>
      <c r="AD772" t="s">
        <v>15067</v>
      </c>
      <c r="AE772" t="s">
        <v>15068</v>
      </c>
      <c r="AF772" t="s">
        <v>74</v>
      </c>
      <c r="AG772">
        <v>91</v>
      </c>
      <c r="AH772">
        <v>6</v>
      </c>
      <c r="AI772">
        <v>6</v>
      </c>
      <c r="AJ772">
        <v>2</v>
      </c>
      <c r="AK772">
        <v>9</v>
      </c>
      <c r="AL772" t="s">
        <v>13279</v>
      </c>
      <c r="AM772" t="s">
        <v>13280</v>
      </c>
      <c r="AN772" t="s">
        <v>13281</v>
      </c>
      <c r="AO772" t="s">
        <v>15069</v>
      </c>
      <c r="AP772" t="s">
        <v>15070</v>
      </c>
      <c r="AQ772" t="s">
        <v>74</v>
      </c>
      <c r="AR772" t="s">
        <v>15071</v>
      </c>
      <c r="AS772" t="s">
        <v>15072</v>
      </c>
      <c r="AT772" t="s">
        <v>15073</v>
      </c>
      <c r="AU772">
        <v>2022</v>
      </c>
      <c r="AV772">
        <v>33</v>
      </c>
      <c r="AW772">
        <v>5</v>
      </c>
      <c r="AX772" t="s">
        <v>74</v>
      </c>
      <c r="AY772" t="s">
        <v>74</v>
      </c>
      <c r="AZ772" t="s">
        <v>74</v>
      </c>
      <c r="BA772" t="s">
        <v>74</v>
      </c>
      <c r="BB772">
        <v>989</v>
      </c>
      <c r="BC772">
        <v>998</v>
      </c>
      <c r="BD772" t="s">
        <v>74</v>
      </c>
      <c r="BE772" t="s">
        <v>15074</v>
      </c>
      <c r="BF772" t="str">
        <f>HYPERLINK("http://dx.doi.org/10.1093/beheco/arac066","http://dx.doi.org/10.1093/beheco/arac066")</f>
        <v>http://dx.doi.org/10.1093/beheco/arac066</v>
      </c>
      <c r="BG772" t="s">
        <v>74</v>
      </c>
      <c r="BH772" t="s">
        <v>12326</v>
      </c>
      <c r="BI772">
        <v>10</v>
      </c>
      <c r="BJ772" t="s">
        <v>15075</v>
      </c>
      <c r="BK772" t="s">
        <v>100</v>
      </c>
      <c r="BL772" t="s">
        <v>15076</v>
      </c>
      <c r="BM772" t="s">
        <v>15077</v>
      </c>
      <c r="BN772" t="s">
        <v>74</v>
      </c>
      <c r="BO772" t="s">
        <v>74</v>
      </c>
      <c r="BP772" t="s">
        <v>74</v>
      </c>
      <c r="BQ772" t="s">
        <v>74</v>
      </c>
      <c r="BR772" t="s">
        <v>103</v>
      </c>
      <c r="BS772" t="s">
        <v>15078</v>
      </c>
      <c r="BT772" t="str">
        <f>HYPERLINK("https%3A%2F%2Fwww.webofscience.com%2Fwos%2Fwoscc%2Ffull-record%2FWOS:000822434100001","View Full Record in Web of Science")</f>
        <v>View Full Record in Web of Science</v>
      </c>
    </row>
    <row r="773" spans="1:72" x14ac:dyDescent="0.15">
      <c r="A773" t="s">
        <v>72</v>
      </c>
      <c r="B773" t="s">
        <v>15079</v>
      </c>
      <c r="C773" t="s">
        <v>74</v>
      </c>
      <c r="D773" t="s">
        <v>74</v>
      </c>
      <c r="E773" t="s">
        <v>74</v>
      </c>
      <c r="F773" t="s">
        <v>15080</v>
      </c>
      <c r="G773" t="s">
        <v>74</v>
      </c>
      <c r="H773" t="s">
        <v>74</v>
      </c>
      <c r="I773" t="s">
        <v>15081</v>
      </c>
      <c r="J773" t="s">
        <v>4697</v>
      </c>
      <c r="K773" t="s">
        <v>74</v>
      </c>
      <c r="L773" t="s">
        <v>74</v>
      </c>
      <c r="M773" t="s">
        <v>78</v>
      </c>
      <c r="N773" t="s">
        <v>79</v>
      </c>
      <c r="O773" t="s">
        <v>74</v>
      </c>
      <c r="P773" t="s">
        <v>74</v>
      </c>
      <c r="Q773" t="s">
        <v>74</v>
      </c>
      <c r="R773" t="s">
        <v>74</v>
      </c>
      <c r="S773" t="s">
        <v>74</v>
      </c>
      <c r="T773" t="s">
        <v>74</v>
      </c>
      <c r="U773" t="s">
        <v>15082</v>
      </c>
      <c r="V773" t="s">
        <v>15083</v>
      </c>
      <c r="W773" t="s">
        <v>15084</v>
      </c>
      <c r="X773" t="s">
        <v>15085</v>
      </c>
      <c r="Y773" t="s">
        <v>15086</v>
      </c>
      <c r="Z773" t="s">
        <v>15087</v>
      </c>
      <c r="AA773" t="s">
        <v>15088</v>
      </c>
      <c r="AB773" t="s">
        <v>15089</v>
      </c>
      <c r="AC773" t="s">
        <v>15090</v>
      </c>
      <c r="AD773" t="s">
        <v>6002</v>
      </c>
      <c r="AE773" t="s">
        <v>15091</v>
      </c>
      <c r="AF773" t="s">
        <v>74</v>
      </c>
      <c r="AG773">
        <v>134</v>
      </c>
      <c r="AH773">
        <v>7</v>
      </c>
      <c r="AI773">
        <v>7</v>
      </c>
      <c r="AJ773">
        <v>2</v>
      </c>
      <c r="AK773">
        <v>12</v>
      </c>
      <c r="AL773" t="s">
        <v>2773</v>
      </c>
      <c r="AM773" t="s">
        <v>2774</v>
      </c>
      <c r="AN773" t="s">
        <v>2775</v>
      </c>
      <c r="AO773" t="s">
        <v>74</v>
      </c>
      <c r="AP773" t="s">
        <v>4709</v>
      </c>
      <c r="AQ773" t="s">
        <v>74</v>
      </c>
      <c r="AR773" t="s">
        <v>4710</v>
      </c>
      <c r="AS773" t="s">
        <v>4711</v>
      </c>
      <c r="AT773" t="s">
        <v>15092</v>
      </c>
      <c r="AU773">
        <v>2022</v>
      </c>
      <c r="AV773">
        <v>3</v>
      </c>
      <c r="AW773">
        <v>1</v>
      </c>
      <c r="AX773" t="s">
        <v>74</v>
      </c>
      <c r="AY773" t="s">
        <v>74</v>
      </c>
      <c r="AZ773" t="s">
        <v>74</v>
      </c>
      <c r="BA773" t="s">
        <v>74</v>
      </c>
      <c r="BB773" t="s">
        <v>74</v>
      </c>
      <c r="BC773" t="s">
        <v>74</v>
      </c>
      <c r="BD773">
        <v>158</v>
      </c>
      <c r="BE773" t="s">
        <v>15093</v>
      </c>
      <c r="BF773" t="str">
        <f>HYPERLINK("http://dx.doi.org/10.1038/s43247-022-00486-7","http://dx.doi.org/10.1038/s43247-022-00486-7")</f>
        <v>http://dx.doi.org/10.1038/s43247-022-00486-7</v>
      </c>
      <c r="BG773" t="s">
        <v>74</v>
      </c>
      <c r="BH773" t="s">
        <v>74</v>
      </c>
      <c r="BI773">
        <v>12</v>
      </c>
      <c r="BJ773" t="s">
        <v>1010</v>
      </c>
      <c r="BK773" t="s">
        <v>100</v>
      </c>
      <c r="BL773" t="s">
        <v>1011</v>
      </c>
      <c r="BM773" t="s">
        <v>15094</v>
      </c>
      <c r="BN773" t="s">
        <v>74</v>
      </c>
      <c r="BO773" t="s">
        <v>15095</v>
      </c>
      <c r="BP773" t="s">
        <v>74</v>
      </c>
      <c r="BQ773" t="s">
        <v>74</v>
      </c>
      <c r="BR773" t="s">
        <v>103</v>
      </c>
      <c r="BS773" t="s">
        <v>15096</v>
      </c>
      <c r="BT773" t="str">
        <f>HYPERLINK("https%3A%2F%2Fwww.webofscience.com%2Fwos%2Fwoscc%2Ffull-record%2FWOS:000822490700001","View Full Record in Web of Science")</f>
        <v>View Full Record in Web of Science</v>
      </c>
    </row>
    <row r="774" spans="1:72" x14ac:dyDescent="0.15">
      <c r="A774" t="s">
        <v>72</v>
      </c>
      <c r="B774" t="s">
        <v>15097</v>
      </c>
      <c r="C774" t="s">
        <v>74</v>
      </c>
      <c r="D774" t="s">
        <v>74</v>
      </c>
      <c r="E774" t="s">
        <v>74</v>
      </c>
      <c r="F774" t="s">
        <v>15098</v>
      </c>
      <c r="G774" t="s">
        <v>74</v>
      </c>
      <c r="H774" t="s">
        <v>74</v>
      </c>
      <c r="I774" t="s">
        <v>15099</v>
      </c>
      <c r="J774" t="s">
        <v>7473</v>
      </c>
      <c r="K774" t="s">
        <v>74</v>
      </c>
      <c r="L774" t="s">
        <v>74</v>
      </c>
      <c r="M774" t="s">
        <v>78</v>
      </c>
      <c r="N774" t="s">
        <v>79</v>
      </c>
      <c r="O774" t="s">
        <v>74</v>
      </c>
      <c r="P774" t="s">
        <v>74</v>
      </c>
      <c r="Q774" t="s">
        <v>74</v>
      </c>
      <c r="R774" t="s">
        <v>74</v>
      </c>
      <c r="S774" t="s">
        <v>74</v>
      </c>
      <c r="T774" t="s">
        <v>15100</v>
      </c>
      <c r="U774" t="s">
        <v>15101</v>
      </c>
      <c r="V774" t="s">
        <v>15102</v>
      </c>
      <c r="W774" t="s">
        <v>15103</v>
      </c>
      <c r="X774" t="s">
        <v>15104</v>
      </c>
      <c r="Y774" t="s">
        <v>15105</v>
      </c>
      <c r="Z774" t="s">
        <v>15106</v>
      </c>
      <c r="AA774" t="s">
        <v>15107</v>
      </c>
      <c r="AB774" t="s">
        <v>15108</v>
      </c>
      <c r="AC774" t="s">
        <v>15109</v>
      </c>
      <c r="AD774" t="s">
        <v>15110</v>
      </c>
      <c r="AE774" t="s">
        <v>15111</v>
      </c>
      <c r="AF774" t="s">
        <v>74</v>
      </c>
      <c r="AG774">
        <v>46</v>
      </c>
      <c r="AH774">
        <v>10</v>
      </c>
      <c r="AI774">
        <v>10</v>
      </c>
      <c r="AJ774">
        <v>4</v>
      </c>
      <c r="AK774">
        <v>10</v>
      </c>
      <c r="AL774" t="s">
        <v>231</v>
      </c>
      <c r="AM774" t="s">
        <v>232</v>
      </c>
      <c r="AN774" t="s">
        <v>233</v>
      </c>
      <c r="AO774" t="s">
        <v>7481</v>
      </c>
      <c r="AP774" t="s">
        <v>7482</v>
      </c>
      <c r="AQ774" t="s">
        <v>74</v>
      </c>
      <c r="AR774" t="s">
        <v>7483</v>
      </c>
      <c r="AS774" t="s">
        <v>7484</v>
      </c>
      <c r="AT774" t="s">
        <v>325</v>
      </c>
      <c r="AU774">
        <v>2022</v>
      </c>
      <c r="AV774">
        <v>188</v>
      </c>
      <c r="AW774">
        <v>4</v>
      </c>
      <c r="AX774" t="s">
        <v>74</v>
      </c>
      <c r="AY774" t="s">
        <v>74</v>
      </c>
      <c r="AZ774" t="s">
        <v>74</v>
      </c>
      <c r="BA774" t="s">
        <v>74</v>
      </c>
      <c r="BB774">
        <v>506</v>
      </c>
      <c r="BC774">
        <v>517</v>
      </c>
      <c r="BD774" t="s">
        <v>74</v>
      </c>
      <c r="BE774" t="s">
        <v>15112</v>
      </c>
      <c r="BF774" t="str">
        <f>HYPERLINK("http://dx.doi.org/10.1111/geoj.12458","http://dx.doi.org/10.1111/geoj.12458")</f>
        <v>http://dx.doi.org/10.1111/geoj.12458</v>
      </c>
      <c r="BG774" t="s">
        <v>74</v>
      </c>
      <c r="BH774" t="s">
        <v>12326</v>
      </c>
      <c r="BI774">
        <v>12</v>
      </c>
      <c r="BJ774" t="s">
        <v>7486</v>
      </c>
      <c r="BK774" t="s">
        <v>2257</v>
      </c>
      <c r="BL774" t="s">
        <v>7486</v>
      </c>
      <c r="BM774" t="s">
        <v>15113</v>
      </c>
      <c r="BN774" t="s">
        <v>74</v>
      </c>
      <c r="BO774" t="s">
        <v>2512</v>
      </c>
      <c r="BP774" t="s">
        <v>74</v>
      </c>
      <c r="BQ774" t="s">
        <v>74</v>
      </c>
      <c r="BR774" t="s">
        <v>103</v>
      </c>
      <c r="BS774" t="s">
        <v>15114</v>
      </c>
      <c r="BT774" t="str">
        <f>HYPERLINK("https%3A%2F%2Fwww.webofscience.com%2Fwos%2Fwoscc%2Ffull-record%2FWOS:000822359900001","View Full Record in Web of Science")</f>
        <v>View Full Record in Web of Science</v>
      </c>
    </row>
    <row r="775" spans="1:72" x14ac:dyDescent="0.15">
      <c r="A775" t="s">
        <v>72</v>
      </c>
      <c r="B775" t="s">
        <v>15115</v>
      </c>
      <c r="C775" t="s">
        <v>74</v>
      </c>
      <c r="D775" t="s">
        <v>74</v>
      </c>
      <c r="E775" t="s">
        <v>74</v>
      </c>
      <c r="F775" t="s">
        <v>15116</v>
      </c>
      <c r="G775" t="s">
        <v>74</v>
      </c>
      <c r="H775" t="s">
        <v>74</v>
      </c>
      <c r="I775" t="s">
        <v>15117</v>
      </c>
      <c r="J775" t="s">
        <v>2963</v>
      </c>
      <c r="K775" t="s">
        <v>74</v>
      </c>
      <c r="L775" t="s">
        <v>74</v>
      </c>
      <c r="M775" t="s">
        <v>78</v>
      </c>
      <c r="N775" t="s">
        <v>79</v>
      </c>
      <c r="O775" t="s">
        <v>74</v>
      </c>
      <c r="P775" t="s">
        <v>74</v>
      </c>
      <c r="Q775" t="s">
        <v>74</v>
      </c>
      <c r="R775" t="s">
        <v>74</v>
      </c>
      <c r="S775" t="s">
        <v>74</v>
      </c>
      <c r="T775" t="s">
        <v>15118</v>
      </c>
      <c r="U775" t="s">
        <v>15119</v>
      </c>
      <c r="V775" t="s">
        <v>15120</v>
      </c>
      <c r="W775" t="s">
        <v>15121</v>
      </c>
      <c r="X775" t="s">
        <v>15122</v>
      </c>
      <c r="Y775" t="s">
        <v>15123</v>
      </c>
      <c r="Z775" t="s">
        <v>15124</v>
      </c>
      <c r="AA775" t="s">
        <v>15125</v>
      </c>
      <c r="AB775" t="s">
        <v>15126</v>
      </c>
      <c r="AC775" t="s">
        <v>15127</v>
      </c>
      <c r="AD775" t="s">
        <v>15128</v>
      </c>
      <c r="AE775" t="s">
        <v>15129</v>
      </c>
      <c r="AF775" t="s">
        <v>74</v>
      </c>
      <c r="AG775">
        <v>92</v>
      </c>
      <c r="AH775">
        <v>3</v>
      </c>
      <c r="AI775">
        <v>3</v>
      </c>
      <c r="AJ775">
        <v>2</v>
      </c>
      <c r="AK775">
        <v>7</v>
      </c>
      <c r="AL775" t="s">
        <v>501</v>
      </c>
      <c r="AM775" t="s">
        <v>502</v>
      </c>
      <c r="AN775" t="s">
        <v>503</v>
      </c>
      <c r="AO775" t="s">
        <v>2976</v>
      </c>
      <c r="AP775" t="s">
        <v>2977</v>
      </c>
      <c r="AQ775" t="s">
        <v>74</v>
      </c>
      <c r="AR775" t="s">
        <v>2963</v>
      </c>
      <c r="AS775" t="s">
        <v>2978</v>
      </c>
      <c r="AT775" t="s">
        <v>3348</v>
      </c>
      <c r="AU775">
        <v>2022</v>
      </c>
      <c r="AV775">
        <v>560</v>
      </c>
      <c r="AW775" t="s">
        <v>74</v>
      </c>
      <c r="AX775" t="s">
        <v>74</v>
      </c>
      <c r="AY775" t="s">
        <v>74</v>
      </c>
      <c r="AZ775" t="s">
        <v>74</v>
      </c>
      <c r="BA775" t="s">
        <v>74</v>
      </c>
      <c r="BB775" t="s">
        <v>74</v>
      </c>
      <c r="BC775" t="s">
        <v>74</v>
      </c>
      <c r="BD775">
        <v>738570</v>
      </c>
      <c r="BE775" t="s">
        <v>15130</v>
      </c>
      <c r="BF775" t="str">
        <f>HYPERLINK("http://dx.doi.org/10.1016/j.aquaculture.2022.738570","http://dx.doi.org/10.1016/j.aquaculture.2022.738570")</f>
        <v>http://dx.doi.org/10.1016/j.aquaculture.2022.738570</v>
      </c>
      <c r="BG775" t="s">
        <v>74</v>
      </c>
      <c r="BH775" t="s">
        <v>12326</v>
      </c>
      <c r="BI775">
        <v>11</v>
      </c>
      <c r="BJ775" t="s">
        <v>1193</v>
      </c>
      <c r="BK775" t="s">
        <v>100</v>
      </c>
      <c r="BL775" t="s">
        <v>1193</v>
      </c>
      <c r="BM775" t="s">
        <v>15131</v>
      </c>
      <c r="BN775" t="s">
        <v>74</v>
      </c>
      <c r="BO775" t="s">
        <v>74</v>
      </c>
      <c r="BP775" t="s">
        <v>74</v>
      </c>
      <c r="BQ775" t="s">
        <v>74</v>
      </c>
      <c r="BR775" t="s">
        <v>103</v>
      </c>
      <c r="BS775" t="s">
        <v>15132</v>
      </c>
      <c r="BT775" t="str">
        <f>HYPERLINK("https%3A%2F%2Fwww.webofscience.com%2Fwos%2Fwoscc%2Ffull-record%2FWOS:000888667100012","View Full Record in Web of Science")</f>
        <v>View Full Record in Web of Science</v>
      </c>
    </row>
    <row r="776" spans="1:72" x14ac:dyDescent="0.15">
      <c r="A776" t="s">
        <v>72</v>
      </c>
      <c r="B776" t="s">
        <v>15133</v>
      </c>
      <c r="C776" t="s">
        <v>74</v>
      </c>
      <c r="D776" t="s">
        <v>74</v>
      </c>
      <c r="E776" t="s">
        <v>74</v>
      </c>
      <c r="F776" t="s">
        <v>15134</v>
      </c>
      <c r="G776" t="s">
        <v>74</v>
      </c>
      <c r="H776" t="s">
        <v>74</v>
      </c>
      <c r="I776" t="s">
        <v>15135</v>
      </c>
      <c r="J776" t="s">
        <v>2265</v>
      </c>
      <c r="K776" t="s">
        <v>74</v>
      </c>
      <c r="L776" t="s">
        <v>74</v>
      </c>
      <c r="M776" t="s">
        <v>78</v>
      </c>
      <c r="N776" t="s">
        <v>79</v>
      </c>
      <c r="O776" t="s">
        <v>74</v>
      </c>
      <c r="P776" t="s">
        <v>74</v>
      </c>
      <c r="Q776" t="s">
        <v>74</v>
      </c>
      <c r="R776" t="s">
        <v>74</v>
      </c>
      <c r="S776" t="s">
        <v>74</v>
      </c>
      <c r="T776" t="s">
        <v>15136</v>
      </c>
      <c r="U776" t="s">
        <v>15137</v>
      </c>
      <c r="V776" t="s">
        <v>15138</v>
      </c>
      <c r="W776" t="s">
        <v>15139</v>
      </c>
      <c r="X776" t="s">
        <v>15140</v>
      </c>
      <c r="Y776" t="s">
        <v>15141</v>
      </c>
      <c r="Z776" t="s">
        <v>15142</v>
      </c>
      <c r="AA776" t="s">
        <v>15143</v>
      </c>
      <c r="AB776" t="s">
        <v>15144</v>
      </c>
      <c r="AC776" t="s">
        <v>15145</v>
      </c>
      <c r="AD776" t="s">
        <v>15146</v>
      </c>
      <c r="AE776" t="s">
        <v>15147</v>
      </c>
      <c r="AF776" t="s">
        <v>74</v>
      </c>
      <c r="AG776">
        <v>87</v>
      </c>
      <c r="AH776">
        <v>0</v>
      </c>
      <c r="AI776">
        <v>0</v>
      </c>
      <c r="AJ776">
        <v>4</v>
      </c>
      <c r="AK776">
        <v>8</v>
      </c>
      <c r="AL776" t="s">
        <v>2275</v>
      </c>
      <c r="AM776" t="s">
        <v>90</v>
      </c>
      <c r="AN776" t="s">
        <v>2276</v>
      </c>
      <c r="AO776" t="s">
        <v>2277</v>
      </c>
      <c r="AP776" t="s">
        <v>2278</v>
      </c>
      <c r="AQ776" t="s">
        <v>74</v>
      </c>
      <c r="AR776" t="s">
        <v>2279</v>
      </c>
      <c r="AS776" t="s">
        <v>2280</v>
      </c>
      <c r="AT776" t="s">
        <v>5386</v>
      </c>
      <c r="AU776">
        <v>2022</v>
      </c>
      <c r="AV776">
        <v>181</v>
      </c>
      <c r="AW776" t="s">
        <v>74</v>
      </c>
      <c r="AX776" t="s">
        <v>74</v>
      </c>
      <c r="AY776" t="s">
        <v>74</v>
      </c>
      <c r="AZ776" t="s">
        <v>74</v>
      </c>
      <c r="BA776" t="s">
        <v>74</v>
      </c>
      <c r="BB776" t="s">
        <v>74</v>
      </c>
      <c r="BC776" t="s">
        <v>74</v>
      </c>
      <c r="BD776">
        <v>113919</v>
      </c>
      <c r="BE776" t="s">
        <v>15148</v>
      </c>
      <c r="BF776" t="str">
        <f>HYPERLINK("http://dx.doi.org/10.1016/j.marpolbul.2022.113919","http://dx.doi.org/10.1016/j.marpolbul.2022.113919")</f>
        <v>http://dx.doi.org/10.1016/j.marpolbul.2022.113919</v>
      </c>
      <c r="BG776" t="s">
        <v>74</v>
      </c>
      <c r="BH776" t="s">
        <v>12326</v>
      </c>
      <c r="BI776">
        <v>7</v>
      </c>
      <c r="BJ776" t="s">
        <v>263</v>
      </c>
      <c r="BK776" t="s">
        <v>100</v>
      </c>
      <c r="BL776" t="s">
        <v>264</v>
      </c>
      <c r="BM776" t="s">
        <v>15149</v>
      </c>
      <c r="BN776">
        <v>35816822</v>
      </c>
      <c r="BO776" t="s">
        <v>3327</v>
      </c>
      <c r="BP776" t="s">
        <v>74</v>
      </c>
      <c r="BQ776" t="s">
        <v>74</v>
      </c>
      <c r="BR776" t="s">
        <v>103</v>
      </c>
      <c r="BS776" t="s">
        <v>15150</v>
      </c>
      <c r="BT776" t="str">
        <f>HYPERLINK("https%3A%2F%2Fwww.webofscience.com%2Fwos%2Fwoscc%2Ffull-record%2FWOS:000886025600007","View Full Record in Web of Science")</f>
        <v>View Full Record in Web of Science</v>
      </c>
    </row>
    <row r="777" spans="1:72" x14ac:dyDescent="0.15">
      <c r="A777" t="s">
        <v>72</v>
      </c>
      <c r="B777" t="s">
        <v>15151</v>
      </c>
      <c r="C777" t="s">
        <v>74</v>
      </c>
      <c r="D777" t="s">
        <v>74</v>
      </c>
      <c r="E777" t="s">
        <v>74</v>
      </c>
      <c r="F777" t="s">
        <v>15152</v>
      </c>
      <c r="G777" t="s">
        <v>74</v>
      </c>
      <c r="H777" t="s">
        <v>74</v>
      </c>
      <c r="I777" t="s">
        <v>15153</v>
      </c>
      <c r="J777" t="s">
        <v>3747</v>
      </c>
      <c r="K777" t="s">
        <v>74</v>
      </c>
      <c r="L777" t="s">
        <v>74</v>
      </c>
      <c r="M777" t="s">
        <v>78</v>
      </c>
      <c r="N777" t="s">
        <v>79</v>
      </c>
      <c r="O777" t="s">
        <v>74</v>
      </c>
      <c r="P777" t="s">
        <v>74</v>
      </c>
      <c r="Q777" t="s">
        <v>74</v>
      </c>
      <c r="R777" t="s">
        <v>74</v>
      </c>
      <c r="S777" t="s">
        <v>74</v>
      </c>
      <c r="T777" t="s">
        <v>15154</v>
      </c>
      <c r="U777" t="s">
        <v>15155</v>
      </c>
      <c r="V777" t="s">
        <v>15156</v>
      </c>
      <c r="W777" t="s">
        <v>15157</v>
      </c>
      <c r="X777" t="s">
        <v>15158</v>
      </c>
      <c r="Y777" t="s">
        <v>15159</v>
      </c>
      <c r="Z777" t="s">
        <v>15160</v>
      </c>
      <c r="AA777" t="s">
        <v>15161</v>
      </c>
      <c r="AB777" t="s">
        <v>15162</v>
      </c>
      <c r="AC777" t="s">
        <v>15163</v>
      </c>
      <c r="AD777" t="s">
        <v>15164</v>
      </c>
      <c r="AE777" t="s">
        <v>15165</v>
      </c>
      <c r="AF777" t="s">
        <v>74</v>
      </c>
      <c r="AG777">
        <v>176</v>
      </c>
      <c r="AH777">
        <v>24</v>
      </c>
      <c r="AI777">
        <v>26</v>
      </c>
      <c r="AJ777">
        <v>15</v>
      </c>
      <c r="AK777">
        <v>81</v>
      </c>
      <c r="AL777" t="s">
        <v>501</v>
      </c>
      <c r="AM777" t="s">
        <v>502</v>
      </c>
      <c r="AN777" t="s">
        <v>503</v>
      </c>
      <c r="AO777" t="s">
        <v>3759</v>
      </c>
      <c r="AP777" t="s">
        <v>3760</v>
      </c>
      <c r="AQ777" t="s">
        <v>74</v>
      </c>
      <c r="AR777" t="s">
        <v>3761</v>
      </c>
      <c r="AS777" t="s">
        <v>3762</v>
      </c>
      <c r="AT777" t="s">
        <v>8047</v>
      </c>
      <c r="AU777">
        <v>2022</v>
      </c>
      <c r="AV777">
        <v>844</v>
      </c>
      <c r="AW777" t="s">
        <v>74</v>
      </c>
      <c r="AX777" t="s">
        <v>74</v>
      </c>
      <c r="AY777" t="s">
        <v>74</v>
      </c>
      <c r="AZ777" t="s">
        <v>74</v>
      </c>
      <c r="BA777" t="s">
        <v>74</v>
      </c>
      <c r="BB777" t="s">
        <v>74</v>
      </c>
      <c r="BC777" t="s">
        <v>74</v>
      </c>
      <c r="BD777">
        <v>156944</v>
      </c>
      <c r="BE777" t="s">
        <v>15166</v>
      </c>
      <c r="BF777" t="str">
        <f>HYPERLINK("http://dx.doi.org/10.1016/j.scitotenv.2022.156944","http://dx.doi.org/10.1016/j.scitotenv.2022.156944")</f>
        <v>http://dx.doi.org/10.1016/j.scitotenv.2022.156944</v>
      </c>
      <c r="BG777" t="s">
        <v>74</v>
      </c>
      <c r="BH777" t="s">
        <v>12326</v>
      </c>
      <c r="BI777">
        <v>16</v>
      </c>
      <c r="BJ777" t="s">
        <v>2040</v>
      </c>
      <c r="BK777" t="s">
        <v>100</v>
      </c>
      <c r="BL777" t="s">
        <v>2041</v>
      </c>
      <c r="BM777" t="s">
        <v>15167</v>
      </c>
      <c r="BN777">
        <v>35752241</v>
      </c>
      <c r="BO777" t="s">
        <v>2934</v>
      </c>
      <c r="BP777" t="s">
        <v>74</v>
      </c>
      <c r="BQ777" t="s">
        <v>74</v>
      </c>
      <c r="BR777" t="s">
        <v>103</v>
      </c>
      <c r="BS777" t="s">
        <v>15168</v>
      </c>
      <c r="BT777" t="str">
        <f>HYPERLINK("https%3A%2F%2Fwww.webofscience.com%2Fwos%2Fwoscc%2Ffull-record%2FWOS:000829463100004","View Full Record in Web of Science")</f>
        <v>View Full Record in Web of Science</v>
      </c>
    </row>
    <row r="778" spans="1:72" x14ac:dyDescent="0.15">
      <c r="A778" t="s">
        <v>72</v>
      </c>
      <c r="B778" t="s">
        <v>15169</v>
      </c>
      <c r="C778" t="s">
        <v>74</v>
      </c>
      <c r="D778" t="s">
        <v>74</v>
      </c>
      <c r="E778" t="s">
        <v>74</v>
      </c>
      <c r="F778" t="s">
        <v>15170</v>
      </c>
      <c r="G778" t="s">
        <v>74</v>
      </c>
      <c r="H778" t="s">
        <v>74</v>
      </c>
      <c r="I778" t="s">
        <v>15171</v>
      </c>
      <c r="J778" t="s">
        <v>15172</v>
      </c>
      <c r="K778" t="s">
        <v>74</v>
      </c>
      <c r="L778" t="s">
        <v>74</v>
      </c>
      <c r="M778" t="s">
        <v>78</v>
      </c>
      <c r="N778" t="s">
        <v>79</v>
      </c>
      <c r="O778" t="s">
        <v>74</v>
      </c>
      <c r="P778" t="s">
        <v>74</v>
      </c>
      <c r="Q778" t="s">
        <v>74</v>
      </c>
      <c r="R778" t="s">
        <v>74</v>
      </c>
      <c r="S778" t="s">
        <v>74</v>
      </c>
      <c r="T778" t="s">
        <v>15173</v>
      </c>
      <c r="U778" t="s">
        <v>15174</v>
      </c>
      <c r="V778" t="s">
        <v>15175</v>
      </c>
      <c r="W778" t="s">
        <v>15176</v>
      </c>
      <c r="X778" t="s">
        <v>15177</v>
      </c>
      <c r="Y778" t="s">
        <v>15178</v>
      </c>
      <c r="Z778" t="s">
        <v>15179</v>
      </c>
      <c r="AA778" t="s">
        <v>15180</v>
      </c>
      <c r="AB778" t="s">
        <v>15181</v>
      </c>
      <c r="AC778" t="s">
        <v>15182</v>
      </c>
      <c r="AD778" t="s">
        <v>15182</v>
      </c>
      <c r="AE778" t="s">
        <v>15183</v>
      </c>
      <c r="AF778" t="s">
        <v>74</v>
      </c>
      <c r="AG778">
        <v>66</v>
      </c>
      <c r="AH778">
        <v>1</v>
      </c>
      <c r="AI778">
        <v>1</v>
      </c>
      <c r="AJ778">
        <v>2</v>
      </c>
      <c r="AK778">
        <v>4</v>
      </c>
      <c r="AL778" t="s">
        <v>3315</v>
      </c>
      <c r="AM778" t="s">
        <v>3316</v>
      </c>
      <c r="AN778" t="s">
        <v>3317</v>
      </c>
      <c r="AO778" t="s">
        <v>15184</v>
      </c>
      <c r="AP778" t="s">
        <v>15185</v>
      </c>
      <c r="AQ778" t="s">
        <v>74</v>
      </c>
      <c r="AR778" t="s">
        <v>15186</v>
      </c>
      <c r="AS778" t="s">
        <v>15187</v>
      </c>
      <c r="AT778" t="s">
        <v>15188</v>
      </c>
      <c r="AU778">
        <v>2022</v>
      </c>
      <c r="AV778">
        <v>150</v>
      </c>
      <c r="AW778" t="s">
        <v>74</v>
      </c>
      <c r="AX778" t="s">
        <v>74</v>
      </c>
      <c r="AY778" t="s">
        <v>74</v>
      </c>
      <c r="AZ778" t="s">
        <v>74</v>
      </c>
      <c r="BA778" t="s">
        <v>74</v>
      </c>
      <c r="BB778">
        <v>37</v>
      </c>
      <c r="BC778">
        <v>51</v>
      </c>
      <c r="BD778" t="s">
        <v>74</v>
      </c>
      <c r="BE778" t="s">
        <v>15189</v>
      </c>
      <c r="BF778" t="str">
        <f>HYPERLINK("http://dx.doi.org/10.3354/dao03673","http://dx.doi.org/10.3354/dao03673")</f>
        <v>http://dx.doi.org/10.3354/dao03673</v>
      </c>
      <c r="BG778" t="s">
        <v>74</v>
      </c>
      <c r="BH778" t="s">
        <v>74</v>
      </c>
      <c r="BI778">
        <v>15</v>
      </c>
      <c r="BJ778" t="s">
        <v>15190</v>
      </c>
      <c r="BK778" t="s">
        <v>100</v>
      </c>
      <c r="BL778" t="s">
        <v>15190</v>
      </c>
      <c r="BM778" t="s">
        <v>15191</v>
      </c>
      <c r="BN778">
        <v>35796510</v>
      </c>
      <c r="BO778" t="s">
        <v>74</v>
      </c>
      <c r="BP778" t="s">
        <v>74</v>
      </c>
      <c r="BQ778" t="s">
        <v>74</v>
      </c>
      <c r="BR778" t="s">
        <v>103</v>
      </c>
      <c r="BS778" t="s">
        <v>15192</v>
      </c>
      <c r="BT778" t="str">
        <f>HYPERLINK("https%3A%2F%2Fwww.webofscience.com%2Fwos%2Fwoscc%2Ffull-record%2FWOS:000855076000004","View Full Record in Web of Science")</f>
        <v>View Full Record in Web of Science</v>
      </c>
    </row>
    <row r="779" spans="1:72" x14ac:dyDescent="0.15">
      <c r="A779" t="s">
        <v>72</v>
      </c>
      <c r="B779" t="s">
        <v>15193</v>
      </c>
      <c r="C779" t="s">
        <v>74</v>
      </c>
      <c r="D779" t="s">
        <v>74</v>
      </c>
      <c r="E779" t="s">
        <v>74</v>
      </c>
      <c r="F779" t="s">
        <v>15194</v>
      </c>
      <c r="G779" t="s">
        <v>74</v>
      </c>
      <c r="H779" t="s">
        <v>74</v>
      </c>
      <c r="I779" t="s">
        <v>15195</v>
      </c>
      <c r="J779" t="s">
        <v>5411</v>
      </c>
      <c r="K779" t="s">
        <v>74</v>
      </c>
      <c r="L779" t="s">
        <v>74</v>
      </c>
      <c r="M779" t="s">
        <v>78</v>
      </c>
      <c r="N779" t="s">
        <v>79</v>
      </c>
      <c r="O779" t="s">
        <v>74</v>
      </c>
      <c r="P779" t="s">
        <v>74</v>
      </c>
      <c r="Q779" t="s">
        <v>74</v>
      </c>
      <c r="R779" t="s">
        <v>74</v>
      </c>
      <c r="S779" t="s">
        <v>74</v>
      </c>
      <c r="T779" t="s">
        <v>15196</v>
      </c>
      <c r="U779" t="s">
        <v>15197</v>
      </c>
      <c r="V779" t="s">
        <v>15198</v>
      </c>
      <c r="W779" t="s">
        <v>15199</v>
      </c>
      <c r="X779" t="s">
        <v>15200</v>
      </c>
      <c r="Y779" t="s">
        <v>15201</v>
      </c>
      <c r="Z779" t="s">
        <v>15202</v>
      </c>
      <c r="AA779" t="s">
        <v>15203</v>
      </c>
      <c r="AB779" t="s">
        <v>15204</v>
      </c>
      <c r="AC779" t="s">
        <v>15205</v>
      </c>
      <c r="AD779" t="s">
        <v>15206</v>
      </c>
      <c r="AE779" t="s">
        <v>15207</v>
      </c>
      <c r="AF779" t="s">
        <v>74</v>
      </c>
      <c r="AG779">
        <v>70</v>
      </c>
      <c r="AH779">
        <v>1</v>
      </c>
      <c r="AI779">
        <v>1</v>
      </c>
      <c r="AJ779">
        <v>0</v>
      </c>
      <c r="AK779">
        <v>5</v>
      </c>
      <c r="AL779" t="s">
        <v>121</v>
      </c>
      <c r="AM779" t="s">
        <v>122</v>
      </c>
      <c r="AN779" t="s">
        <v>123</v>
      </c>
      <c r="AO779" t="s">
        <v>5423</v>
      </c>
      <c r="AP779" t="s">
        <v>74</v>
      </c>
      <c r="AQ779" t="s">
        <v>74</v>
      </c>
      <c r="AR779" t="s">
        <v>5424</v>
      </c>
      <c r="AS779" t="s">
        <v>5425</v>
      </c>
      <c r="AT779" t="s">
        <v>15188</v>
      </c>
      <c r="AU779">
        <v>2022</v>
      </c>
      <c r="AV779">
        <v>9</v>
      </c>
      <c r="AW779" t="s">
        <v>74</v>
      </c>
      <c r="AX779" t="s">
        <v>74</v>
      </c>
      <c r="AY779" t="s">
        <v>74</v>
      </c>
      <c r="AZ779" t="s">
        <v>74</v>
      </c>
      <c r="BA779" t="s">
        <v>74</v>
      </c>
      <c r="BB779" t="s">
        <v>74</v>
      </c>
      <c r="BC779" t="s">
        <v>74</v>
      </c>
      <c r="BD779">
        <v>897100</v>
      </c>
      <c r="BE779" t="s">
        <v>15208</v>
      </c>
      <c r="BF779" t="str">
        <f>HYPERLINK("http://dx.doi.org/10.3389/fspas.2022.897100","http://dx.doi.org/10.3389/fspas.2022.897100")</f>
        <v>http://dx.doi.org/10.3389/fspas.2022.897100</v>
      </c>
      <c r="BG779" t="s">
        <v>74</v>
      </c>
      <c r="BH779" t="s">
        <v>74</v>
      </c>
      <c r="BI779">
        <v>14</v>
      </c>
      <c r="BJ779" t="s">
        <v>954</v>
      </c>
      <c r="BK779" t="s">
        <v>100</v>
      </c>
      <c r="BL779" t="s">
        <v>954</v>
      </c>
      <c r="BM779" t="s">
        <v>15209</v>
      </c>
      <c r="BN779" t="s">
        <v>74</v>
      </c>
      <c r="BO779" t="s">
        <v>4714</v>
      </c>
      <c r="BP779" t="s">
        <v>74</v>
      </c>
      <c r="BQ779" t="s">
        <v>74</v>
      </c>
      <c r="BR779" t="s">
        <v>103</v>
      </c>
      <c r="BS779" t="s">
        <v>15210</v>
      </c>
      <c r="BT779" t="str">
        <f>HYPERLINK("https%3A%2F%2Fwww.webofscience.com%2Fwos%2Fwoscc%2Ffull-record%2FWOS:000829669500001","View Full Record in Web of Science")</f>
        <v>View Full Record in Web of Science</v>
      </c>
    </row>
    <row r="780" spans="1:72" x14ac:dyDescent="0.15">
      <c r="A780" t="s">
        <v>72</v>
      </c>
      <c r="B780" t="s">
        <v>15211</v>
      </c>
      <c r="C780" t="s">
        <v>74</v>
      </c>
      <c r="D780" t="s">
        <v>74</v>
      </c>
      <c r="E780" t="s">
        <v>74</v>
      </c>
      <c r="F780" t="s">
        <v>15212</v>
      </c>
      <c r="G780" t="s">
        <v>74</v>
      </c>
      <c r="H780" t="s">
        <v>74</v>
      </c>
      <c r="I780" t="s">
        <v>15213</v>
      </c>
      <c r="J780" t="s">
        <v>247</v>
      </c>
      <c r="K780" t="s">
        <v>74</v>
      </c>
      <c r="L780" t="s">
        <v>74</v>
      </c>
      <c r="M780" t="s">
        <v>78</v>
      </c>
      <c r="N780" t="s">
        <v>79</v>
      </c>
      <c r="O780" t="s">
        <v>74</v>
      </c>
      <c r="P780" t="s">
        <v>74</v>
      </c>
      <c r="Q780" t="s">
        <v>74</v>
      </c>
      <c r="R780" t="s">
        <v>74</v>
      </c>
      <c r="S780" t="s">
        <v>74</v>
      </c>
      <c r="T780" t="s">
        <v>15214</v>
      </c>
      <c r="U780" t="s">
        <v>15215</v>
      </c>
      <c r="V780" t="s">
        <v>15216</v>
      </c>
      <c r="W780" t="s">
        <v>15217</v>
      </c>
      <c r="X780" t="s">
        <v>15218</v>
      </c>
      <c r="Y780" t="s">
        <v>15219</v>
      </c>
      <c r="Z780" t="s">
        <v>15220</v>
      </c>
      <c r="AA780" t="s">
        <v>15221</v>
      </c>
      <c r="AB780" t="s">
        <v>15222</v>
      </c>
      <c r="AC780" t="s">
        <v>15223</v>
      </c>
      <c r="AD780" t="s">
        <v>15224</v>
      </c>
      <c r="AE780" t="s">
        <v>15225</v>
      </c>
      <c r="AF780" t="s">
        <v>74</v>
      </c>
      <c r="AG780">
        <v>71</v>
      </c>
      <c r="AH780">
        <v>5</v>
      </c>
      <c r="AI780">
        <v>6</v>
      </c>
      <c r="AJ780">
        <v>2</v>
      </c>
      <c r="AK780">
        <v>9</v>
      </c>
      <c r="AL780" t="s">
        <v>121</v>
      </c>
      <c r="AM780" t="s">
        <v>122</v>
      </c>
      <c r="AN780" t="s">
        <v>123</v>
      </c>
      <c r="AO780" t="s">
        <v>74</v>
      </c>
      <c r="AP780" t="s">
        <v>258</v>
      </c>
      <c r="AQ780" t="s">
        <v>74</v>
      </c>
      <c r="AR780" t="s">
        <v>259</v>
      </c>
      <c r="AS780" t="s">
        <v>260</v>
      </c>
      <c r="AT780" t="s">
        <v>15188</v>
      </c>
      <c r="AU780">
        <v>2022</v>
      </c>
      <c r="AV780">
        <v>9</v>
      </c>
      <c r="AW780" t="s">
        <v>74</v>
      </c>
      <c r="AX780" t="s">
        <v>74</v>
      </c>
      <c r="AY780" t="s">
        <v>74</v>
      </c>
      <c r="AZ780" t="s">
        <v>74</v>
      </c>
      <c r="BA780" t="s">
        <v>74</v>
      </c>
      <c r="BB780" t="s">
        <v>74</v>
      </c>
      <c r="BC780" t="s">
        <v>74</v>
      </c>
      <c r="BD780">
        <v>855785</v>
      </c>
      <c r="BE780" t="s">
        <v>15226</v>
      </c>
      <c r="BF780" t="str">
        <f>HYPERLINK("http://dx.doi.org/10.3389/fmars.2022.855785","http://dx.doi.org/10.3389/fmars.2022.855785")</f>
        <v>http://dx.doi.org/10.3389/fmars.2022.855785</v>
      </c>
      <c r="BG780" t="s">
        <v>74</v>
      </c>
      <c r="BH780" t="s">
        <v>74</v>
      </c>
      <c r="BI780">
        <v>17</v>
      </c>
      <c r="BJ780" t="s">
        <v>263</v>
      </c>
      <c r="BK780" t="s">
        <v>100</v>
      </c>
      <c r="BL780" t="s">
        <v>264</v>
      </c>
      <c r="BM780" t="s">
        <v>15227</v>
      </c>
      <c r="BN780" t="s">
        <v>74</v>
      </c>
      <c r="BO780" t="s">
        <v>3262</v>
      </c>
      <c r="BP780" t="s">
        <v>74</v>
      </c>
      <c r="BQ780" t="s">
        <v>74</v>
      </c>
      <c r="BR780" t="s">
        <v>103</v>
      </c>
      <c r="BS780" t="s">
        <v>15228</v>
      </c>
      <c r="BT780" t="str">
        <f>HYPERLINK("https%3A%2F%2Fwww.webofscience.com%2Fwos%2Fwoscc%2Ffull-record%2FWOS:000830169500001","View Full Record in Web of Science")</f>
        <v>View Full Record in Web of Science</v>
      </c>
    </row>
    <row r="781" spans="1:72" x14ac:dyDescent="0.15">
      <c r="A781" t="s">
        <v>72</v>
      </c>
      <c r="B781" t="s">
        <v>15229</v>
      </c>
      <c r="C781" t="s">
        <v>74</v>
      </c>
      <c r="D781" t="s">
        <v>74</v>
      </c>
      <c r="E781" t="s">
        <v>74</v>
      </c>
      <c r="F781" t="s">
        <v>15230</v>
      </c>
      <c r="G781" t="s">
        <v>74</v>
      </c>
      <c r="H781" t="s">
        <v>74</v>
      </c>
      <c r="I781" t="s">
        <v>15231</v>
      </c>
      <c r="J781" t="s">
        <v>15232</v>
      </c>
      <c r="K781" t="s">
        <v>74</v>
      </c>
      <c r="L781" t="s">
        <v>74</v>
      </c>
      <c r="M781" t="s">
        <v>78</v>
      </c>
      <c r="N781" t="s">
        <v>79</v>
      </c>
      <c r="O781" t="s">
        <v>74</v>
      </c>
      <c r="P781" t="s">
        <v>74</v>
      </c>
      <c r="Q781" t="s">
        <v>74</v>
      </c>
      <c r="R781" t="s">
        <v>74</v>
      </c>
      <c r="S781" t="s">
        <v>74</v>
      </c>
      <c r="T781" t="s">
        <v>15233</v>
      </c>
      <c r="U781" t="s">
        <v>15234</v>
      </c>
      <c r="V781" t="s">
        <v>15235</v>
      </c>
      <c r="W781" t="s">
        <v>15236</v>
      </c>
      <c r="X781" t="s">
        <v>15237</v>
      </c>
      <c r="Y781" t="s">
        <v>15238</v>
      </c>
      <c r="Z781" t="s">
        <v>15239</v>
      </c>
      <c r="AA781" t="s">
        <v>74</v>
      </c>
      <c r="AB781" t="s">
        <v>15240</v>
      </c>
      <c r="AC781" t="s">
        <v>15241</v>
      </c>
      <c r="AD781" t="s">
        <v>15242</v>
      </c>
      <c r="AE781" t="s">
        <v>15243</v>
      </c>
      <c r="AF781" t="s">
        <v>74</v>
      </c>
      <c r="AG781">
        <v>56</v>
      </c>
      <c r="AH781">
        <v>2</v>
      </c>
      <c r="AI781">
        <v>2</v>
      </c>
      <c r="AJ781">
        <v>3</v>
      </c>
      <c r="AK781">
        <v>6</v>
      </c>
      <c r="AL781" t="s">
        <v>501</v>
      </c>
      <c r="AM781" t="s">
        <v>502</v>
      </c>
      <c r="AN781" t="s">
        <v>503</v>
      </c>
      <c r="AO781" t="s">
        <v>74</v>
      </c>
      <c r="AP781" t="s">
        <v>15244</v>
      </c>
      <c r="AQ781" t="s">
        <v>74</v>
      </c>
      <c r="AR781" t="s">
        <v>15245</v>
      </c>
      <c r="AS781" t="s">
        <v>15246</v>
      </c>
      <c r="AT781" t="s">
        <v>5386</v>
      </c>
      <c r="AU781">
        <v>2022</v>
      </c>
      <c r="AV781">
        <v>43</v>
      </c>
      <c r="AW781" t="s">
        <v>74</v>
      </c>
      <c r="AX781" t="s">
        <v>74</v>
      </c>
      <c r="AY781" t="s">
        <v>74</v>
      </c>
      <c r="AZ781" t="s">
        <v>74</v>
      </c>
      <c r="BA781" t="s">
        <v>74</v>
      </c>
      <c r="BB781" t="s">
        <v>74</v>
      </c>
      <c r="BC781" t="s">
        <v>74</v>
      </c>
      <c r="BD781">
        <v>102415</v>
      </c>
      <c r="BE781" t="s">
        <v>15247</v>
      </c>
      <c r="BF781" t="str">
        <f>HYPERLINK("http://dx.doi.org/10.1016/j.bcab.2022.102415","http://dx.doi.org/10.1016/j.bcab.2022.102415")</f>
        <v>http://dx.doi.org/10.1016/j.bcab.2022.102415</v>
      </c>
      <c r="BG781" t="s">
        <v>74</v>
      </c>
      <c r="BH781" t="s">
        <v>12326</v>
      </c>
      <c r="BI781">
        <v>11</v>
      </c>
      <c r="BJ781" t="s">
        <v>2957</v>
      </c>
      <c r="BK781" t="s">
        <v>215</v>
      </c>
      <c r="BL781" t="s">
        <v>2957</v>
      </c>
      <c r="BM781" t="s">
        <v>15248</v>
      </c>
      <c r="BN781" t="s">
        <v>74</v>
      </c>
      <c r="BO781" t="s">
        <v>74</v>
      </c>
      <c r="BP781" t="s">
        <v>74</v>
      </c>
      <c r="BQ781" t="s">
        <v>74</v>
      </c>
      <c r="BR781" t="s">
        <v>103</v>
      </c>
      <c r="BS781" t="s">
        <v>15249</v>
      </c>
      <c r="BT781" t="str">
        <f>HYPERLINK("https%3A%2F%2Fwww.webofscience.com%2Fwos%2Fwoscc%2Ffull-record%2FWOS:000828575300004","View Full Record in Web of Science")</f>
        <v>View Full Record in Web of Science</v>
      </c>
    </row>
    <row r="782" spans="1:72" x14ac:dyDescent="0.15">
      <c r="A782" t="s">
        <v>72</v>
      </c>
      <c r="B782" t="s">
        <v>15250</v>
      </c>
      <c r="C782" t="s">
        <v>74</v>
      </c>
      <c r="D782" t="s">
        <v>74</v>
      </c>
      <c r="E782" t="s">
        <v>74</v>
      </c>
      <c r="F782" t="s">
        <v>15251</v>
      </c>
      <c r="G782" t="s">
        <v>74</v>
      </c>
      <c r="H782" t="s">
        <v>74</v>
      </c>
      <c r="I782" t="s">
        <v>15252</v>
      </c>
      <c r="J782" t="s">
        <v>8030</v>
      </c>
      <c r="K782" t="s">
        <v>74</v>
      </c>
      <c r="L782" t="s">
        <v>74</v>
      </c>
      <c r="M782" t="s">
        <v>78</v>
      </c>
      <c r="N782" t="s">
        <v>79</v>
      </c>
      <c r="O782" t="s">
        <v>74</v>
      </c>
      <c r="P782" t="s">
        <v>74</v>
      </c>
      <c r="Q782" t="s">
        <v>74</v>
      </c>
      <c r="R782" t="s">
        <v>74</v>
      </c>
      <c r="S782" t="s">
        <v>74</v>
      </c>
      <c r="T782" t="s">
        <v>15253</v>
      </c>
      <c r="U782" t="s">
        <v>15254</v>
      </c>
      <c r="V782" t="s">
        <v>15255</v>
      </c>
      <c r="W782" t="s">
        <v>15256</v>
      </c>
      <c r="X782" t="s">
        <v>15257</v>
      </c>
      <c r="Y782" t="s">
        <v>15258</v>
      </c>
      <c r="Z782" t="s">
        <v>15259</v>
      </c>
      <c r="AA782" t="s">
        <v>15260</v>
      </c>
      <c r="AB782" t="s">
        <v>15261</v>
      </c>
      <c r="AC782" t="s">
        <v>15262</v>
      </c>
      <c r="AD782" t="s">
        <v>15263</v>
      </c>
      <c r="AE782" t="s">
        <v>15264</v>
      </c>
      <c r="AF782" t="s">
        <v>74</v>
      </c>
      <c r="AG782">
        <v>84</v>
      </c>
      <c r="AH782">
        <v>2</v>
      </c>
      <c r="AI782">
        <v>3</v>
      </c>
      <c r="AJ782">
        <v>2</v>
      </c>
      <c r="AK782">
        <v>9</v>
      </c>
      <c r="AL782" t="s">
        <v>501</v>
      </c>
      <c r="AM782" t="s">
        <v>502</v>
      </c>
      <c r="AN782" t="s">
        <v>503</v>
      </c>
      <c r="AO782" t="s">
        <v>8043</v>
      </c>
      <c r="AP782" t="s">
        <v>8044</v>
      </c>
      <c r="AQ782" t="s">
        <v>74</v>
      </c>
      <c r="AR782" t="s">
        <v>8045</v>
      </c>
      <c r="AS782" t="s">
        <v>8046</v>
      </c>
      <c r="AT782" t="s">
        <v>3699</v>
      </c>
      <c r="AU782">
        <v>2022</v>
      </c>
      <c r="AV782">
        <v>606</v>
      </c>
      <c r="AW782" t="s">
        <v>74</v>
      </c>
      <c r="AX782" t="s">
        <v>74</v>
      </c>
      <c r="AY782" t="s">
        <v>74</v>
      </c>
      <c r="AZ782" t="s">
        <v>74</v>
      </c>
      <c r="BA782" t="s">
        <v>74</v>
      </c>
      <c r="BB782" t="s">
        <v>74</v>
      </c>
      <c r="BC782" t="s">
        <v>74</v>
      </c>
      <c r="BD782">
        <v>120927</v>
      </c>
      <c r="BE782" t="s">
        <v>15265</v>
      </c>
      <c r="BF782" t="str">
        <f>HYPERLINK("http://dx.doi.org/10.1016/j.chemgeo.2022.120927","http://dx.doi.org/10.1016/j.chemgeo.2022.120927")</f>
        <v>http://dx.doi.org/10.1016/j.chemgeo.2022.120927</v>
      </c>
      <c r="BG782" t="s">
        <v>74</v>
      </c>
      <c r="BH782" t="s">
        <v>12326</v>
      </c>
      <c r="BI782">
        <v>20</v>
      </c>
      <c r="BJ782" t="s">
        <v>1379</v>
      </c>
      <c r="BK782" t="s">
        <v>100</v>
      </c>
      <c r="BL782" t="s">
        <v>1379</v>
      </c>
      <c r="BM782" t="s">
        <v>15266</v>
      </c>
      <c r="BN782" t="s">
        <v>74</v>
      </c>
      <c r="BO782" t="s">
        <v>74</v>
      </c>
      <c r="BP782" t="s">
        <v>74</v>
      </c>
      <c r="BQ782" t="s">
        <v>74</v>
      </c>
      <c r="BR782" t="s">
        <v>103</v>
      </c>
      <c r="BS782" t="s">
        <v>15267</v>
      </c>
      <c r="BT782" t="str">
        <f>HYPERLINK("https%3A%2F%2Fwww.webofscience.com%2Fwos%2Fwoscc%2Ffull-record%2FWOS:000824695700002","View Full Record in Web of Science")</f>
        <v>View Full Record in Web of Science</v>
      </c>
    </row>
    <row r="783" spans="1:72" x14ac:dyDescent="0.15">
      <c r="A783" t="s">
        <v>72</v>
      </c>
      <c r="B783" t="s">
        <v>15268</v>
      </c>
      <c r="C783" t="s">
        <v>74</v>
      </c>
      <c r="D783" t="s">
        <v>74</v>
      </c>
      <c r="E783" t="s">
        <v>74</v>
      </c>
      <c r="F783" t="s">
        <v>15269</v>
      </c>
      <c r="G783" t="s">
        <v>74</v>
      </c>
      <c r="H783" t="s">
        <v>74</v>
      </c>
      <c r="I783" t="s">
        <v>15270</v>
      </c>
      <c r="J783" t="s">
        <v>271</v>
      </c>
      <c r="K783" t="s">
        <v>74</v>
      </c>
      <c r="L783" t="s">
        <v>74</v>
      </c>
      <c r="M783" t="s">
        <v>78</v>
      </c>
      <c r="N783" t="s">
        <v>79</v>
      </c>
      <c r="O783" t="s">
        <v>74</v>
      </c>
      <c r="P783" t="s">
        <v>74</v>
      </c>
      <c r="Q783" t="s">
        <v>74</v>
      </c>
      <c r="R783" t="s">
        <v>74</v>
      </c>
      <c r="S783" t="s">
        <v>74</v>
      </c>
      <c r="T783" t="s">
        <v>74</v>
      </c>
      <c r="U783" t="s">
        <v>15271</v>
      </c>
      <c r="V783" t="s">
        <v>15272</v>
      </c>
      <c r="W783" t="s">
        <v>15273</v>
      </c>
      <c r="X783" t="s">
        <v>15274</v>
      </c>
      <c r="Y783" t="s">
        <v>15275</v>
      </c>
      <c r="Z783" t="s">
        <v>3496</v>
      </c>
      <c r="AA783" t="s">
        <v>3497</v>
      </c>
      <c r="AB783" t="s">
        <v>15276</v>
      </c>
      <c r="AC783" t="s">
        <v>1670</v>
      </c>
      <c r="AD783" t="s">
        <v>1670</v>
      </c>
      <c r="AE783" t="s">
        <v>1671</v>
      </c>
      <c r="AF783" t="s">
        <v>74</v>
      </c>
      <c r="AG783">
        <v>97</v>
      </c>
      <c r="AH783">
        <v>19</v>
      </c>
      <c r="AI783">
        <v>19</v>
      </c>
      <c r="AJ783">
        <v>5</v>
      </c>
      <c r="AK783">
        <v>12</v>
      </c>
      <c r="AL783" t="s">
        <v>149</v>
      </c>
      <c r="AM783" t="s">
        <v>150</v>
      </c>
      <c r="AN783" t="s">
        <v>151</v>
      </c>
      <c r="AO783" t="s">
        <v>283</v>
      </c>
      <c r="AP783" t="s">
        <v>74</v>
      </c>
      <c r="AQ783" t="s">
        <v>74</v>
      </c>
      <c r="AR783" t="s">
        <v>284</v>
      </c>
      <c r="AS783" t="s">
        <v>285</v>
      </c>
      <c r="AT783" t="s">
        <v>15188</v>
      </c>
      <c r="AU783">
        <v>2022</v>
      </c>
      <c r="AV783">
        <v>12</v>
      </c>
      <c r="AW783">
        <v>1</v>
      </c>
      <c r="AX783" t="s">
        <v>74</v>
      </c>
      <c r="AY783" t="s">
        <v>74</v>
      </c>
      <c r="AZ783" t="s">
        <v>74</v>
      </c>
      <c r="BA783" t="s">
        <v>74</v>
      </c>
      <c r="BB783" t="s">
        <v>74</v>
      </c>
      <c r="BC783" t="s">
        <v>74</v>
      </c>
      <c r="BD783">
        <v>9458</v>
      </c>
      <c r="BE783" t="s">
        <v>15277</v>
      </c>
      <c r="BF783" t="str">
        <f>HYPERLINK("http://dx.doi.org/10.1038/s41598-022-13798-7","http://dx.doi.org/10.1038/s41598-022-13798-7")</f>
        <v>http://dx.doi.org/10.1038/s41598-022-13798-7</v>
      </c>
      <c r="BG783" t="s">
        <v>74</v>
      </c>
      <c r="BH783" t="s">
        <v>74</v>
      </c>
      <c r="BI783">
        <v>15</v>
      </c>
      <c r="BJ783" t="s">
        <v>156</v>
      </c>
      <c r="BK783" t="s">
        <v>100</v>
      </c>
      <c r="BL783" t="s">
        <v>157</v>
      </c>
      <c r="BM783" t="s">
        <v>15278</v>
      </c>
      <c r="BN783">
        <v>35798799</v>
      </c>
      <c r="BO783" t="s">
        <v>132</v>
      </c>
      <c r="BP783" t="s">
        <v>74</v>
      </c>
      <c r="BQ783" t="s">
        <v>74</v>
      </c>
      <c r="BR783" t="s">
        <v>103</v>
      </c>
      <c r="BS783" t="s">
        <v>15279</v>
      </c>
      <c r="BT783" t="str">
        <f>HYPERLINK("https%3A%2F%2Fwww.webofscience.com%2Fwos%2Fwoscc%2Ffull-record%2FWOS:000822069800007","View Full Record in Web of Science")</f>
        <v>View Full Record in Web of Science</v>
      </c>
    </row>
    <row r="784" spans="1:72" x14ac:dyDescent="0.15">
      <c r="A784" t="s">
        <v>72</v>
      </c>
      <c r="B784" t="s">
        <v>15280</v>
      </c>
      <c r="C784" t="s">
        <v>74</v>
      </c>
      <c r="D784" t="s">
        <v>74</v>
      </c>
      <c r="E784" t="s">
        <v>74</v>
      </c>
      <c r="F784" t="s">
        <v>15281</v>
      </c>
      <c r="G784" t="s">
        <v>74</v>
      </c>
      <c r="H784" t="s">
        <v>74</v>
      </c>
      <c r="I784" t="s">
        <v>15282</v>
      </c>
      <c r="J784" t="s">
        <v>4627</v>
      </c>
      <c r="K784" t="s">
        <v>74</v>
      </c>
      <c r="L784" t="s">
        <v>74</v>
      </c>
      <c r="M784" t="s">
        <v>78</v>
      </c>
      <c r="N784" t="s">
        <v>79</v>
      </c>
      <c r="O784" t="s">
        <v>74</v>
      </c>
      <c r="P784" t="s">
        <v>74</v>
      </c>
      <c r="Q784" t="s">
        <v>74</v>
      </c>
      <c r="R784" t="s">
        <v>74</v>
      </c>
      <c r="S784" t="s">
        <v>74</v>
      </c>
      <c r="T784" t="s">
        <v>74</v>
      </c>
      <c r="U784" t="s">
        <v>15283</v>
      </c>
      <c r="V784" t="s">
        <v>15284</v>
      </c>
      <c r="W784" t="s">
        <v>15285</v>
      </c>
      <c r="X784" t="s">
        <v>15286</v>
      </c>
      <c r="Y784" t="s">
        <v>15287</v>
      </c>
      <c r="Z784" t="s">
        <v>15288</v>
      </c>
      <c r="AA784" t="s">
        <v>15289</v>
      </c>
      <c r="AB784" t="s">
        <v>15290</v>
      </c>
      <c r="AC784" t="s">
        <v>15291</v>
      </c>
      <c r="AD784" t="s">
        <v>15292</v>
      </c>
      <c r="AE784" t="s">
        <v>15293</v>
      </c>
      <c r="AF784" t="s">
        <v>74</v>
      </c>
      <c r="AG784">
        <v>66</v>
      </c>
      <c r="AH784">
        <v>4</v>
      </c>
      <c r="AI784">
        <v>5</v>
      </c>
      <c r="AJ784">
        <v>5</v>
      </c>
      <c r="AK784">
        <v>10</v>
      </c>
      <c r="AL784" t="s">
        <v>2460</v>
      </c>
      <c r="AM784" t="s">
        <v>2461</v>
      </c>
      <c r="AN784" t="s">
        <v>2462</v>
      </c>
      <c r="AO784" t="s">
        <v>4638</v>
      </c>
      <c r="AP784" t="s">
        <v>4639</v>
      </c>
      <c r="AQ784" t="s">
        <v>74</v>
      </c>
      <c r="AR784" t="s">
        <v>4640</v>
      </c>
      <c r="AS784" t="s">
        <v>4641</v>
      </c>
      <c r="AT784" t="s">
        <v>15188</v>
      </c>
      <c r="AU784">
        <v>2022</v>
      </c>
      <c r="AV784">
        <v>18</v>
      </c>
      <c r="AW784">
        <v>7</v>
      </c>
      <c r="AX784" t="s">
        <v>74</v>
      </c>
      <c r="AY784" t="s">
        <v>74</v>
      </c>
      <c r="AZ784" t="s">
        <v>74</v>
      </c>
      <c r="BA784" t="s">
        <v>74</v>
      </c>
      <c r="BB784">
        <v>1563</v>
      </c>
      <c r="BC784">
        <v>1577</v>
      </c>
      <c r="BD784" t="s">
        <v>74</v>
      </c>
      <c r="BE784" t="s">
        <v>15294</v>
      </c>
      <c r="BF784" t="str">
        <f>HYPERLINK("http://dx.doi.org/10.5194/cp-18-1563-2022","http://dx.doi.org/10.5194/cp-18-1563-2022")</f>
        <v>http://dx.doi.org/10.5194/cp-18-1563-2022</v>
      </c>
      <c r="BG784" t="s">
        <v>74</v>
      </c>
      <c r="BH784" t="s">
        <v>74</v>
      </c>
      <c r="BI784">
        <v>15</v>
      </c>
      <c r="BJ784" t="s">
        <v>3373</v>
      </c>
      <c r="BK784" t="s">
        <v>100</v>
      </c>
      <c r="BL784" t="s">
        <v>3374</v>
      </c>
      <c r="BM784" t="s">
        <v>15295</v>
      </c>
      <c r="BN784" t="s">
        <v>74</v>
      </c>
      <c r="BO784" t="s">
        <v>884</v>
      </c>
      <c r="BP784" t="s">
        <v>74</v>
      </c>
      <c r="BQ784" t="s">
        <v>74</v>
      </c>
      <c r="BR784" t="s">
        <v>103</v>
      </c>
      <c r="BS784" t="s">
        <v>15296</v>
      </c>
      <c r="BT784" t="str">
        <f>HYPERLINK("https%3A%2F%2Fwww.webofscience.com%2Fwos%2Fwoscc%2Ffull-record%2FWOS:000821606000001","View Full Record in Web of Science")</f>
        <v>View Full Record in Web of Science</v>
      </c>
    </row>
    <row r="785" spans="1:72" x14ac:dyDescent="0.15">
      <c r="A785" t="s">
        <v>72</v>
      </c>
      <c r="B785" t="s">
        <v>15297</v>
      </c>
      <c r="C785" t="s">
        <v>74</v>
      </c>
      <c r="D785" t="s">
        <v>74</v>
      </c>
      <c r="E785" t="s">
        <v>74</v>
      </c>
      <c r="F785" t="s">
        <v>15298</v>
      </c>
      <c r="G785" t="s">
        <v>74</v>
      </c>
      <c r="H785" t="s">
        <v>74</v>
      </c>
      <c r="I785" t="s">
        <v>15299</v>
      </c>
      <c r="J785" t="s">
        <v>2473</v>
      </c>
      <c r="K785" t="s">
        <v>74</v>
      </c>
      <c r="L785" t="s">
        <v>74</v>
      </c>
      <c r="M785" t="s">
        <v>78</v>
      </c>
      <c r="N785" t="s">
        <v>79</v>
      </c>
      <c r="O785" t="s">
        <v>74</v>
      </c>
      <c r="P785" t="s">
        <v>74</v>
      </c>
      <c r="Q785" t="s">
        <v>74</v>
      </c>
      <c r="R785" t="s">
        <v>74</v>
      </c>
      <c r="S785" t="s">
        <v>74</v>
      </c>
      <c r="T785" t="s">
        <v>74</v>
      </c>
      <c r="U785" t="s">
        <v>15300</v>
      </c>
      <c r="V785" t="s">
        <v>15301</v>
      </c>
      <c r="W785" t="s">
        <v>15302</v>
      </c>
      <c r="X785" t="s">
        <v>15303</v>
      </c>
      <c r="Y785" t="s">
        <v>15304</v>
      </c>
      <c r="Z785" t="s">
        <v>15305</v>
      </c>
      <c r="AA785" t="s">
        <v>15306</v>
      </c>
      <c r="AB785" t="s">
        <v>15307</v>
      </c>
      <c r="AC785" t="s">
        <v>15308</v>
      </c>
      <c r="AD785" t="s">
        <v>15309</v>
      </c>
      <c r="AE785" t="s">
        <v>15310</v>
      </c>
      <c r="AF785" t="s">
        <v>74</v>
      </c>
      <c r="AG785">
        <v>81</v>
      </c>
      <c r="AH785">
        <v>6</v>
      </c>
      <c r="AI785">
        <v>7</v>
      </c>
      <c r="AJ785">
        <v>0</v>
      </c>
      <c r="AK785">
        <v>6</v>
      </c>
      <c r="AL785" t="s">
        <v>2460</v>
      </c>
      <c r="AM785" t="s">
        <v>2461</v>
      </c>
      <c r="AN785" t="s">
        <v>2462</v>
      </c>
      <c r="AO785" t="s">
        <v>2485</v>
      </c>
      <c r="AP785" t="s">
        <v>2486</v>
      </c>
      <c r="AQ785" t="s">
        <v>74</v>
      </c>
      <c r="AR785" t="s">
        <v>2473</v>
      </c>
      <c r="AS785" t="s">
        <v>2487</v>
      </c>
      <c r="AT785" t="s">
        <v>15188</v>
      </c>
      <c r="AU785">
        <v>2022</v>
      </c>
      <c r="AV785">
        <v>16</v>
      </c>
      <c r="AW785">
        <v>7</v>
      </c>
      <c r="AX785" t="s">
        <v>74</v>
      </c>
      <c r="AY785" t="s">
        <v>74</v>
      </c>
      <c r="AZ785" t="s">
        <v>74</v>
      </c>
      <c r="BA785" t="s">
        <v>74</v>
      </c>
      <c r="BB785">
        <v>2655</v>
      </c>
      <c r="BC785">
        <v>2669</v>
      </c>
      <c r="BD785" t="s">
        <v>74</v>
      </c>
      <c r="BE785" t="s">
        <v>15311</v>
      </c>
      <c r="BF785" t="str">
        <f>HYPERLINK("http://dx.doi.org/10.5194/tc-16-2655-2022","http://dx.doi.org/10.5194/tc-16-2655-2022")</f>
        <v>http://dx.doi.org/10.5194/tc-16-2655-2022</v>
      </c>
      <c r="BG785" t="s">
        <v>74</v>
      </c>
      <c r="BH785" t="s">
        <v>74</v>
      </c>
      <c r="BI785">
        <v>15</v>
      </c>
      <c r="BJ785" t="s">
        <v>354</v>
      </c>
      <c r="BK785" t="s">
        <v>100</v>
      </c>
      <c r="BL785" t="s">
        <v>241</v>
      </c>
      <c r="BM785" t="s">
        <v>15312</v>
      </c>
      <c r="BN785" t="s">
        <v>74</v>
      </c>
      <c r="BO785" t="s">
        <v>15313</v>
      </c>
      <c r="BP785" t="s">
        <v>74</v>
      </c>
      <c r="BQ785" t="s">
        <v>74</v>
      </c>
      <c r="BR785" t="s">
        <v>103</v>
      </c>
      <c r="BS785" t="s">
        <v>15314</v>
      </c>
      <c r="BT785" t="str">
        <f>HYPERLINK("https%3A%2F%2Fwww.webofscience.com%2Fwos%2Fwoscc%2Ffull-record%2FWOS:000821549000001","View Full Record in Web of Science")</f>
        <v>View Full Record in Web of Science</v>
      </c>
    </row>
    <row r="786" spans="1:72" x14ac:dyDescent="0.15">
      <c r="A786" t="s">
        <v>72</v>
      </c>
      <c r="B786" t="s">
        <v>15315</v>
      </c>
      <c r="C786" t="s">
        <v>74</v>
      </c>
      <c r="D786" t="s">
        <v>74</v>
      </c>
      <c r="E786" t="s">
        <v>74</v>
      </c>
      <c r="F786" t="s">
        <v>15316</v>
      </c>
      <c r="G786" t="s">
        <v>74</v>
      </c>
      <c r="H786" t="s">
        <v>74</v>
      </c>
      <c r="I786" t="s">
        <v>15317</v>
      </c>
      <c r="J786" t="s">
        <v>15318</v>
      </c>
      <c r="K786" t="s">
        <v>74</v>
      </c>
      <c r="L786" t="s">
        <v>74</v>
      </c>
      <c r="M786" t="s">
        <v>78</v>
      </c>
      <c r="N786" t="s">
        <v>79</v>
      </c>
      <c r="O786" t="s">
        <v>74</v>
      </c>
      <c r="P786" t="s">
        <v>74</v>
      </c>
      <c r="Q786" t="s">
        <v>74</v>
      </c>
      <c r="R786" t="s">
        <v>74</v>
      </c>
      <c r="S786" t="s">
        <v>74</v>
      </c>
      <c r="T786" t="s">
        <v>15319</v>
      </c>
      <c r="U786" t="s">
        <v>15320</v>
      </c>
      <c r="V786" t="s">
        <v>15321</v>
      </c>
      <c r="W786" t="s">
        <v>15322</v>
      </c>
      <c r="X786" t="s">
        <v>74</v>
      </c>
      <c r="Y786" t="s">
        <v>15323</v>
      </c>
      <c r="Z786" t="s">
        <v>7740</v>
      </c>
      <c r="AA786" t="s">
        <v>15324</v>
      </c>
      <c r="AB786" t="s">
        <v>15325</v>
      </c>
      <c r="AC786" t="s">
        <v>15326</v>
      </c>
      <c r="AD786" t="s">
        <v>15327</v>
      </c>
      <c r="AE786" t="s">
        <v>15328</v>
      </c>
      <c r="AF786" t="s">
        <v>74</v>
      </c>
      <c r="AG786">
        <v>70</v>
      </c>
      <c r="AH786">
        <v>12</v>
      </c>
      <c r="AI786">
        <v>12</v>
      </c>
      <c r="AJ786">
        <v>2</v>
      </c>
      <c r="AK786">
        <v>9</v>
      </c>
      <c r="AL786" t="s">
        <v>2249</v>
      </c>
      <c r="AM786" t="s">
        <v>90</v>
      </c>
      <c r="AN786" t="s">
        <v>2250</v>
      </c>
      <c r="AO786" t="s">
        <v>15329</v>
      </c>
      <c r="AP786" t="s">
        <v>15330</v>
      </c>
      <c r="AQ786" t="s">
        <v>74</v>
      </c>
      <c r="AR786" t="s">
        <v>15331</v>
      </c>
      <c r="AS786" t="s">
        <v>15332</v>
      </c>
      <c r="AT786" t="s">
        <v>15333</v>
      </c>
      <c r="AU786">
        <v>2022</v>
      </c>
      <c r="AV786">
        <v>226</v>
      </c>
      <c r="AW786" t="s">
        <v>74</v>
      </c>
      <c r="AX786" t="s">
        <v>74</v>
      </c>
      <c r="AY786" t="s">
        <v>74</v>
      </c>
      <c r="AZ786" t="s">
        <v>74</v>
      </c>
      <c r="BA786" t="s">
        <v>74</v>
      </c>
      <c r="BB786" t="s">
        <v>74</v>
      </c>
      <c r="BC786" t="s">
        <v>74</v>
      </c>
      <c r="BD786">
        <v>106271</v>
      </c>
      <c r="BE786" t="s">
        <v>15334</v>
      </c>
      <c r="BF786" t="str">
        <f>HYPERLINK("http://dx.doi.org/10.1016/j.ocecoaman.2022.106271","http://dx.doi.org/10.1016/j.ocecoaman.2022.106271")</f>
        <v>http://dx.doi.org/10.1016/j.ocecoaman.2022.106271</v>
      </c>
      <c r="BG786" t="s">
        <v>74</v>
      </c>
      <c r="BH786" t="s">
        <v>12326</v>
      </c>
      <c r="BI786">
        <v>9</v>
      </c>
      <c r="BJ786" t="s">
        <v>15335</v>
      </c>
      <c r="BK786" t="s">
        <v>100</v>
      </c>
      <c r="BL786" t="s">
        <v>15335</v>
      </c>
      <c r="BM786" t="s">
        <v>15336</v>
      </c>
      <c r="BN786" t="s">
        <v>74</v>
      </c>
      <c r="BO786" t="s">
        <v>74</v>
      </c>
      <c r="BP786" t="s">
        <v>74</v>
      </c>
      <c r="BQ786" t="s">
        <v>74</v>
      </c>
      <c r="BR786" t="s">
        <v>103</v>
      </c>
      <c r="BS786" t="s">
        <v>15337</v>
      </c>
      <c r="BT786" t="str">
        <f>HYPERLINK("https%3A%2F%2Fwww.webofscience.com%2Fwos%2Fwoscc%2Ffull-record%2FWOS:000840266200002","View Full Record in Web of Science")</f>
        <v>View Full Record in Web of Science</v>
      </c>
    </row>
    <row r="787" spans="1:72" x14ac:dyDescent="0.15">
      <c r="A787" t="s">
        <v>72</v>
      </c>
      <c r="B787" t="s">
        <v>15338</v>
      </c>
      <c r="C787" t="s">
        <v>74</v>
      </c>
      <c r="D787" t="s">
        <v>74</v>
      </c>
      <c r="E787" t="s">
        <v>74</v>
      </c>
      <c r="F787" t="s">
        <v>15339</v>
      </c>
      <c r="G787" t="s">
        <v>74</v>
      </c>
      <c r="H787" t="s">
        <v>74</v>
      </c>
      <c r="I787" t="s">
        <v>15340</v>
      </c>
      <c r="J787" t="s">
        <v>3747</v>
      </c>
      <c r="K787" t="s">
        <v>74</v>
      </c>
      <c r="L787" t="s">
        <v>74</v>
      </c>
      <c r="M787" t="s">
        <v>78</v>
      </c>
      <c r="N787" t="s">
        <v>79</v>
      </c>
      <c r="O787" t="s">
        <v>74</v>
      </c>
      <c r="P787" t="s">
        <v>74</v>
      </c>
      <c r="Q787" t="s">
        <v>74</v>
      </c>
      <c r="R787" t="s">
        <v>74</v>
      </c>
      <c r="S787" t="s">
        <v>74</v>
      </c>
      <c r="T787" t="s">
        <v>15341</v>
      </c>
      <c r="U787" t="s">
        <v>15342</v>
      </c>
      <c r="V787" t="s">
        <v>15343</v>
      </c>
      <c r="W787" t="s">
        <v>15344</v>
      </c>
      <c r="X787" t="s">
        <v>15345</v>
      </c>
      <c r="Y787" t="s">
        <v>15346</v>
      </c>
      <c r="Z787" t="s">
        <v>15347</v>
      </c>
      <c r="AA787" t="s">
        <v>15348</v>
      </c>
      <c r="AB787" t="s">
        <v>15349</v>
      </c>
      <c r="AC787" t="s">
        <v>15350</v>
      </c>
      <c r="AD787" t="s">
        <v>15351</v>
      </c>
      <c r="AE787" t="s">
        <v>15352</v>
      </c>
      <c r="AF787" t="s">
        <v>74</v>
      </c>
      <c r="AG787">
        <v>69</v>
      </c>
      <c r="AH787">
        <v>2</v>
      </c>
      <c r="AI787">
        <v>2</v>
      </c>
      <c r="AJ787">
        <v>10</v>
      </c>
      <c r="AK787">
        <v>50</v>
      </c>
      <c r="AL787" t="s">
        <v>501</v>
      </c>
      <c r="AM787" t="s">
        <v>502</v>
      </c>
      <c r="AN787" t="s">
        <v>503</v>
      </c>
      <c r="AO787" t="s">
        <v>3759</v>
      </c>
      <c r="AP787" t="s">
        <v>3760</v>
      </c>
      <c r="AQ787" t="s">
        <v>74</v>
      </c>
      <c r="AR787" t="s">
        <v>3761</v>
      </c>
      <c r="AS787" t="s">
        <v>3762</v>
      </c>
      <c r="AT787" t="s">
        <v>2670</v>
      </c>
      <c r="AU787">
        <v>2022</v>
      </c>
      <c r="AV787">
        <v>843</v>
      </c>
      <c r="AW787" t="s">
        <v>74</v>
      </c>
      <c r="AX787" t="s">
        <v>74</v>
      </c>
      <c r="AY787" t="s">
        <v>74</v>
      </c>
      <c r="AZ787" t="s">
        <v>74</v>
      </c>
      <c r="BA787" t="s">
        <v>74</v>
      </c>
      <c r="BB787" t="s">
        <v>74</v>
      </c>
      <c r="BC787" t="s">
        <v>74</v>
      </c>
      <c r="BD787">
        <v>157055</v>
      </c>
      <c r="BE787" t="s">
        <v>15353</v>
      </c>
      <c r="BF787" t="str">
        <f>HYPERLINK("http://dx.doi.org/10.1016/j.scitotenv.2022.157055","http://dx.doi.org/10.1016/j.scitotenv.2022.157055")</f>
        <v>http://dx.doi.org/10.1016/j.scitotenv.2022.157055</v>
      </c>
      <c r="BG787" t="s">
        <v>74</v>
      </c>
      <c r="BH787" t="s">
        <v>12326</v>
      </c>
      <c r="BI787">
        <v>8</v>
      </c>
      <c r="BJ787" t="s">
        <v>2040</v>
      </c>
      <c r="BK787" t="s">
        <v>100</v>
      </c>
      <c r="BL787" t="s">
        <v>2041</v>
      </c>
      <c r="BM787" t="s">
        <v>15354</v>
      </c>
      <c r="BN787">
        <v>35780884</v>
      </c>
      <c r="BO787" t="s">
        <v>74</v>
      </c>
      <c r="BP787" t="s">
        <v>74</v>
      </c>
      <c r="BQ787" t="s">
        <v>74</v>
      </c>
      <c r="BR787" t="s">
        <v>103</v>
      </c>
      <c r="BS787" t="s">
        <v>15355</v>
      </c>
      <c r="BT787" t="str">
        <f>HYPERLINK("https%3A%2F%2Fwww.webofscience.com%2Fwos%2Fwoscc%2Ffull-record%2FWOS:000829332500005","View Full Record in Web of Science")</f>
        <v>View Full Record in Web of Science</v>
      </c>
    </row>
    <row r="788" spans="1:72" x14ac:dyDescent="0.15">
      <c r="A788" t="s">
        <v>72</v>
      </c>
      <c r="B788" t="s">
        <v>15356</v>
      </c>
      <c r="C788" t="s">
        <v>74</v>
      </c>
      <c r="D788" t="s">
        <v>74</v>
      </c>
      <c r="E788" t="s">
        <v>74</v>
      </c>
      <c r="F788" t="s">
        <v>15357</v>
      </c>
      <c r="G788" t="s">
        <v>74</v>
      </c>
      <c r="H788" t="s">
        <v>74</v>
      </c>
      <c r="I788" t="s">
        <v>15358</v>
      </c>
      <c r="J788" t="s">
        <v>271</v>
      </c>
      <c r="K788" t="s">
        <v>74</v>
      </c>
      <c r="L788" t="s">
        <v>74</v>
      </c>
      <c r="M788" t="s">
        <v>78</v>
      </c>
      <c r="N788" t="s">
        <v>79</v>
      </c>
      <c r="O788" t="s">
        <v>74</v>
      </c>
      <c r="P788" t="s">
        <v>74</v>
      </c>
      <c r="Q788" t="s">
        <v>74</v>
      </c>
      <c r="R788" t="s">
        <v>74</v>
      </c>
      <c r="S788" t="s">
        <v>74</v>
      </c>
      <c r="T788" t="s">
        <v>74</v>
      </c>
      <c r="U788" t="s">
        <v>15359</v>
      </c>
      <c r="V788" t="s">
        <v>15360</v>
      </c>
      <c r="W788" t="s">
        <v>15361</v>
      </c>
      <c r="X788" t="s">
        <v>15362</v>
      </c>
      <c r="Y788" t="s">
        <v>15363</v>
      </c>
      <c r="Z788" t="s">
        <v>15364</v>
      </c>
      <c r="AA788" t="s">
        <v>74</v>
      </c>
      <c r="AB788" t="s">
        <v>15365</v>
      </c>
      <c r="AC788" t="s">
        <v>15366</v>
      </c>
      <c r="AD788" t="s">
        <v>5950</v>
      </c>
      <c r="AE788" t="s">
        <v>15367</v>
      </c>
      <c r="AF788" t="s">
        <v>74</v>
      </c>
      <c r="AG788">
        <v>41</v>
      </c>
      <c r="AH788">
        <v>6</v>
      </c>
      <c r="AI788">
        <v>6</v>
      </c>
      <c r="AJ788">
        <v>1</v>
      </c>
      <c r="AK788">
        <v>2</v>
      </c>
      <c r="AL788" t="s">
        <v>149</v>
      </c>
      <c r="AM788" t="s">
        <v>150</v>
      </c>
      <c r="AN788" t="s">
        <v>151</v>
      </c>
      <c r="AO788" t="s">
        <v>283</v>
      </c>
      <c r="AP788" t="s">
        <v>74</v>
      </c>
      <c r="AQ788" t="s">
        <v>74</v>
      </c>
      <c r="AR788" t="s">
        <v>284</v>
      </c>
      <c r="AS788" t="s">
        <v>285</v>
      </c>
      <c r="AT788" t="s">
        <v>15368</v>
      </c>
      <c r="AU788">
        <v>2022</v>
      </c>
      <c r="AV788">
        <v>12</v>
      </c>
      <c r="AW788">
        <v>1</v>
      </c>
      <c r="AX788" t="s">
        <v>74</v>
      </c>
      <c r="AY788" t="s">
        <v>74</v>
      </c>
      <c r="AZ788" t="s">
        <v>74</v>
      </c>
      <c r="BA788" t="s">
        <v>74</v>
      </c>
      <c r="BB788" t="s">
        <v>74</v>
      </c>
      <c r="BC788" t="s">
        <v>74</v>
      </c>
      <c r="BD788">
        <v>11399</v>
      </c>
      <c r="BE788" t="s">
        <v>15369</v>
      </c>
      <c r="BF788" t="str">
        <f>HYPERLINK("http://dx.doi.org/10.1038/s41598-022-15440-y","http://dx.doi.org/10.1038/s41598-022-15440-y")</f>
        <v>http://dx.doi.org/10.1038/s41598-022-15440-y</v>
      </c>
      <c r="BG788" t="s">
        <v>74</v>
      </c>
      <c r="BH788" t="s">
        <v>74</v>
      </c>
      <c r="BI788">
        <v>10</v>
      </c>
      <c r="BJ788" t="s">
        <v>156</v>
      </c>
      <c r="BK788" t="s">
        <v>100</v>
      </c>
      <c r="BL788" t="s">
        <v>157</v>
      </c>
      <c r="BM788" t="s">
        <v>15370</v>
      </c>
      <c r="BN788">
        <v>35794143</v>
      </c>
      <c r="BO788" t="s">
        <v>15371</v>
      </c>
      <c r="BP788" t="s">
        <v>74</v>
      </c>
      <c r="BQ788" t="s">
        <v>74</v>
      </c>
      <c r="BR788" t="s">
        <v>103</v>
      </c>
      <c r="BS788" t="s">
        <v>15372</v>
      </c>
      <c r="BT788" t="str">
        <f>HYPERLINK("https%3A%2F%2Fwww.webofscience.com%2Fwos%2Fwoscc%2Ffull-record%2FWOS:000825646400035","View Full Record in Web of Science")</f>
        <v>View Full Record in Web of Science</v>
      </c>
    </row>
    <row r="789" spans="1:72" x14ac:dyDescent="0.15">
      <c r="A789" t="s">
        <v>72</v>
      </c>
      <c r="B789" t="s">
        <v>15373</v>
      </c>
      <c r="C789" t="s">
        <v>74</v>
      </c>
      <c r="D789" t="s">
        <v>74</v>
      </c>
      <c r="E789" t="s">
        <v>74</v>
      </c>
      <c r="F789" t="s">
        <v>15374</v>
      </c>
      <c r="G789" t="s">
        <v>74</v>
      </c>
      <c r="H789" t="s">
        <v>74</v>
      </c>
      <c r="I789" t="s">
        <v>15375</v>
      </c>
      <c r="J789" t="s">
        <v>271</v>
      </c>
      <c r="K789" t="s">
        <v>74</v>
      </c>
      <c r="L789" t="s">
        <v>74</v>
      </c>
      <c r="M789" t="s">
        <v>78</v>
      </c>
      <c r="N789" t="s">
        <v>79</v>
      </c>
      <c r="O789" t="s">
        <v>74</v>
      </c>
      <c r="P789" t="s">
        <v>74</v>
      </c>
      <c r="Q789" t="s">
        <v>74</v>
      </c>
      <c r="R789" t="s">
        <v>74</v>
      </c>
      <c r="S789" t="s">
        <v>74</v>
      </c>
      <c r="T789" t="s">
        <v>74</v>
      </c>
      <c r="U789" t="s">
        <v>15376</v>
      </c>
      <c r="V789" t="s">
        <v>15377</v>
      </c>
      <c r="W789" t="s">
        <v>15378</v>
      </c>
      <c r="X789" t="s">
        <v>15379</v>
      </c>
      <c r="Y789" t="s">
        <v>15380</v>
      </c>
      <c r="Z789" t="s">
        <v>15381</v>
      </c>
      <c r="AA789" t="s">
        <v>15382</v>
      </c>
      <c r="AB789" t="s">
        <v>15383</v>
      </c>
      <c r="AC789" t="s">
        <v>15384</v>
      </c>
      <c r="AD789" t="s">
        <v>15385</v>
      </c>
      <c r="AE789" t="s">
        <v>15386</v>
      </c>
      <c r="AF789" t="s">
        <v>74</v>
      </c>
      <c r="AG789">
        <v>58</v>
      </c>
      <c r="AH789">
        <v>2</v>
      </c>
      <c r="AI789">
        <v>2</v>
      </c>
      <c r="AJ789">
        <v>1</v>
      </c>
      <c r="AK789">
        <v>6</v>
      </c>
      <c r="AL789" t="s">
        <v>149</v>
      </c>
      <c r="AM789" t="s">
        <v>150</v>
      </c>
      <c r="AN789" t="s">
        <v>151</v>
      </c>
      <c r="AO789" t="s">
        <v>283</v>
      </c>
      <c r="AP789" t="s">
        <v>74</v>
      </c>
      <c r="AQ789" t="s">
        <v>74</v>
      </c>
      <c r="AR789" t="s">
        <v>284</v>
      </c>
      <c r="AS789" t="s">
        <v>285</v>
      </c>
      <c r="AT789" t="s">
        <v>15368</v>
      </c>
      <c r="AU789">
        <v>2022</v>
      </c>
      <c r="AV789">
        <v>12</v>
      </c>
      <c r="AW789">
        <v>1</v>
      </c>
      <c r="AX789" t="s">
        <v>74</v>
      </c>
      <c r="AY789" t="s">
        <v>74</v>
      </c>
      <c r="AZ789" t="s">
        <v>74</v>
      </c>
      <c r="BA789" t="s">
        <v>74</v>
      </c>
      <c r="BB789" t="s">
        <v>74</v>
      </c>
      <c r="BC789" t="s">
        <v>74</v>
      </c>
      <c r="BD789">
        <v>11442</v>
      </c>
      <c r="BE789" t="s">
        <v>15387</v>
      </c>
      <c r="BF789" t="str">
        <f>HYPERLINK("http://dx.doi.org/10.1038/s41598-022-14383-8","http://dx.doi.org/10.1038/s41598-022-14383-8")</f>
        <v>http://dx.doi.org/10.1038/s41598-022-14383-8</v>
      </c>
      <c r="BG789" t="s">
        <v>74</v>
      </c>
      <c r="BH789" t="s">
        <v>74</v>
      </c>
      <c r="BI789">
        <v>15</v>
      </c>
      <c r="BJ789" t="s">
        <v>156</v>
      </c>
      <c r="BK789" t="s">
        <v>100</v>
      </c>
      <c r="BL789" t="s">
        <v>157</v>
      </c>
      <c r="BM789" t="s">
        <v>15370</v>
      </c>
      <c r="BN789">
        <v>35794177</v>
      </c>
      <c r="BO789" t="s">
        <v>132</v>
      </c>
      <c r="BP789" t="s">
        <v>74</v>
      </c>
      <c r="BQ789" t="s">
        <v>74</v>
      </c>
      <c r="BR789" t="s">
        <v>103</v>
      </c>
      <c r="BS789" t="s">
        <v>15388</v>
      </c>
      <c r="BT789" t="str">
        <f>HYPERLINK("https%3A%2F%2Fwww.webofscience.com%2Fwos%2Fwoscc%2Ffull-record%2FWOS:000825646400062","View Full Record in Web of Science")</f>
        <v>View Full Record in Web of Science</v>
      </c>
    </row>
    <row r="790" spans="1:72" x14ac:dyDescent="0.15">
      <c r="A790" t="s">
        <v>72</v>
      </c>
      <c r="B790" t="s">
        <v>15389</v>
      </c>
      <c r="C790" t="s">
        <v>74</v>
      </c>
      <c r="D790" t="s">
        <v>74</v>
      </c>
      <c r="E790" t="s">
        <v>74</v>
      </c>
      <c r="F790" t="s">
        <v>15390</v>
      </c>
      <c r="G790" t="s">
        <v>74</v>
      </c>
      <c r="H790" t="s">
        <v>74</v>
      </c>
      <c r="I790" t="s">
        <v>15391</v>
      </c>
      <c r="J790" t="s">
        <v>271</v>
      </c>
      <c r="K790" t="s">
        <v>74</v>
      </c>
      <c r="L790" t="s">
        <v>74</v>
      </c>
      <c r="M790" t="s">
        <v>78</v>
      </c>
      <c r="N790" t="s">
        <v>79</v>
      </c>
      <c r="O790" t="s">
        <v>74</v>
      </c>
      <c r="P790" t="s">
        <v>74</v>
      </c>
      <c r="Q790" t="s">
        <v>74</v>
      </c>
      <c r="R790" t="s">
        <v>74</v>
      </c>
      <c r="S790" t="s">
        <v>74</v>
      </c>
      <c r="T790" t="s">
        <v>74</v>
      </c>
      <c r="U790" t="s">
        <v>15392</v>
      </c>
      <c r="V790" t="s">
        <v>15393</v>
      </c>
      <c r="W790" t="s">
        <v>15394</v>
      </c>
      <c r="X790" t="s">
        <v>15395</v>
      </c>
      <c r="Y790" t="s">
        <v>15396</v>
      </c>
      <c r="Z790" t="s">
        <v>15397</v>
      </c>
      <c r="AA790" t="s">
        <v>15398</v>
      </c>
      <c r="AB790" t="s">
        <v>15399</v>
      </c>
      <c r="AC790" t="s">
        <v>15400</v>
      </c>
      <c r="AD790" t="s">
        <v>15401</v>
      </c>
      <c r="AE790" t="s">
        <v>15402</v>
      </c>
      <c r="AF790" t="s">
        <v>74</v>
      </c>
      <c r="AG790">
        <v>54</v>
      </c>
      <c r="AH790">
        <v>4</v>
      </c>
      <c r="AI790">
        <v>4</v>
      </c>
      <c r="AJ790">
        <v>1</v>
      </c>
      <c r="AK790">
        <v>10</v>
      </c>
      <c r="AL790" t="s">
        <v>149</v>
      </c>
      <c r="AM790" t="s">
        <v>150</v>
      </c>
      <c r="AN790" t="s">
        <v>151</v>
      </c>
      <c r="AO790" t="s">
        <v>283</v>
      </c>
      <c r="AP790" t="s">
        <v>74</v>
      </c>
      <c r="AQ790" t="s">
        <v>74</v>
      </c>
      <c r="AR790" t="s">
        <v>284</v>
      </c>
      <c r="AS790" t="s">
        <v>285</v>
      </c>
      <c r="AT790" t="s">
        <v>15368</v>
      </c>
      <c r="AU790">
        <v>2022</v>
      </c>
      <c r="AV790">
        <v>12</v>
      </c>
      <c r="AW790">
        <v>1</v>
      </c>
      <c r="AX790" t="s">
        <v>74</v>
      </c>
      <c r="AY790" t="s">
        <v>74</v>
      </c>
      <c r="AZ790" t="s">
        <v>74</v>
      </c>
      <c r="BA790" t="s">
        <v>74</v>
      </c>
      <c r="BB790" t="s">
        <v>74</v>
      </c>
      <c r="BC790" t="s">
        <v>74</v>
      </c>
      <c r="BD790">
        <v>11415</v>
      </c>
      <c r="BE790" t="s">
        <v>15403</v>
      </c>
      <c r="BF790" t="str">
        <f>HYPERLINK("http://dx.doi.org/10.1038/s41598-022-15320-5","http://dx.doi.org/10.1038/s41598-022-15320-5")</f>
        <v>http://dx.doi.org/10.1038/s41598-022-15320-5</v>
      </c>
      <c r="BG790" t="s">
        <v>74</v>
      </c>
      <c r="BH790" t="s">
        <v>74</v>
      </c>
      <c r="BI790">
        <v>15</v>
      </c>
      <c r="BJ790" t="s">
        <v>156</v>
      </c>
      <c r="BK790" t="s">
        <v>100</v>
      </c>
      <c r="BL790" t="s">
        <v>157</v>
      </c>
      <c r="BM790" t="s">
        <v>15370</v>
      </c>
      <c r="BN790">
        <v>35794144</v>
      </c>
      <c r="BO790" t="s">
        <v>132</v>
      </c>
      <c r="BP790" t="s">
        <v>74</v>
      </c>
      <c r="BQ790" t="s">
        <v>74</v>
      </c>
      <c r="BR790" t="s">
        <v>103</v>
      </c>
      <c r="BS790" t="s">
        <v>15404</v>
      </c>
      <c r="BT790" t="str">
        <f>HYPERLINK("https%3A%2F%2Fwww.webofscience.com%2Fwos%2Fwoscc%2Ffull-record%2FWOS:000825646400039","View Full Record in Web of Science")</f>
        <v>View Full Record in Web of Science</v>
      </c>
    </row>
    <row r="791" spans="1:72" x14ac:dyDescent="0.15">
      <c r="A791" t="s">
        <v>72</v>
      </c>
      <c r="B791" t="s">
        <v>15405</v>
      </c>
      <c r="C791" t="s">
        <v>74</v>
      </c>
      <c r="D791" t="s">
        <v>74</v>
      </c>
      <c r="E791" t="s">
        <v>74</v>
      </c>
      <c r="F791" t="s">
        <v>15406</v>
      </c>
      <c r="G791" t="s">
        <v>74</v>
      </c>
      <c r="H791" t="s">
        <v>74</v>
      </c>
      <c r="I791" t="s">
        <v>15407</v>
      </c>
      <c r="J791" t="s">
        <v>247</v>
      </c>
      <c r="K791" t="s">
        <v>74</v>
      </c>
      <c r="L791" t="s">
        <v>74</v>
      </c>
      <c r="M791" t="s">
        <v>78</v>
      </c>
      <c r="N791" t="s">
        <v>79</v>
      </c>
      <c r="O791" t="s">
        <v>74</v>
      </c>
      <c r="P791" t="s">
        <v>74</v>
      </c>
      <c r="Q791" t="s">
        <v>74</v>
      </c>
      <c r="R791" t="s">
        <v>74</v>
      </c>
      <c r="S791" t="s">
        <v>74</v>
      </c>
      <c r="T791" t="s">
        <v>15408</v>
      </c>
      <c r="U791" t="s">
        <v>15409</v>
      </c>
      <c r="V791" t="s">
        <v>15410</v>
      </c>
      <c r="W791" t="s">
        <v>15411</v>
      </c>
      <c r="X791" t="s">
        <v>15412</v>
      </c>
      <c r="Y791" t="s">
        <v>15413</v>
      </c>
      <c r="Z791" t="s">
        <v>15414</v>
      </c>
      <c r="AA791" t="s">
        <v>15415</v>
      </c>
      <c r="AB791" t="s">
        <v>74</v>
      </c>
      <c r="AC791" t="s">
        <v>15416</v>
      </c>
      <c r="AD791" t="s">
        <v>15417</v>
      </c>
      <c r="AE791" t="s">
        <v>15418</v>
      </c>
      <c r="AF791" t="s">
        <v>74</v>
      </c>
      <c r="AG791">
        <v>47</v>
      </c>
      <c r="AH791">
        <v>1</v>
      </c>
      <c r="AI791">
        <v>1</v>
      </c>
      <c r="AJ791">
        <v>0</v>
      </c>
      <c r="AK791">
        <v>3</v>
      </c>
      <c r="AL791" t="s">
        <v>121</v>
      </c>
      <c r="AM791" t="s">
        <v>122</v>
      </c>
      <c r="AN791" t="s">
        <v>123</v>
      </c>
      <c r="AO791" t="s">
        <v>74</v>
      </c>
      <c r="AP791" t="s">
        <v>258</v>
      </c>
      <c r="AQ791" t="s">
        <v>74</v>
      </c>
      <c r="AR791" t="s">
        <v>259</v>
      </c>
      <c r="AS791" t="s">
        <v>260</v>
      </c>
      <c r="AT791" t="s">
        <v>15368</v>
      </c>
      <c r="AU791">
        <v>2022</v>
      </c>
      <c r="AV791">
        <v>9</v>
      </c>
      <c r="AW791" t="s">
        <v>74</v>
      </c>
      <c r="AX791" t="s">
        <v>74</v>
      </c>
      <c r="AY791" t="s">
        <v>74</v>
      </c>
      <c r="AZ791" t="s">
        <v>74</v>
      </c>
      <c r="BA791" t="s">
        <v>74</v>
      </c>
      <c r="BB791" t="s">
        <v>74</v>
      </c>
      <c r="BC791" t="s">
        <v>74</v>
      </c>
      <c r="BD791">
        <v>877043</v>
      </c>
      <c r="BE791" t="s">
        <v>15419</v>
      </c>
      <c r="BF791" t="str">
        <f>HYPERLINK("http://dx.doi.org/10.3389/fmars.2022.877043","http://dx.doi.org/10.3389/fmars.2022.877043")</f>
        <v>http://dx.doi.org/10.3389/fmars.2022.877043</v>
      </c>
      <c r="BG791" t="s">
        <v>74</v>
      </c>
      <c r="BH791" t="s">
        <v>74</v>
      </c>
      <c r="BI791">
        <v>15</v>
      </c>
      <c r="BJ791" t="s">
        <v>263</v>
      </c>
      <c r="BK791" t="s">
        <v>100</v>
      </c>
      <c r="BL791" t="s">
        <v>264</v>
      </c>
      <c r="BM791" t="s">
        <v>15420</v>
      </c>
      <c r="BN791" t="s">
        <v>74</v>
      </c>
      <c r="BO791" t="s">
        <v>266</v>
      </c>
      <c r="BP791" t="s">
        <v>74</v>
      </c>
      <c r="BQ791" t="s">
        <v>74</v>
      </c>
      <c r="BR791" t="s">
        <v>103</v>
      </c>
      <c r="BS791" t="s">
        <v>15421</v>
      </c>
      <c r="BT791" t="str">
        <f>HYPERLINK("https%3A%2F%2Fwww.webofscience.com%2Fwos%2Fwoscc%2Ffull-record%2FWOS:000829253700001","View Full Record in Web of Science")</f>
        <v>View Full Record in Web of Science</v>
      </c>
    </row>
    <row r="792" spans="1:72" x14ac:dyDescent="0.15">
      <c r="A792" t="s">
        <v>72</v>
      </c>
      <c r="B792" t="s">
        <v>15422</v>
      </c>
      <c r="C792" t="s">
        <v>74</v>
      </c>
      <c r="D792" t="s">
        <v>74</v>
      </c>
      <c r="E792" t="s">
        <v>74</v>
      </c>
      <c r="F792" t="s">
        <v>15423</v>
      </c>
      <c r="G792" t="s">
        <v>74</v>
      </c>
      <c r="H792" t="s">
        <v>74</v>
      </c>
      <c r="I792" t="s">
        <v>15424</v>
      </c>
      <c r="J792" t="s">
        <v>15425</v>
      </c>
      <c r="K792" t="s">
        <v>74</v>
      </c>
      <c r="L792" t="s">
        <v>74</v>
      </c>
      <c r="M792" t="s">
        <v>78</v>
      </c>
      <c r="N792" t="s">
        <v>79</v>
      </c>
      <c r="O792" t="s">
        <v>74</v>
      </c>
      <c r="P792" t="s">
        <v>74</v>
      </c>
      <c r="Q792" t="s">
        <v>74</v>
      </c>
      <c r="R792" t="s">
        <v>74</v>
      </c>
      <c r="S792" t="s">
        <v>74</v>
      </c>
      <c r="T792" t="s">
        <v>15426</v>
      </c>
      <c r="U792" t="s">
        <v>15427</v>
      </c>
      <c r="V792" t="s">
        <v>15428</v>
      </c>
      <c r="W792" t="s">
        <v>15429</v>
      </c>
      <c r="X792" t="s">
        <v>15430</v>
      </c>
      <c r="Y792" t="s">
        <v>15431</v>
      </c>
      <c r="Z792" t="s">
        <v>15432</v>
      </c>
      <c r="AA792" t="s">
        <v>74</v>
      </c>
      <c r="AB792" t="s">
        <v>15433</v>
      </c>
      <c r="AC792" t="s">
        <v>15434</v>
      </c>
      <c r="AD792" t="s">
        <v>15435</v>
      </c>
      <c r="AE792" t="s">
        <v>15436</v>
      </c>
      <c r="AF792" t="s">
        <v>74</v>
      </c>
      <c r="AG792">
        <v>41</v>
      </c>
      <c r="AH792">
        <v>2</v>
      </c>
      <c r="AI792">
        <v>2</v>
      </c>
      <c r="AJ792">
        <v>0</v>
      </c>
      <c r="AK792">
        <v>4</v>
      </c>
      <c r="AL792" t="s">
        <v>15437</v>
      </c>
      <c r="AM792" t="s">
        <v>15438</v>
      </c>
      <c r="AN792" t="s">
        <v>15439</v>
      </c>
      <c r="AO792" t="s">
        <v>15440</v>
      </c>
      <c r="AP792" t="s">
        <v>15441</v>
      </c>
      <c r="AQ792" t="s">
        <v>74</v>
      </c>
      <c r="AR792" t="s">
        <v>15442</v>
      </c>
      <c r="AS792" t="s">
        <v>15443</v>
      </c>
      <c r="AT792" t="s">
        <v>15444</v>
      </c>
      <c r="AU792">
        <v>2022</v>
      </c>
      <c r="AV792">
        <v>122</v>
      </c>
      <c r="AW792">
        <v>2</v>
      </c>
      <c r="AX792" t="s">
        <v>74</v>
      </c>
      <c r="AY792" t="s">
        <v>74</v>
      </c>
      <c r="AZ792" t="s">
        <v>74</v>
      </c>
      <c r="BA792" t="s">
        <v>74</v>
      </c>
      <c r="BB792">
        <v>144</v>
      </c>
      <c r="BC792">
        <v>149</v>
      </c>
      <c r="BD792" t="s">
        <v>74</v>
      </c>
      <c r="BE792" t="s">
        <v>15445</v>
      </c>
      <c r="BF792" t="str">
        <f>HYPERLINK("http://dx.doi.org/10.1080/01584197.2022.2075395","http://dx.doi.org/10.1080/01584197.2022.2075395")</f>
        <v>http://dx.doi.org/10.1080/01584197.2022.2075395</v>
      </c>
      <c r="BG792" t="s">
        <v>74</v>
      </c>
      <c r="BH792" t="s">
        <v>12326</v>
      </c>
      <c r="BI792">
        <v>6</v>
      </c>
      <c r="BJ792" t="s">
        <v>3857</v>
      </c>
      <c r="BK792" t="s">
        <v>100</v>
      </c>
      <c r="BL792" t="s">
        <v>2211</v>
      </c>
      <c r="BM792" t="s">
        <v>15446</v>
      </c>
      <c r="BN792" t="s">
        <v>74</v>
      </c>
      <c r="BO792" t="s">
        <v>74</v>
      </c>
      <c r="BP792" t="s">
        <v>74</v>
      </c>
      <c r="BQ792" t="s">
        <v>74</v>
      </c>
      <c r="BR792" t="s">
        <v>103</v>
      </c>
      <c r="BS792" t="s">
        <v>15447</v>
      </c>
      <c r="BT792" t="str">
        <f>HYPERLINK("https%3A%2F%2Fwww.webofscience.com%2Fwos%2Fwoscc%2Ffull-record%2FWOS:000824463700001","View Full Record in Web of Science")</f>
        <v>View Full Record in Web of Science</v>
      </c>
    </row>
    <row r="793" spans="1:72" x14ac:dyDescent="0.15">
      <c r="A793" t="s">
        <v>72</v>
      </c>
      <c r="B793" t="s">
        <v>15448</v>
      </c>
      <c r="C793" t="s">
        <v>74</v>
      </c>
      <c r="D793" t="s">
        <v>74</v>
      </c>
      <c r="E793" t="s">
        <v>74</v>
      </c>
      <c r="F793" t="s">
        <v>15449</v>
      </c>
      <c r="G793" t="s">
        <v>74</v>
      </c>
      <c r="H793" t="s">
        <v>74</v>
      </c>
      <c r="I793" t="s">
        <v>15450</v>
      </c>
      <c r="J793" t="s">
        <v>15451</v>
      </c>
      <c r="K793" t="s">
        <v>74</v>
      </c>
      <c r="L793" t="s">
        <v>74</v>
      </c>
      <c r="M793" t="s">
        <v>78</v>
      </c>
      <c r="N793" t="s">
        <v>79</v>
      </c>
      <c r="O793" t="s">
        <v>74</v>
      </c>
      <c r="P793" t="s">
        <v>74</v>
      </c>
      <c r="Q793" t="s">
        <v>74</v>
      </c>
      <c r="R793" t="s">
        <v>74</v>
      </c>
      <c r="S793" t="s">
        <v>74</v>
      </c>
      <c r="T793" t="s">
        <v>74</v>
      </c>
      <c r="U793" t="s">
        <v>74</v>
      </c>
      <c r="V793" t="s">
        <v>15452</v>
      </c>
      <c r="W793" t="s">
        <v>15453</v>
      </c>
      <c r="X793" t="s">
        <v>15454</v>
      </c>
      <c r="Y793" t="s">
        <v>15455</v>
      </c>
      <c r="Z793" t="s">
        <v>74</v>
      </c>
      <c r="AA793" t="s">
        <v>15456</v>
      </c>
      <c r="AB793" t="s">
        <v>15457</v>
      </c>
      <c r="AC793" t="s">
        <v>74</v>
      </c>
      <c r="AD793" t="s">
        <v>74</v>
      </c>
      <c r="AE793" t="s">
        <v>74</v>
      </c>
      <c r="AF793" t="s">
        <v>74</v>
      </c>
      <c r="AG793">
        <v>17</v>
      </c>
      <c r="AH793">
        <v>4</v>
      </c>
      <c r="AI793">
        <v>4</v>
      </c>
      <c r="AJ793">
        <v>0</v>
      </c>
      <c r="AK793">
        <v>17</v>
      </c>
      <c r="AL793" t="s">
        <v>2900</v>
      </c>
      <c r="AM793" t="s">
        <v>2901</v>
      </c>
      <c r="AN793" t="s">
        <v>2902</v>
      </c>
      <c r="AO793" t="s">
        <v>15458</v>
      </c>
      <c r="AP793" t="s">
        <v>74</v>
      </c>
      <c r="AQ793" t="s">
        <v>74</v>
      </c>
      <c r="AR793" t="s">
        <v>15459</v>
      </c>
      <c r="AS793" t="s">
        <v>15460</v>
      </c>
      <c r="AT793" t="s">
        <v>15368</v>
      </c>
      <c r="AU793">
        <v>2022</v>
      </c>
      <c r="AV793">
        <v>7</v>
      </c>
      <c r="AW793">
        <v>7</v>
      </c>
      <c r="AX793" t="s">
        <v>74</v>
      </c>
      <c r="AY793" t="s">
        <v>74</v>
      </c>
      <c r="AZ793" t="s">
        <v>74</v>
      </c>
      <c r="BA793" t="s">
        <v>74</v>
      </c>
      <c r="BB793" t="s">
        <v>74</v>
      </c>
      <c r="BC793" t="s">
        <v>74</v>
      </c>
      <c r="BD793">
        <v>74701</v>
      </c>
      <c r="BE793" t="s">
        <v>15461</v>
      </c>
      <c r="BF793" t="str">
        <f>HYPERLINK("http://dx.doi.org/10.1103/PhysRevFluids.7.074701","http://dx.doi.org/10.1103/PhysRevFluids.7.074701")</f>
        <v>http://dx.doi.org/10.1103/PhysRevFluids.7.074701</v>
      </c>
      <c r="BG793" t="s">
        <v>74</v>
      </c>
      <c r="BH793" t="s">
        <v>74</v>
      </c>
      <c r="BI793">
        <v>18</v>
      </c>
      <c r="BJ793" t="s">
        <v>15462</v>
      </c>
      <c r="BK793" t="s">
        <v>100</v>
      </c>
      <c r="BL793" t="s">
        <v>7855</v>
      </c>
      <c r="BM793" t="s">
        <v>15463</v>
      </c>
      <c r="BN793" t="s">
        <v>74</v>
      </c>
      <c r="BO793" t="s">
        <v>74</v>
      </c>
      <c r="BP793" t="s">
        <v>74</v>
      </c>
      <c r="BQ793" t="s">
        <v>74</v>
      </c>
      <c r="BR793" t="s">
        <v>103</v>
      </c>
      <c r="BS793" t="s">
        <v>15464</v>
      </c>
      <c r="BT793" t="str">
        <f>HYPERLINK("https%3A%2F%2Fwww.webofscience.com%2Fwos%2Fwoscc%2Ffull-record%2FWOS:000824345600001","View Full Record in Web of Science")</f>
        <v>View Full Record in Web of Science</v>
      </c>
    </row>
    <row r="794" spans="1:72" x14ac:dyDescent="0.15">
      <c r="A794" t="s">
        <v>72</v>
      </c>
      <c r="B794" t="s">
        <v>15465</v>
      </c>
      <c r="C794" t="s">
        <v>74</v>
      </c>
      <c r="D794" t="s">
        <v>74</v>
      </c>
      <c r="E794" t="s">
        <v>74</v>
      </c>
      <c r="F794" t="s">
        <v>15466</v>
      </c>
      <c r="G794" t="s">
        <v>74</v>
      </c>
      <c r="H794" t="s">
        <v>74</v>
      </c>
      <c r="I794" t="s">
        <v>15467</v>
      </c>
      <c r="J794" t="s">
        <v>3864</v>
      </c>
      <c r="K794" t="s">
        <v>74</v>
      </c>
      <c r="L794" t="s">
        <v>74</v>
      </c>
      <c r="M794" t="s">
        <v>78</v>
      </c>
      <c r="N794" t="s">
        <v>79</v>
      </c>
      <c r="O794" t="s">
        <v>74</v>
      </c>
      <c r="P794" t="s">
        <v>74</v>
      </c>
      <c r="Q794" t="s">
        <v>74</v>
      </c>
      <c r="R794" t="s">
        <v>74</v>
      </c>
      <c r="S794" t="s">
        <v>74</v>
      </c>
      <c r="T794" t="s">
        <v>15468</v>
      </c>
      <c r="U794" t="s">
        <v>15469</v>
      </c>
      <c r="V794" t="s">
        <v>15470</v>
      </c>
      <c r="W794" t="s">
        <v>15471</v>
      </c>
      <c r="X794" t="s">
        <v>15472</v>
      </c>
      <c r="Y794" t="s">
        <v>15473</v>
      </c>
      <c r="Z794" t="s">
        <v>15474</v>
      </c>
      <c r="AA794" t="s">
        <v>15475</v>
      </c>
      <c r="AB794" t="s">
        <v>15476</v>
      </c>
      <c r="AC794" t="s">
        <v>15477</v>
      </c>
      <c r="AD794" t="s">
        <v>15478</v>
      </c>
      <c r="AE794" t="s">
        <v>15479</v>
      </c>
      <c r="AF794" t="s">
        <v>74</v>
      </c>
      <c r="AG794">
        <v>48</v>
      </c>
      <c r="AH794">
        <v>8</v>
      </c>
      <c r="AI794">
        <v>9</v>
      </c>
      <c r="AJ794">
        <v>4</v>
      </c>
      <c r="AK794">
        <v>31</v>
      </c>
      <c r="AL794" t="s">
        <v>206</v>
      </c>
      <c r="AM794" t="s">
        <v>207</v>
      </c>
      <c r="AN794" t="s">
        <v>208</v>
      </c>
      <c r="AO794" t="s">
        <v>3877</v>
      </c>
      <c r="AP794" t="s">
        <v>74</v>
      </c>
      <c r="AQ794" t="s">
        <v>74</v>
      </c>
      <c r="AR794" t="s">
        <v>3878</v>
      </c>
      <c r="AS794" t="s">
        <v>3879</v>
      </c>
      <c r="AT794" t="s">
        <v>15480</v>
      </c>
      <c r="AU794">
        <v>2022</v>
      </c>
      <c r="AV794">
        <v>10</v>
      </c>
      <c r="AW794">
        <v>4</v>
      </c>
      <c r="AX794" t="s">
        <v>74</v>
      </c>
      <c r="AY794" t="s">
        <v>74</v>
      </c>
      <c r="AZ794" t="s">
        <v>74</v>
      </c>
      <c r="BA794" t="s">
        <v>74</v>
      </c>
      <c r="BB794" t="s">
        <v>74</v>
      </c>
      <c r="BC794" t="s">
        <v>74</v>
      </c>
      <c r="BD794" t="s">
        <v>74</v>
      </c>
      <c r="BE794" t="s">
        <v>15481</v>
      </c>
      <c r="BF794" t="str">
        <f>HYPERLINK("http://dx.doi.org/10.1128/spectrum.00585-22","http://dx.doi.org/10.1128/spectrum.00585-22")</f>
        <v>http://dx.doi.org/10.1128/spectrum.00585-22</v>
      </c>
      <c r="BG794" t="s">
        <v>74</v>
      </c>
      <c r="BH794" t="s">
        <v>12326</v>
      </c>
      <c r="BI794">
        <v>12</v>
      </c>
      <c r="BJ794" t="s">
        <v>214</v>
      </c>
      <c r="BK794" t="s">
        <v>100</v>
      </c>
      <c r="BL794" t="s">
        <v>214</v>
      </c>
      <c r="BM794" t="s">
        <v>15482</v>
      </c>
      <c r="BN794">
        <v>35862991</v>
      </c>
      <c r="BO794" t="s">
        <v>132</v>
      </c>
      <c r="BP794" t="s">
        <v>74</v>
      </c>
      <c r="BQ794" t="s">
        <v>74</v>
      </c>
      <c r="BR794" t="s">
        <v>103</v>
      </c>
      <c r="BS794" t="s">
        <v>15483</v>
      </c>
      <c r="BT794" t="str">
        <f>HYPERLINK("https%3A%2F%2Fwww.webofscience.com%2Fwos%2Fwoscc%2Ffull-record%2FWOS:000823143600001","View Full Record in Web of Science")</f>
        <v>View Full Record in Web of Science</v>
      </c>
    </row>
    <row r="795" spans="1:72" x14ac:dyDescent="0.15">
      <c r="A795" t="s">
        <v>72</v>
      </c>
      <c r="B795" t="s">
        <v>15484</v>
      </c>
      <c r="C795" t="s">
        <v>74</v>
      </c>
      <c r="D795" t="s">
        <v>74</v>
      </c>
      <c r="E795" t="s">
        <v>74</v>
      </c>
      <c r="F795" t="s">
        <v>15485</v>
      </c>
      <c r="G795" t="s">
        <v>74</v>
      </c>
      <c r="H795" t="s">
        <v>74</v>
      </c>
      <c r="I795" t="s">
        <v>15486</v>
      </c>
      <c r="J795" t="s">
        <v>5256</v>
      </c>
      <c r="K795" t="s">
        <v>74</v>
      </c>
      <c r="L795" t="s">
        <v>74</v>
      </c>
      <c r="M795" t="s">
        <v>78</v>
      </c>
      <c r="N795" t="s">
        <v>79</v>
      </c>
      <c r="O795" t="s">
        <v>74</v>
      </c>
      <c r="P795" t="s">
        <v>74</v>
      </c>
      <c r="Q795" t="s">
        <v>74</v>
      </c>
      <c r="R795" t="s">
        <v>74</v>
      </c>
      <c r="S795" t="s">
        <v>74</v>
      </c>
      <c r="T795" t="s">
        <v>15487</v>
      </c>
      <c r="U795" t="s">
        <v>15488</v>
      </c>
      <c r="V795" t="s">
        <v>15489</v>
      </c>
      <c r="W795" t="s">
        <v>15490</v>
      </c>
      <c r="X795" t="s">
        <v>15491</v>
      </c>
      <c r="Y795" t="s">
        <v>15492</v>
      </c>
      <c r="Z795" t="s">
        <v>15493</v>
      </c>
      <c r="AA795" t="s">
        <v>15494</v>
      </c>
      <c r="AB795" t="s">
        <v>15495</v>
      </c>
      <c r="AC795" t="s">
        <v>15496</v>
      </c>
      <c r="AD795" t="s">
        <v>15497</v>
      </c>
      <c r="AE795" t="s">
        <v>15498</v>
      </c>
      <c r="AF795" t="s">
        <v>74</v>
      </c>
      <c r="AG795">
        <v>86</v>
      </c>
      <c r="AH795">
        <v>9</v>
      </c>
      <c r="AI795">
        <v>9</v>
      </c>
      <c r="AJ795">
        <v>2</v>
      </c>
      <c r="AK795">
        <v>8</v>
      </c>
      <c r="AL795" t="s">
        <v>231</v>
      </c>
      <c r="AM795" t="s">
        <v>232</v>
      </c>
      <c r="AN795" t="s">
        <v>233</v>
      </c>
      <c r="AO795" t="s">
        <v>5268</v>
      </c>
      <c r="AP795" t="s">
        <v>5269</v>
      </c>
      <c r="AQ795" t="s">
        <v>74</v>
      </c>
      <c r="AR795" t="s">
        <v>5270</v>
      </c>
      <c r="AS795" t="s">
        <v>5271</v>
      </c>
      <c r="AT795" t="s">
        <v>5386</v>
      </c>
      <c r="AU795">
        <v>2022</v>
      </c>
      <c r="AV795">
        <v>49</v>
      </c>
      <c r="AW795">
        <v>8</v>
      </c>
      <c r="AX795" t="s">
        <v>74</v>
      </c>
      <c r="AY795" t="s">
        <v>74</v>
      </c>
      <c r="AZ795" t="s">
        <v>74</v>
      </c>
      <c r="BA795" t="s">
        <v>74</v>
      </c>
      <c r="BB795">
        <v>1521</v>
      </c>
      <c r="BC795">
        <v>1534</v>
      </c>
      <c r="BD795" t="s">
        <v>74</v>
      </c>
      <c r="BE795" t="s">
        <v>15499</v>
      </c>
      <c r="BF795" t="str">
        <f>HYPERLINK("http://dx.doi.org/10.1111/jbi.14453","http://dx.doi.org/10.1111/jbi.14453")</f>
        <v>http://dx.doi.org/10.1111/jbi.14453</v>
      </c>
      <c r="BG795" t="s">
        <v>74</v>
      </c>
      <c r="BH795" t="s">
        <v>12326</v>
      </c>
      <c r="BI795">
        <v>14</v>
      </c>
      <c r="BJ795" t="s">
        <v>3949</v>
      </c>
      <c r="BK795" t="s">
        <v>100</v>
      </c>
      <c r="BL795" t="s">
        <v>3950</v>
      </c>
      <c r="BM795" t="s">
        <v>15500</v>
      </c>
      <c r="BN795" t="s">
        <v>74</v>
      </c>
      <c r="BO795" t="s">
        <v>74</v>
      </c>
      <c r="BP795" t="s">
        <v>74</v>
      </c>
      <c r="BQ795" t="s">
        <v>74</v>
      </c>
      <c r="BR795" t="s">
        <v>103</v>
      </c>
      <c r="BS795" t="s">
        <v>15501</v>
      </c>
      <c r="BT795" t="str">
        <f>HYPERLINK("https%3A%2F%2Fwww.webofscience.com%2Fwos%2Fwoscc%2Ffull-record%2FWOS:000821056700001","View Full Record in Web of Science")</f>
        <v>View Full Record in Web of Science</v>
      </c>
    </row>
    <row r="796" spans="1:72" x14ac:dyDescent="0.15">
      <c r="A796" t="s">
        <v>72</v>
      </c>
      <c r="B796" t="s">
        <v>15502</v>
      </c>
      <c r="C796" t="s">
        <v>74</v>
      </c>
      <c r="D796" t="s">
        <v>74</v>
      </c>
      <c r="E796" t="s">
        <v>74</v>
      </c>
      <c r="F796" t="s">
        <v>15503</v>
      </c>
      <c r="G796" t="s">
        <v>74</v>
      </c>
      <c r="H796" t="s">
        <v>74</v>
      </c>
      <c r="I796" t="s">
        <v>15504</v>
      </c>
      <c r="J796" t="s">
        <v>8117</v>
      </c>
      <c r="K796" t="s">
        <v>74</v>
      </c>
      <c r="L796" t="s">
        <v>74</v>
      </c>
      <c r="M796" t="s">
        <v>78</v>
      </c>
      <c r="N796" t="s">
        <v>79</v>
      </c>
      <c r="O796" t="s">
        <v>74</v>
      </c>
      <c r="P796" t="s">
        <v>74</v>
      </c>
      <c r="Q796" t="s">
        <v>74</v>
      </c>
      <c r="R796" t="s">
        <v>74</v>
      </c>
      <c r="S796" t="s">
        <v>74</v>
      </c>
      <c r="T796" t="s">
        <v>15505</v>
      </c>
      <c r="U796" t="s">
        <v>15506</v>
      </c>
      <c r="V796" t="s">
        <v>15507</v>
      </c>
      <c r="W796" t="s">
        <v>15508</v>
      </c>
      <c r="X796" t="s">
        <v>15509</v>
      </c>
      <c r="Y796" t="s">
        <v>15510</v>
      </c>
      <c r="Z796" t="s">
        <v>15511</v>
      </c>
      <c r="AA796" t="s">
        <v>74</v>
      </c>
      <c r="AB796" t="s">
        <v>15512</v>
      </c>
      <c r="AC796" t="s">
        <v>15513</v>
      </c>
      <c r="AD796" t="s">
        <v>15514</v>
      </c>
      <c r="AE796" t="s">
        <v>15515</v>
      </c>
      <c r="AF796" t="s">
        <v>74</v>
      </c>
      <c r="AG796">
        <v>72</v>
      </c>
      <c r="AH796">
        <v>3</v>
      </c>
      <c r="AI796">
        <v>3</v>
      </c>
      <c r="AJ796">
        <v>2</v>
      </c>
      <c r="AK796">
        <v>11</v>
      </c>
      <c r="AL796" t="s">
        <v>345</v>
      </c>
      <c r="AM796" t="s">
        <v>450</v>
      </c>
      <c r="AN796" t="s">
        <v>821</v>
      </c>
      <c r="AO796" t="s">
        <v>8130</v>
      </c>
      <c r="AP796" t="s">
        <v>8131</v>
      </c>
      <c r="AQ796" t="s">
        <v>74</v>
      </c>
      <c r="AR796" t="s">
        <v>8132</v>
      </c>
      <c r="AS796" t="s">
        <v>8133</v>
      </c>
      <c r="AT796" t="s">
        <v>428</v>
      </c>
      <c r="AU796">
        <v>2022</v>
      </c>
      <c r="AV796">
        <v>21</v>
      </c>
      <c r="AW796">
        <v>5</v>
      </c>
      <c r="AX796" t="s">
        <v>74</v>
      </c>
      <c r="AY796" t="s">
        <v>74</v>
      </c>
      <c r="AZ796" t="s">
        <v>186</v>
      </c>
      <c r="BA796" t="s">
        <v>74</v>
      </c>
      <c r="BB796">
        <v>296</v>
      </c>
      <c r="BC796">
        <v>307</v>
      </c>
      <c r="BD796" t="s">
        <v>15516</v>
      </c>
      <c r="BE796" t="s">
        <v>15517</v>
      </c>
      <c r="BF796" t="str">
        <f>HYPERLINK("http://dx.doi.org/10.1017/S1473550422000180","http://dx.doi.org/10.1017/S1473550422000180")</f>
        <v>http://dx.doi.org/10.1017/S1473550422000180</v>
      </c>
      <c r="BG796" t="s">
        <v>74</v>
      </c>
      <c r="BH796" t="s">
        <v>12326</v>
      </c>
      <c r="BI796">
        <v>12</v>
      </c>
      <c r="BJ796" t="s">
        <v>8136</v>
      </c>
      <c r="BK796" t="s">
        <v>100</v>
      </c>
      <c r="BL796" t="s">
        <v>8137</v>
      </c>
      <c r="BM796" t="s">
        <v>8138</v>
      </c>
      <c r="BN796" t="s">
        <v>74</v>
      </c>
      <c r="BO796" t="s">
        <v>2260</v>
      </c>
      <c r="BP796" t="s">
        <v>74</v>
      </c>
      <c r="BQ796" t="s">
        <v>74</v>
      </c>
      <c r="BR796" t="s">
        <v>103</v>
      </c>
      <c r="BS796" t="s">
        <v>15518</v>
      </c>
      <c r="BT796" t="str">
        <f>HYPERLINK("https%3A%2F%2Fwww.webofscience.com%2Fwos%2Fwoscc%2Ffull-record%2FWOS:000821333800001","View Full Record in Web of Science")</f>
        <v>View Full Record in Web of Science</v>
      </c>
    </row>
    <row r="797" spans="1:72" x14ac:dyDescent="0.15">
      <c r="A797" t="s">
        <v>72</v>
      </c>
      <c r="B797" t="s">
        <v>15519</v>
      </c>
      <c r="C797" t="s">
        <v>74</v>
      </c>
      <c r="D797" t="s">
        <v>74</v>
      </c>
      <c r="E797" t="s">
        <v>74</v>
      </c>
      <c r="F797" t="s">
        <v>15520</v>
      </c>
      <c r="G797" t="s">
        <v>74</v>
      </c>
      <c r="H797" t="s">
        <v>74</v>
      </c>
      <c r="I797" t="s">
        <v>15521</v>
      </c>
      <c r="J797" t="s">
        <v>3356</v>
      </c>
      <c r="K797" t="s">
        <v>74</v>
      </c>
      <c r="L797" t="s">
        <v>74</v>
      </c>
      <c r="M797" t="s">
        <v>78</v>
      </c>
      <c r="N797" t="s">
        <v>79</v>
      </c>
      <c r="O797" t="s">
        <v>74</v>
      </c>
      <c r="P797" t="s">
        <v>74</v>
      </c>
      <c r="Q797" t="s">
        <v>74</v>
      </c>
      <c r="R797" t="s">
        <v>74</v>
      </c>
      <c r="S797" t="s">
        <v>74</v>
      </c>
      <c r="T797" t="s">
        <v>74</v>
      </c>
      <c r="U797" t="s">
        <v>15522</v>
      </c>
      <c r="V797" t="s">
        <v>15523</v>
      </c>
      <c r="W797" t="s">
        <v>15524</v>
      </c>
      <c r="X797" t="s">
        <v>15525</v>
      </c>
      <c r="Y797" t="s">
        <v>15526</v>
      </c>
      <c r="Z797" t="s">
        <v>15527</v>
      </c>
      <c r="AA797" t="s">
        <v>74</v>
      </c>
      <c r="AB797" t="s">
        <v>74</v>
      </c>
      <c r="AC797" t="s">
        <v>15528</v>
      </c>
      <c r="AD797" t="s">
        <v>15529</v>
      </c>
      <c r="AE797" t="s">
        <v>15530</v>
      </c>
      <c r="AF797" t="s">
        <v>74</v>
      </c>
      <c r="AG797">
        <v>38</v>
      </c>
      <c r="AH797">
        <v>3</v>
      </c>
      <c r="AI797">
        <v>4</v>
      </c>
      <c r="AJ797">
        <v>8</v>
      </c>
      <c r="AK797">
        <v>28</v>
      </c>
      <c r="AL797" t="s">
        <v>2460</v>
      </c>
      <c r="AM797" t="s">
        <v>2461</v>
      </c>
      <c r="AN797" t="s">
        <v>2462</v>
      </c>
      <c r="AO797" t="s">
        <v>3368</v>
      </c>
      <c r="AP797" t="s">
        <v>3369</v>
      </c>
      <c r="AQ797" t="s">
        <v>74</v>
      </c>
      <c r="AR797" t="s">
        <v>3370</v>
      </c>
      <c r="AS797" t="s">
        <v>3371</v>
      </c>
      <c r="AT797" t="s">
        <v>15368</v>
      </c>
      <c r="AU797">
        <v>2022</v>
      </c>
      <c r="AV797">
        <v>14</v>
      </c>
      <c r="AW797">
        <v>7</v>
      </c>
      <c r="AX797" t="s">
        <v>74</v>
      </c>
      <c r="AY797" t="s">
        <v>74</v>
      </c>
      <c r="AZ797" t="s">
        <v>74</v>
      </c>
      <c r="BA797" t="s">
        <v>74</v>
      </c>
      <c r="BB797">
        <v>3075</v>
      </c>
      <c r="BC797">
        <v>3089</v>
      </c>
      <c r="BD797" t="s">
        <v>74</v>
      </c>
      <c r="BE797" t="s">
        <v>15531</v>
      </c>
      <c r="BF797" t="str">
        <f>HYPERLINK("http://dx.doi.org/10.5194/essd-14-3075-2022","http://dx.doi.org/10.5194/essd-14-3075-2022")</f>
        <v>http://dx.doi.org/10.5194/essd-14-3075-2022</v>
      </c>
      <c r="BG797" t="s">
        <v>74</v>
      </c>
      <c r="BH797" t="s">
        <v>74</v>
      </c>
      <c r="BI797">
        <v>15</v>
      </c>
      <c r="BJ797" t="s">
        <v>3373</v>
      </c>
      <c r="BK797" t="s">
        <v>100</v>
      </c>
      <c r="BL797" t="s">
        <v>3374</v>
      </c>
      <c r="BM797" t="s">
        <v>15532</v>
      </c>
      <c r="BN797" t="s">
        <v>74</v>
      </c>
      <c r="BO797" t="s">
        <v>3262</v>
      </c>
      <c r="BP797" t="s">
        <v>74</v>
      </c>
      <c r="BQ797" t="s">
        <v>74</v>
      </c>
      <c r="BR797" t="s">
        <v>103</v>
      </c>
      <c r="BS797" t="s">
        <v>15533</v>
      </c>
      <c r="BT797" t="str">
        <f>HYPERLINK("https%3A%2F%2Fwww.webofscience.com%2Fwos%2Fwoscc%2Ffull-record%2FWOS:000821144700001","View Full Record in Web of Science")</f>
        <v>View Full Record in Web of Science</v>
      </c>
    </row>
    <row r="798" spans="1:72" x14ac:dyDescent="0.15">
      <c r="A798" t="s">
        <v>72</v>
      </c>
      <c r="B798" t="s">
        <v>15534</v>
      </c>
      <c r="C798" t="s">
        <v>74</v>
      </c>
      <c r="D798" t="s">
        <v>74</v>
      </c>
      <c r="E798" t="s">
        <v>74</v>
      </c>
      <c r="F798" t="s">
        <v>15535</v>
      </c>
      <c r="G798" t="s">
        <v>74</v>
      </c>
      <c r="H798" t="s">
        <v>74</v>
      </c>
      <c r="I798" t="s">
        <v>15536</v>
      </c>
      <c r="J798" t="s">
        <v>15537</v>
      </c>
      <c r="K798" t="s">
        <v>74</v>
      </c>
      <c r="L798" t="s">
        <v>74</v>
      </c>
      <c r="M798" t="s">
        <v>78</v>
      </c>
      <c r="N798" t="s">
        <v>79</v>
      </c>
      <c r="O798" t="s">
        <v>74</v>
      </c>
      <c r="P798" t="s">
        <v>74</v>
      </c>
      <c r="Q798" t="s">
        <v>74</v>
      </c>
      <c r="R798" t="s">
        <v>74</v>
      </c>
      <c r="S798" t="s">
        <v>74</v>
      </c>
      <c r="T798" t="s">
        <v>15538</v>
      </c>
      <c r="U798" t="s">
        <v>15539</v>
      </c>
      <c r="V798" t="s">
        <v>15540</v>
      </c>
      <c r="W798" t="s">
        <v>15541</v>
      </c>
      <c r="X798" t="s">
        <v>15542</v>
      </c>
      <c r="Y798" t="s">
        <v>15543</v>
      </c>
      <c r="Z798" t="s">
        <v>15544</v>
      </c>
      <c r="AA798" t="s">
        <v>74</v>
      </c>
      <c r="AB798" t="s">
        <v>15545</v>
      </c>
      <c r="AC798" t="s">
        <v>15546</v>
      </c>
      <c r="AD798" t="s">
        <v>15547</v>
      </c>
      <c r="AE798" t="s">
        <v>15548</v>
      </c>
      <c r="AF798" t="s">
        <v>74</v>
      </c>
      <c r="AG798">
        <v>43</v>
      </c>
      <c r="AH798">
        <v>5</v>
      </c>
      <c r="AI798">
        <v>5</v>
      </c>
      <c r="AJ798">
        <v>5</v>
      </c>
      <c r="AK798">
        <v>12</v>
      </c>
      <c r="AL798" t="s">
        <v>178</v>
      </c>
      <c r="AM798" t="s">
        <v>450</v>
      </c>
      <c r="AN798" t="s">
        <v>668</v>
      </c>
      <c r="AO798" t="s">
        <v>15549</v>
      </c>
      <c r="AP798" t="s">
        <v>15550</v>
      </c>
      <c r="AQ798" t="s">
        <v>74</v>
      </c>
      <c r="AR798" t="s">
        <v>15551</v>
      </c>
      <c r="AS798" t="s">
        <v>126</v>
      </c>
      <c r="AT798" t="s">
        <v>325</v>
      </c>
      <c r="AU798">
        <v>2022</v>
      </c>
      <c r="AV798">
        <v>16</v>
      </c>
      <c r="AW798">
        <v>4</v>
      </c>
      <c r="AX798" t="s">
        <v>74</v>
      </c>
      <c r="AY798" t="s">
        <v>74</v>
      </c>
      <c r="AZ798" t="s">
        <v>74</v>
      </c>
      <c r="BA798" t="s">
        <v>74</v>
      </c>
      <c r="BB798">
        <v>1005</v>
      </c>
      <c r="BC798">
        <v>1024</v>
      </c>
      <c r="BD798" t="s">
        <v>74</v>
      </c>
      <c r="BE798" t="s">
        <v>15552</v>
      </c>
      <c r="BF798" t="str">
        <f>HYPERLINK("http://dx.doi.org/10.1007/s11707-022-0971-8","http://dx.doi.org/10.1007/s11707-022-0971-8")</f>
        <v>http://dx.doi.org/10.1007/s11707-022-0971-8</v>
      </c>
      <c r="BG798" t="s">
        <v>74</v>
      </c>
      <c r="BH798" t="s">
        <v>12326</v>
      </c>
      <c r="BI798">
        <v>20</v>
      </c>
      <c r="BJ798" t="s">
        <v>129</v>
      </c>
      <c r="BK798" t="s">
        <v>100</v>
      </c>
      <c r="BL798" t="s">
        <v>130</v>
      </c>
      <c r="BM798" t="s">
        <v>15553</v>
      </c>
      <c r="BN798" t="s">
        <v>74</v>
      </c>
      <c r="BO798" t="s">
        <v>74</v>
      </c>
      <c r="BP798" t="s">
        <v>74</v>
      </c>
      <c r="BQ798" t="s">
        <v>74</v>
      </c>
      <c r="BR798" t="s">
        <v>103</v>
      </c>
      <c r="BS798" t="s">
        <v>15554</v>
      </c>
      <c r="BT798" t="str">
        <f>HYPERLINK("https%3A%2F%2Fwww.webofscience.com%2Fwos%2Fwoscc%2Ffull-record%2FWOS:000821369700003","View Full Record in Web of Science")</f>
        <v>View Full Record in Web of Science</v>
      </c>
    </row>
    <row r="799" spans="1:72" x14ac:dyDescent="0.15">
      <c r="A799" t="s">
        <v>72</v>
      </c>
      <c r="B799" t="s">
        <v>15555</v>
      </c>
      <c r="C799" t="s">
        <v>74</v>
      </c>
      <c r="D799" t="s">
        <v>74</v>
      </c>
      <c r="E799" t="s">
        <v>74</v>
      </c>
      <c r="F799" t="s">
        <v>15556</v>
      </c>
      <c r="G799" t="s">
        <v>74</v>
      </c>
      <c r="H799" t="s">
        <v>74</v>
      </c>
      <c r="I799" t="s">
        <v>15557</v>
      </c>
      <c r="J799" t="s">
        <v>4756</v>
      </c>
      <c r="K799" t="s">
        <v>74</v>
      </c>
      <c r="L799" t="s">
        <v>74</v>
      </c>
      <c r="M799" t="s">
        <v>78</v>
      </c>
      <c r="N799" t="s">
        <v>79</v>
      </c>
      <c r="O799" t="s">
        <v>74</v>
      </c>
      <c r="P799" t="s">
        <v>74</v>
      </c>
      <c r="Q799" t="s">
        <v>74</v>
      </c>
      <c r="R799" t="s">
        <v>74</v>
      </c>
      <c r="S799" t="s">
        <v>74</v>
      </c>
      <c r="T799" t="s">
        <v>74</v>
      </c>
      <c r="U799" t="s">
        <v>15558</v>
      </c>
      <c r="V799" t="s">
        <v>15559</v>
      </c>
      <c r="W799" t="s">
        <v>15560</v>
      </c>
      <c r="X799" t="s">
        <v>15561</v>
      </c>
      <c r="Y799" t="s">
        <v>15562</v>
      </c>
      <c r="Z799" t="s">
        <v>15563</v>
      </c>
      <c r="AA799" t="s">
        <v>74</v>
      </c>
      <c r="AB799" t="s">
        <v>15564</v>
      </c>
      <c r="AC799" t="s">
        <v>15565</v>
      </c>
      <c r="AD799" t="s">
        <v>15566</v>
      </c>
      <c r="AE799" t="s">
        <v>15567</v>
      </c>
      <c r="AF799" t="s">
        <v>74</v>
      </c>
      <c r="AG799">
        <v>49</v>
      </c>
      <c r="AH799">
        <v>1</v>
      </c>
      <c r="AI799">
        <v>1</v>
      </c>
      <c r="AJ799">
        <v>0</v>
      </c>
      <c r="AK799">
        <v>2</v>
      </c>
      <c r="AL799" t="s">
        <v>2460</v>
      </c>
      <c r="AM799" t="s">
        <v>2461</v>
      </c>
      <c r="AN799" t="s">
        <v>2462</v>
      </c>
      <c r="AO799" t="s">
        <v>4768</v>
      </c>
      <c r="AP799" t="s">
        <v>4769</v>
      </c>
      <c r="AQ799" t="s">
        <v>74</v>
      </c>
      <c r="AR799" t="s">
        <v>4770</v>
      </c>
      <c r="AS799" t="s">
        <v>4771</v>
      </c>
      <c r="AT799" t="s">
        <v>15368</v>
      </c>
      <c r="AU799">
        <v>2022</v>
      </c>
      <c r="AV799">
        <v>18</v>
      </c>
      <c r="AW799">
        <v>4</v>
      </c>
      <c r="AX799" t="s">
        <v>74</v>
      </c>
      <c r="AY799" t="s">
        <v>74</v>
      </c>
      <c r="AZ799" t="s">
        <v>74</v>
      </c>
      <c r="BA799" t="s">
        <v>74</v>
      </c>
      <c r="BB799">
        <v>953</v>
      </c>
      <c r="BC799">
        <v>978</v>
      </c>
      <c r="BD799" t="s">
        <v>74</v>
      </c>
      <c r="BE799" t="s">
        <v>15568</v>
      </c>
      <c r="BF799" t="str">
        <f>HYPERLINK("http://dx.doi.org/10.5194/os-18-953-2022","http://dx.doi.org/10.5194/os-18-953-2022")</f>
        <v>http://dx.doi.org/10.5194/os-18-953-2022</v>
      </c>
      <c r="BG799" t="s">
        <v>74</v>
      </c>
      <c r="BH799" t="s">
        <v>74</v>
      </c>
      <c r="BI799">
        <v>26</v>
      </c>
      <c r="BJ799" t="s">
        <v>1033</v>
      </c>
      <c r="BK799" t="s">
        <v>100</v>
      </c>
      <c r="BL799" t="s">
        <v>1033</v>
      </c>
      <c r="BM799" t="s">
        <v>15569</v>
      </c>
      <c r="BN799" t="s">
        <v>74</v>
      </c>
      <c r="BO799" t="s">
        <v>15570</v>
      </c>
      <c r="BP799" t="s">
        <v>74</v>
      </c>
      <c r="BQ799" t="s">
        <v>74</v>
      </c>
      <c r="BR799" t="s">
        <v>103</v>
      </c>
      <c r="BS799" t="s">
        <v>15571</v>
      </c>
      <c r="BT799" t="str">
        <f>HYPERLINK("https%3A%2F%2Fwww.webofscience.com%2Fwos%2Fwoscc%2Ffull-record%2FWOS:000821042000001","View Full Record in Web of Science")</f>
        <v>View Full Record in Web of Science</v>
      </c>
    </row>
    <row r="800" spans="1:72" x14ac:dyDescent="0.15">
      <c r="A800" t="s">
        <v>72</v>
      </c>
      <c r="B800" t="s">
        <v>15572</v>
      </c>
      <c r="C800" t="s">
        <v>74</v>
      </c>
      <c r="D800" t="s">
        <v>74</v>
      </c>
      <c r="E800" t="s">
        <v>74</v>
      </c>
      <c r="F800" t="s">
        <v>15573</v>
      </c>
      <c r="G800" t="s">
        <v>74</v>
      </c>
      <c r="H800" t="s">
        <v>74</v>
      </c>
      <c r="I800" t="s">
        <v>15574</v>
      </c>
      <c r="J800" t="s">
        <v>15575</v>
      </c>
      <c r="K800" t="s">
        <v>74</v>
      </c>
      <c r="L800" t="s">
        <v>74</v>
      </c>
      <c r="M800" t="s">
        <v>78</v>
      </c>
      <c r="N800" t="s">
        <v>3381</v>
      </c>
      <c r="O800" t="s">
        <v>74</v>
      </c>
      <c r="P800" t="s">
        <v>74</v>
      </c>
      <c r="Q800" t="s">
        <v>74</v>
      </c>
      <c r="R800" t="s">
        <v>74</v>
      </c>
      <c r="S800" t="s">
        <v>74</v>
      </c>
      <c r="T800" t="s">
        <v>74</v>
      </c>
      <c r="U800" t="s">
        <v>15576</v>
      </c>
      <c r="V800" t="s">
        <v>74</v>
      </c>
      <c r="W800" t="s">
        <v>15577</v>
      </c>
      <c r="X800" t="s">
        <v>15578</v>
      </c>
      <c r="Y800" t="s">
        <v>15579</v>
      </c>
      <c r="Z800" t="s">
        <v>15580</v>
      </c>
      <c r="AA800" t="s">
        <v>15581</v>
      </c>
      <c r="AB800" t="s">
        <v>13715</v>
      </c>
      <c r="AC800" t="s">
        <v>74</v>
      </c>
      <c r="AD800" t="s">
        <v>74</v>
      </c>
      <c r="AE800" t="s">
        <v>74</v>
      </c>
      <c r="AF800" t="s">
        <v>74</v>
      </c>
      <c r="AG800">
        <v>5</v>
      </c>
      <c r="AH800">
        <v>0</v>
      </c>
      <c r="AI800">
        <v>0</v>
      </c>
      <c r="AJ800">
        <v>0</v>
      </c>
      <c r="AK800">
        <v>1</v>
      </c>
      <c r="AL800" t="s">
        <v>6126</v>
      </c>
      <c r="AM800" t="s">
        <v>450</v>
      </c>
      <c r="AN800" t="s">
        <v>6127</v>
      </c>
      <c r="AO800" t="s">
        <v>15582</v>
      </c>
      <c r="AP800" t="s">
        <v>74</v>
      </c>
      <c r="AQ800" t="s">
        <v>74</v>
      </c>
      <c r="AR800" t="s">
        <v>15583</v>
      </c>
      <c r="AS800" t="s">
        <v>15584</v>
      </c>
      <c r="AT800" t="s">
        <v>184</v>
      </c>
      <c r="AU800">
        <v>2022</v>
      </c>
      <c r="AV800">
        <v>7</v>
      </c>
      <c r="AW800">
        <v>7</v>
      </c>
      <c r="AX800" t="s">
        <v>74</v>
      </c>
      <c r="AY800" t="s">
        <v>74</v>
      </c>
      <c r="AZ800" t="s">
        <v>74</v>
      </c>
      <c r="BA800" t="s">
        <v>74</v>
      </c>
      <c r="BB800">
        <v>1727</v>
      </c>
      <c r="BC800">
        <v>1728</v>
      </c>
      <c r="BD800" t="s">
        <v>74</v>
      </c>
      <c r="BE800" t="s">
        <v>15585</v>
      </c>
      <c r="BF800" t="str">
        <f>HYPERLINK("http://dx.doi.org/10.1016/j.ekir.2022.04.087","http://dx.doi.org/10.1016/j.ekir.2022.04.087")</f>
        <v>http://dx.doi.org/10.1016/j.ekir.2022.04.087</v>
      </c>
      <c r="BG800" t="s">
        <v>74</v>
      </c>
      <c r="BH800" t="s">
        <v>12326</v>
      </c>
      <c r="BI800">
        <v>2</v>
      </c>
      <c r="BJ800" t="s">
        <v>15586</v>
      </c>
      <c r="BK800" t="s">
        <v>100</v>
      </c>
      <c r="BL800" t="s">
        <v>15586</v>
      </c>
      <c r="BM800" t="s">
        <v>15587</v>
      </c>
      <c r="BN800">
        <v>35812285</v>
      </c>
      <c r="BO800" t="s">
        <v>132</v>
      </c>
      <c r="BP800" t="s">
        <v>74</v>
      </c>
      <c r="BQ800" t="s">
        <v>74</v>
      </c>
      <c r="BR800" t="s">
        <v>103</v>
      </c>
      <c r="BS800" t="s">
        <v>15588</v>
      </c>
      <c r="BT800" t="str">
        <f>HYPERLINK("https%3A%2F%2Fwww.webofscience.com%2Fwos%2Fwoscc%2Ffull-record%2FWOS:000829694600021","View Full Record in Web of Science")</f>
        <v>View Full Record in Web of Science</v>
      </c>
    </row>
    <row r="801" spans="1:72" x14ac:dyDescent="0.15">
      <c r="A801" t="s">
        <v>72</v>
      </c>
      <c r="B801" t="s">
        <v>15589</v>
      </c>
      <c r="C801" t="s">
        <v>74</v>
      </c>
      <c r="D801" t="s">
        <v>74</v>
      </c>
      <c r="E801" t="s">
        <v>74</v>
      </c>
      <c r="F801" t="s">
        <v>15590</v>
      </c>
      <c r="G801" t="s">
        <v>74</v>
      </c>
      <c r="H801" t="s">
        <v>74</v>
      </c>
      <c r="I801" t="s">
        <v>15591</v>
      </c>
      <c r="J801" t="s">
        <v>108</v>
      </c>
      <c r="K801" t="s">
        <v>74</v>
      </c>
      <c r="L801" t="s">
        <v>74</v>
      </c>
      <c r="M801" t="s">
        <v>78</v>
      </c>
      <c r="N801" t="s">
        <v>79</v>
      </c>
      <c r="O801" t="s">
        <v>74</v>
      </c>
      <c r="P801" t="s">
        <v>74</v>
      </c>
      <c r="Q801" t="s">
        <v>74</v>
      </c>
      <c r="R801" t="s">
        <v>74</v>
      </c>
      <c r="S801" t="s">
        <v>74</v>
      </c>
      <c r="T801" t="s">
        <v>15592</v>
      </c>
      <c r="U801" t="s">
        <v>15593</v>
      </c>
      <c r="V801" t="s">
        <v>15594</v>
      </c>
      <c r="W801" t="s">
        <v>15595</v>
      </c>
      <c r="X801" t="s">
        <v>15596</v>
      </c>
      <c r="Y801" t="s">
        <v>15597</v>
      </c>
      <c r="Z801" t="s">
        <v>15598</v>
      </c>
      <c r="AA801" t="s">
        <v>74</v>
      </c>
      <c r="AB801" t="s">
        <v>74</v>
      </c>
      <c r="AC801" t="s">
        <v>74</v>
      </c>
      <c r="AD801" t="s">
        <v>74</v>
      </c>
      <c r="AE801" t="s">
        <v>74</v>
      </c>
      <c r="AF801" t="s">
        <v>74</v>
      </c>
      <c r="AG801">
        <v>35</v>
      </c>
      <c r="AH801">
        <v>1</v>
      </c>
      <c r="AI801">
        <v>1</v>
      </c>
      <c r="AJ801">
        <v>1</v>
      </c>
      <c r="AK801">
        <v>30</v>
      </c>
      <c r="AL801" t="s">
        <v>121</v>
      </c>
      <c r="AM801" t="s">
        <v>122</v>
      </c>
      <c r="AN801" t="s">
        <v>123</v>
      </c>
      <c r="AO801" t="s">
        <v>74</v>
      </c>
      <c r="AP801" t="s">
        <v>124</v>
      </c>
      <c r="AQ801" t="s">
        <v>74</v>
      </c>
      <c r="AR801" t="s">
        <v>125</v>
      </c>
      <c r="AS801" t="s">
        <v>126</v>
      </c>
      <c r="AT801" t="s">
        <v>15599</v>
      </c>
      <c r="AU801">
        <v>2022</v>
      </c>
      <c r="AV801">
        <v>10</v>
      </c>
      <c r="AW801" t="s">
        <v>74</v>
      </c>
      <c r="AX801" t="s">
        <v>74</v>
      </c>
      <c r="AY801" t="s">
        <v>74</v>
      </c>
      <c r="AZ801" t="s">
        <v>74</v>
      </c>
      <c r="BA801" t="s">
        <v>74</v>
      </c>
      <c r="BB801" t="s">
        <v>74</v>
      </c>
      <c r="BC801" t="s">
        <v>74</v>
      </c>
      <c r="BD801">
        <v>920768</v>
      </c>
      <c r="BE801" t="s">
        <v>15600</v>
      </c>
      <c r="BF801" t="str">
        <f>HYPERLINK("http://dx.doi.org/10.3389/feart.2022.920768","http://dx.doi.org/10.3389/feart.2022.920768")</f>
        <v>http://dx.doi.org/10.3389/feart.2022.920768</v>
      </c>
      <c r="BG801" t="s">
        <v>74</v>
      </c>
      <c r="BH801" t="s">
        <v>74</v>
      </c>
      <c r="BI801">
        <v>13</v>
      </c>
      <c r="BJ801" t="s">
        <v>129</v>
      </c>
      <c r="BK801" t="s">
        <v>100</v>
      </c>
      <c r="BL801" t="s">
        <v>130</v>
      </c>
      <c r="BM801" t="s">
        <v>15601</v>
      </c>
      <c r="BN801" t="s">
        <v>74</v>
      </c>
      <c r="BO801" t="s">
        <v>266</v>
      </c>
      <c r="BP801" t="s">
        <v>74</v>
      </c>
      <c r="BQ801" t="s">
        <v>74</v>
      </c>
      <c r="BR801" t="s">
        <v>103</v>
      </c>
      <c r="BS801" t="s">
        <v>15602</v>
      </c>
      <c r="BT801" t="str">
        <f>HYPERLINK("https%3A%2F%2Fwww.webofscience.com%2Fwos%2Fwoscc%2Ffull-record%2FWOS:000828790700001","View Full Record in Web of Science")</f>
        <v>View Full Record in Web of Science</v>
      </c>
    </row>
    <row r="802" spans="1:72" x14ac:dyDescent="0.15">
      <c r="A802" t="s">
        <v>72</v>
      </c>
      <c r="B802" t="s">
        <v>15603</v>
      </c>
      <c r="C802" t="s">
        <v>74</v>
      </c>
      <c r="D802" t="s">
        <v>74</v>
      </c>
      <c r="E802" t="s">
        <v>74</v>
      </c>
      <c r="F802" t="s">
        <v>15604</v>
      </c>
      <c r="G802" t="s">
        <v>74</v>
      </c>
      <c r="H802" t="s">
        <v>74</v>
      </c>
      <c r="I802" t="s">
        <v>15605</v>
      </c>
      <c r="J802" t="s">
        <v>137</v>
      </c>
      <c r="K802" t="s">
        <v>74</v>
      </c>
      <c r="L802" t="s">
        <v>74</v>
      </c>
      <c r="M802" t="s">
        <v>78</v>
      </c>
      <c r="N802" t="s">
        <v>79</v>
      </c>
      <c r="O802" t="s">
        <v>74</v>
      </c>
      <c r="P802" t="s">
        <v>74</v>
      </c>
      <c r="Q802" t="s">
        <v>74</v>
      </c>
      <c r="R802" t="s">
        <v>74</v>
      </c>
      <c r="S802" t="s">
        <v>74</v>
      </c>
      <c r="T802" t="s">
        <v>74</v>
      </c>
      <c r="U802" t="s">
        <v>15606</v>
      </c>
      <c r="V802" t="s">
        <v>15607</v>
      </c>
      <c r="W802" t="s">
        <v>15608</v>
      </c>
      <c r="X802" t="s">
        <v>15609</v>
      </c>
      <c r="Y802" t="s">
        <v>15610</v>
      </c>
      <c r="Z802" t="s">
        <v>15611</v>
      </c>
      <c r="AA802" t="s">
        <v>15612</v>
      </c>
      <c r="AB802" t="s">
        <v>15613</v>
      </c>
      <c r="AC802" t="s">
        <v>15614</v>
      </c>
      <c r="AD802" t="s">
        <v>15615</v>
      </c>
      <c r="AE802" t="s">
        <v>15616</v>
      </c>
      <c r="AF802" t="s">
        <v>74</v>
      </c>
      <c r="AG802">
        <v>76</v>
      </c>
      <c r="AH802">
        <v>14</v>
      </c>
      <c r="AI802">
        <v>16</v>
      </c>
      <c r="AJ802">
        <v>11</v>
      </c>
      <c r="AK802">
        <v>51</v>
      </c>
      <c r="AL802" t="s">
        <v>149</v>
      </c>
      <c r="AM802" t="s">
        <v>150</v>
      </c>
      <c r="AN802" t="s">
        <v>151</v>
      </c>
      <c r="AO802" t="s">
        <v>74</v>
      </c>
      <c r="AP802" t="s">
        <v>152</v>
      </c>
      <c r="AQ802" t="s">
        <v>74</v>
      </c>
      <c r="AR802" t="s">
        <v>153</v>
      </c>
      <c r="AS802" t="s">
        <v>154</v>
      </c>
      <c r="AT802" t="s">
        <v>15599</v>
      </c>
      <c r="AU802">
        <v>2022</v>
      </c>
      <c r="AV802">
        <v>13</v>
      </c>
      <c r="AW802">
        <v>1</v>
      </c>
      <c r="AX802" t="s">
        <v>74</v>
      </c>
      <c r="AY802" t="s">
        <v>74</v>
      </c>
      <c r="AZ802" t="s">
        <v>74</v>
      </c>
      <c r="BA802" t="s">
        <v>74</v>
      </c>
      <c r="BB802" t="s">
        <v>74</v>
      </c>
      <c r="BC802" t="s">
        <v>74</v>
      </c>
      <c r="BD802">
        <v>3530</v>
      </c>
      <c r="BE802" t="s">
        <v>15617</v>
      </c>
      <c r="BF802" t="str">
        <f>HYPERLINK("http://dx.doi.org/10.1038/s41467-022-30991-4","http://dx.doi.org/10.1038/s41467-022-30991-4")</f>
        <v>http://dx.doi.org/10.1038/s41467-022-30991-4</v>
      </c>
      <c r="BG802" t="s">
        <v>74</v>
      </c>
      <c r="BH802" t="s">
        <v>74</v>
      </c>
      <c r="BI802">
        <v>11</v>
      </c>
      <c r="BJ802" t="s">
        <v>156</v>
      </c>
      <c r="BK802" t="s">
        <v>100</v>
      </c>
      <c r="BL802" t="s">
        <v>157</v>
      </c>
      <c r="BM802" t="s">
        <v>15618</v>
      </c>
      <c r="BN802">
        <v>35790744</v>
      </c>
      <c r="BO802" t="s">
        <v>15619</v>
      </c>
      <c r="BP802" t="s">
        <v>74</v>
      </c>
      <c r="BQ802" t="s">
        <v>74</v>
      </c>
      <c r="BR802" t="s">
        <v>103</v>
      </c>
      <c r="BS802" t="s">
        <v>15620</v>
      </c>
      <c r="BT802" t="str">
        <f>HYPERLINK("https%3A%2F%2Fwww.webofscience.com%2Fwos%2Fwoscc%2Ffull-record%2FWOS:000821901200014","View Full Record in Web of Science")</f>
        <v>View Full Record in Web of Science</v>
      </c>
    </row>
    <row r="803" spans="1:72" x14ac:dyDescent="0.15">
      <c r="A803" t="s">
        <v>72</v>
      </c>
      <c r="B803" t="s">
        <v>15621</v>
      </c>
      <c r="C803" t="s">
        <v>74</v>
      </c>
      <c r="D803" t="s">
        <v>74</v>
      </c>
      <c r="E803" t="s">
        <v>74</v>
      </c>
      <c r="F803" t="s">
        <v>15622</v>
      </c>
      <c r="G803" t="s">
        <v>74</v>
      </c>
      <c r="H803" t="s">
        <v>74</v>
      </c>
      <c r="I803" t="s">
        <v>15623</v>
      </c>
      <c r="J803" t="s">
        <v>271</v>
      </c>
      <c r="K803" t="s">
        <v>74</v>
      </c>
      <c r="L803" t="s">
        <v>74</v>
      </c>
      <c r="M803" t="s">
        <v>78</v>
      </c>
      <c r="N803" t="s">
        <v>79</v>
      </c>
      <c r="O803" t="s">
        <v>74</v>
      </c>
      <c r="P803" t="s">
        <v>74</v>
      </c>
      <c r="Q803" t="s">
        <v>74</v>
      </c>
      <c r="R803" t="s">
        <v>74</v>
      </c>
      <c r="S803" t="s">
        <v>74</v>
      </c>
      <c r="T803" t="s">
        <v>74</v>
      </c>
      <c r="U803" t="s">
        <v>15624</v>
      </c>
      <c r="V803" t="s">
        <v>15625</v>
      </c>
      <c r="W803" t="s">
        <v>15626</v>
      </c>
      <c r="X803" t="s">
        <v>15627</v>
      </c>
      <c r="Y803" t="s">
        <v>15628</v>
      </c>
      <c r="Z803" t="s">
        <v>15629</v>
      </c>
      <c r="AA803" t="s">
        <v>15630</v>
      </c>
      <c r="AB803" t="s">
        <v>15631</v>
      </c>
      <c r="AC803" t="s">
        <v>15632</v>
      </c>
      <c r="AD803" t="s">
        <v>15633</v>
      </c>
      <c r="AE803" t="s">
        <v>15634</v>
      </c>
      <c r="AF803" t="s">
        <v>74</v>
      </c>
      <c r="AG803">
        <v>94</v>
      </c>
      <c r="AH803">
        <v>12</v>
      </c>
      <c r="AI803">
        <v>12</v>
      </c>
      <c r="AJ803">
        <v>1</v>
      </c>
      <c r="AK803">
        <v>6</v>
      </c>
      <c r="AL803" t="s">
        <v>149</v>
      </c>
      <c r="AM803" t="s">
        <v>150</v>
      </c>
      <c r="AN803" t="s">
        <v>151</v>
      </c>
      <c r="AO803" t="s">
        <v>283</v>
      </c>
      <c r="AP803" t="s">
        <v>74</v>
      </c>
      <c r="AQ803" t="s">
        <v>74</v>
      </c>
      <c r="AR803" t="s">
        <v>284</v>
      </c>
      <c r="AS803" t="s">
        <v>285</v>
      </c>
      <c r="AT803" t="s">
        <v>15599</v>
      </c>
      <c r="AU803">
        <v>2022</v>
      </c>
      <c r="AV803">
        <v>12</v>
      </c>
      <c r="AW803">
        <v>1</v>
      </c>
      <c r="AX803" t="s">
        <v>74</v>
      </c>
      <c r="AY803" t="s">
        <v>74</v>
      </c>
      <c r="AZ803" t="s">
        <v>74</v>
      </c>
      <c r="BA803" t="s">
        <v>74</v>
      </c>
      <c r="BB803" t="s">
        <v>74</v>
      </c>
      <c r="BC803" t="s">
        <v>74</v>
      </c>
      <c r="BD803">
        <v>11332</v>
      </c>
      <c r="BE803" t="s">
        <v>15635</v>
      </c>
      <c r="BF803" t="str">
        <f>HYPERLINK("http://dx.doi.org/10.1038/s41598-022-15442-w","http://dx.doi.org/10.1038/s41598-022-15442-w")</f>
        <v>http://dx.doi.org/10.1038/s41598-022-15442-w</v>
      </c>
      <c r="BG803" t="s">
        <v>74</v>
      </c>
      <c r="BH803" t="s">
        <v>74</v>
      </c>
      <c r="BI803">
        <v>14</v>
      </c>
      <c r="BJ803" t="s">
        <v>156</v>
      </c>
      <c r="BK803" t="s">
        <v>100</v>
      </c>
      <c r="BL803" t="s">
        <v>157</v>
      </c>
      <c r="BM803" t="s">
        <v>15636</v>
      </c>
      <c r="BN803">
        <v>35790799</v>
      </c>
      <c r="BO803" t="s">
        <v>132</v>
      </c>
      <c r="BP803" t="s">
        <v>74</v>
      </c>
      <c r="BQ803" t="s">
        <v>74</v>
      </c>
      <c r="BR803" t="s">
        <v>103</v>
      </c>
      <c r="BS803" t="s">
        <v>15637</v>
      </c>
      <c r="BT803" t="str">
        <f>HYPERLINK("https%3A%2F%2Fwww.webofscience.com%2Fwos%2Fwoscc%2Ffull-record%2FWOS:000821221500027","View Full Record in Web of Science")</f>
        <v>View Full Record in Web of Science</v>
      </c>
    </row>
    <row r="804" spans="1:72" x14ac:dyDescent="0.15">
      <c r="A804" t="s">
        <v>72</v>
      </c>
      <c r="B804" t="s">
        <v>15638</v>
      </c>
      <c r="C804" t="s">
        <v>74</v>
      </c>
      <c r="D804" t="s">
        <v>74</v>
      </c>
      <c r="E804" t="s">
        <v>74</v>
      </c>
      <c r="F804" t="s">
        <v>15639</v>
      </c>
      <c r="G804" t="s">
        <v>74</v>
      </c>
      <c r="H804" t="s">
        <v>74</v>
      </c>
      <c r="I804" t="s">
        <v>15640</v>
      </c>
      <c r="J804" t="s">
        <v>15641</v>
      </c>
      <c r="K804" t="s">
        <v>74</v>
      </c>
      <c r="L804" t="s">
        <v>74</v>
      </c>
      <c r="M804" t="s">
        <v>78</v>
      </c>
      <c r="N804" t="s">
        <v>79</v>
      </c>
      <c r="O804" t="s">
        <v>74</v>
      </c>
      <c r="P804" t="s">
        <v>74</v>
      </c>
      <c r="Q804" t="s">
        <v>74</v>
      </c>
      <c r="R804" t="s">
        <v>74</v>
      </c>
      <c r="S804" t="s">
        <v>74</v>
      </c>
      <c r="T804" t="s">
        <v>15642</v>
      </c>
      <c r="U804" t="s">
        <v>15643</v>
      </c>
      <c r="V804" t="s">
        <v>15644</v>
      </c>
      <c r="W804" t="s">
        <v>15645</v>
      </c>
      <c r="X804" t="s">
        <v>15646</v>
      </c>
      <c r="Y804" t="s">
        <v>15647</v>
      </c>
      <c r="Z804" t="s">
        <v>15648</v>
      </c>
      <c r="AA804" t="s">
        <v>15649</v>
      </c>
      <c r="AB804" t="s">
        <v>15650</v>
      </c>
      <c r="AC804" t="s">
        <v>74</v>
      </c>
      <c r="AD804" t="s">
        <v>74</v>
      </c>
      <c r="AE804" t="s">
        <v>74</v>
      </c>
      <c r="AF804" t="s">
        <v>74</v>
      </c>
      <c r="AG804">
        <v>251</v>
      </c>
      <c r="AH804">
        <v>14</v>
      </c>
      <c r="AI804">
        <v>15</v>
      </c>
      <c r="AJ804">
        <v>3</v>
      </c>
      <c r="AK804">
        <v>8</v>
      </c>
      <c r="AL804" t="s">
        <v>15651</v>
      </c>
      <c r="AM804" t="s">
        <v>15652</v>
      </c>
      <c r="AN804" t="s">
        <v>15653</v>
      </c>
      <c r="AO804" t="s">
        <v>15654</v>
      </c>
      <c r="AP804" t="s">
        <v>15655</v>
      </c>
      <c r="AQ804" t="s">
        <v>74</v>
      </c>
      <c r="AR804" t="s">
        <v>15641</v>
      </c>
      <c r="AS804" t="s">
        <v>15656</v>
      </c>
      <c r="AT804" t="s">
        <v>11575</v>
      </c>
      <c r="AU804">
        <v>2022</v>
      </c>
      <c r="AV804">
        <v>22</v>
      </c>
      <c r="AW804">
        <v>8</v>
      </c>
      <c r="AX804" t="s">
        <v>74</v>
      </c>
      <c r="AY804" t="s">
        <v>74</v>
      </c>
      <c r="AZ804" t="s">
        <v>74</v>
      </c>
      <c r="BA804" t="s">
        <v>74</v>
      </c>
      <c r="BB804">
        <v>937</v>
      </c>
      <c r="BC804">
        <v>961</v>
      </c>
      <c r="BD804" t="s">
        <v>74</v>
      </c>
      <c r="BE804" t="s">
        <v>15657</v>
      </c>
      <c r="BF804" t="str">
        <f>HYPERLINK("http://dx.doi.org/10.1089/ast.2021.0044","http://dx.doi.org/10.1089/ast.2021.0044")</f>
        <v>http://dx.doi.org/10.1089/ast.2021.0044</v>
      </c>
      <c r="BG804" t="s">
        <v>74</v>
      </c>
      <c r="BH804" t="s">
        <v>12326</v>
      </c>
      <c r="BI804">
        <v>25</v>
      </c>
      <c r="BJ804" t="s">
        <v>8136</v>
      </c>
      <c r="BK804" t="s">
        <v>100</v>
      </c>
      <c r="BL804" t="s">
        <v>8137</v>
      </c>
      <c r="BM804" t="s">
        <v>15658</v>
      </c>
      <c r="BN804">
        <v>35787145</v>
      </c>
      <c r="BO804" t="s">
        <v>74</v>
      </c>
      <c r="BP804" t="s">
        <v>74</v>
      </c>
      <c r="BQ804" t="s">
        <v>74</v>
      </c>
      <c r="BR804" t="s">
        <v>103</v>
      </c>
      <c r="BS804" t="s">
        <v>15659</v>
      </c>
      <c r="BT804" t="str">
        <f>HYPERLINK("https%3A%2F%2Fwww.webofscience.com%2Fwos%2Fwoscc%2Ffull-record%2FWOS:000820892700001","View Full Record in Web of Science")</f>
        <v>View Full Record in Web of Science</v>
      </c>
    </row>
    <row r="805" spans="1:72" x14ac:dyDescent="0.15">
      <c r="A805" t="s">
        <v>72</v>
      </c>
      <c r="B805" t="s">
        <v>15660</v>
      </c>
      <c r="C805" t="s">
        <v>74</v>
      </c>
      <c r="D805" t="s">
        <v>74</v>
      </c>
      <c r="E805" t="s">
        <v>74</v>
      </c>
      <c r="F805" t="s">
        <v>15661</v>
      </c>
      <c r="G805" t="s">
        <v>74</v>
      </c>
      <c r="H805" t="s">
        <v>74</v>
      </c>
      <c r="I805" t="s">
        <v>15662</v>
      </c>
      <c r="J805" t="s">
        <v>10617</v>
      </c>
      <c r="K805" t="s">
        <v>74</v>
      </c>
      <c r="L805" t="s">
        <v>74</v>
      </c>
      <c r="M805" t="s">
        <v>78</v>
      </c>
      <c r="N805" t="s">
        <v>79</v>
      </c>
      <c r="O805" t="s">
        <v>74</v>
      </c>
      <c r="P805" t="s">
        <v>74</v>
      </c>
      <c r="Q805" t="s">
        <v>74</v>
      </c>
      <c r="R805" t="s">
        <v>74</v>
      </c>
      <c r="S805" t="s">
        <v>74</v>
      </c>
      <c r="T805" t="s">
        <v>74</v>
      </c>
      <c r="U805" t="s">
        <v>15663</v>
      </c>
      <c r="V805" t="s">
        <v>15664</v>
      </c>
      <c r="W805" t="s">
        <v>15665</v>
      </c>
      <c r="X805" t="s">
        <v>15666</v>
      </c>
      <c r="Y805" t="s">
        <v>15667</v>
      </c>
      <c r="Z805" t="s">
        <v>15668</v>
      </c>
      <c r="AA805" t="s">
        <v>15669</v>
      </c>
      <c r="AB805" t="s">
        <v>15670</v>
      </c>
      <c r="AC805" t="s">
        <v>15671</v>
      </c>
      <c r="AD805" t="s">
        <v>15672</v>
      </c>
      <c r="AE805" t="s">
        <v>15673</v>
      </c>
      <c r="AF805" t="s">
        <v>74</v>
      </c>
      <c r="AG805">
        <v>63</v>
      </c>
      <c r="AH805">
        <v>2</v>
      </c>
      <c r="AI805">
        <v>3</v>
      </c>
      <c r="AJ805">
        <v>2</v>
      </c>
      <c r="AK805">
        <v>5</v>
      </c>
      <c r="AL805" t="s">
        <v>231</v>
      </c>
      <c r="AM805" t="s">
        <v>232</v>
      </c>
      <c r="AN805" t="s">
        <v>233</v>
      </c>
      <c r="AO805" t="s">
        <v>10630</v>
      </c>
      <c r="AP805" t="s">
        <v>10631</v>
      </c>
      <c r="AQ805" t="s">
        <v>74</v>
      </c>
      <c r="AR805" t="s">
        <v>10632</v>
      </c>
      <c r="AS805" t="s">
        <v>10633</v>
      </c>
      <c r="AT805" t="s">
        <v>184</v>
      </c>
      <c r="AU805">
        <v>2022</v>
      </c>
      <c r="AV805">
        <v>37</v>
      </c>
      <c r="AW805">
        <v>5</v>
      </c>
      <c r="AX805" t="s">
        <v>74</v>
      </c>
      <c r="AY805" t="s">
        <v>74</v>
      </c>
      <c r="AZ805" t="s">
        <v>186</v>
      </c>
      <c r="BA805" t="s">
        <v>74</v>
      </c>
      <c r="BB805">
        <v>721</v>
      </c>
      <c r="BC805">
        <v>728</v>
      </c>
      <c r="BD805" t="s">
        <v>74</v>
      </c>
      <c r="BE805" t="s">
        <v>15674</v>
      </c>
      <c r="BF805" t="str">
        <f>HYPERLINK("http://dx.doi.org/10.1002/jqs.3456","http://dx.doi.org/10.1002/jqs.3456")</f>
        <v>http://dx.doi.org/10.1002/jqs.3456</v>
      </c>
      <c r="BG805" t="s">
        <v>74</v>
      </c>
      <c r="BH805" t="s">
        <v>12326</v>
      </c>
      <c r="BI805">
        <v>8</v>
      </c>
      <c r="BJ805" t="s">
        <v>354</v>
      </c>
      <c r="BK805" t="s">
        <v>100</v>
      </c>
      <c r="BL805" t="s">
        <v>241</v>
      </c>
      <c r="BM805" t="s">
        <v>15675</v>
      </c>
      <c r="BN805" t="s">
        <v>74</v>
      </c>
      <c r="BO805" t="s">
        <v>831</v>
      </c>
      <c r="BP805" t="s">
        <v>74</v>
      </c>
      <c r="BQ805" t="s">
        <v>74</v>
      </c>
      <c r="BR805" t="s">
        <v>103</v>
      </c>
      <c r="BS805" t="s">
        <v>15676</v>
      </c>
      <c r="BT805" t="str">
        <f>HYPERLINK("https%3A%2F%2Fwww.webofscience.com%2Fwos%2Fwoscc%2Ffull-record%2FWOS:000820741200001","View Full Record in Web of Science")</f>
        <v>View Full Record in Web of Science</v>
      </c>
    </row>
    <row r="806" spans="1:72" x14ac:dyDescent="0.15">
      <c r="A806" t="s">
        <v>72</v>
      </c>
      <c r="B806" t="s">
        <v>15677</v>
      </c>
      <c r="C806" t="s">
        <v>74</v>
      </c>
      <c r="D806" t="s">
        <v>74</v>
      </c>
      <c r="E806" t="s">
        <v>74</v>
      </c>
      <c r="F806" t="s">
        <v>15678</v>
      </c>
      <c r="G806" t="s">
        <v>74</v>
      </c>
      <c r="H806" t="s">
        <v>74</v>
      </c>
      <c r="I806" t="s">
        <v>15679</v>
      </c>
      <c r="J806" t="s">
        <v>15680</v>
      </c>
      <c r="K806" t="s">
        <v>74</v>
      </c>
      <c r="L806" t="s">
        <v>74</v>
      </c>
      <c r="M806" t="s">
        <v>78</v>
      </c>
      <c r="N806" t="s">
        <v>79</v>
      </c>
      <c r="O806" t="s">
        <v>74</v>
      </c>
      <c r="P806" t="s">
        <v>74</v>
      </c>
      <c r="Q806" t="s">
        <v>74</v>
      </c>
      <c r="R806" t="s">
        <v>74</v>
      </c>
      <c r="S806" t="s">
        <v>74</v>
      </c>
      <c r="T806" t="s">
        <v>15681</v>
      </c>
      <c r="U806" t="s">
        <v>15682</v>
      </c>
      <c r="V806" t="s">
        <v>15683</v>
      </c>
      <c r="W806" t="s">
        <v>15684</v>
      </c>
      <c r="X806" t="s">
        <v>15685</v>
      </c>
      <c r="Y806" t="s">
        <v>15686</v>
      </c>
      <c r="Z806" t="s">
        <v>15687</v>
      </c>
      <c r="AA806" t="s">
        <v>15688</v>
      </c>
      <c r="AB806" t="s">
        <v>15689</v>
      </c>
      <c r="AC806" t="s">
        <v>15690</v>
      </c>
      <c r="AD806" t="s">
        <v>15691</v>
      </c>
      <c r="AE806" t="s">
        <v>15692</v>
      </c>
      <c r="AF806" t="s">
        <v>74</v>
      </c>
      <c r="AG806">
        <v>58</v>
      </c>
      <c r="AH806">
        <v>5</v>
      </c>
      <c r="AI806">
        <v>5</v>
      </c>
      <c r="AJ806">
        <v>1</v>
      </c>
      <c r="AK806">
        <v>1</v>
      </c>
      <c r="AL806" t="s">
        <v>121</v>
      </c>
      <c r="AM806" t="s">
        <v>122</v>
      </c>
      <c r="AN806" t="s">
        <v>123</v>
      </c>
      <c r="AO806" t="s">
        <v>74</v>
      </c>
      <c r="AP806" t="s">
        <v>15693</v>
      </c>
      <c r="AQ806" t="s">
        <v>74</v>
      </c>
      <c r="AR806" t="s">
        <v>15694</v>
      </c>
      <c r="AS806" t="s">
        <v>15695</v>
      </c>
      <c r="AT806" t="s">
        <v>15599</v>
      </c>
      <c r="AU806">
        <v>2022</v>
      </c>
      <c r="AV806">
        <v>3</v>
      </c>
      <c r="AW806" t="s">
        <v>74</v>
      </c>
      <c r="AX806" t="s">
        <v>74</v>
      </c>
      <c r="AY806" t="s">
        <v>74</v>
      </c>
      <c r="AZ806" t="s">
        <v>74</v>
      </c>
      <c r="BA806" t="s">
        <v>74</v>
      </c>
      <c r="BB806" t="s">
        <v>74</v>
      </c>
      <c r="BC806" t="s">
        <v>74</v>
      </c>
      <c r="BD806">
        <v>839417</v>
      </c>
      <c r="BE806" t="s">
        <v>15696</v>
      </c>
      <c r="BF806" t="str">
        <f>HYPERLINK("http://dx.doi.org/10.3389/frsen.2022.839417","http://dx.doi.org/10.3389/frsen.2022.839417")</f>
        <v>http://dx.doi.org/10.3389/frsen.2022.839417</v>
      </c>
      <c r="BG806" t="s">
        <v>74</v>
      </c>
      <c r="BH806" t="s">
        <v>74</v>
      </c>
      <c r="BI806">
        <v>18</v>
      </c>
      <c r="BJ806" t="s">
        <v>15697</v>
      </c>
      <c r="BK806" t="s">
        <v>215</v>
      </c>
      <c r="BL806" t="s">
        <v>15697</v>
      </c>
      <c r="BM806" t="s">
        <v>15698</v>
      </c>
      <c r="BN806" t="s">
        <v>74</v>
      </c>
      <c r="BO806" t="s">
        <v>159</v>
      </c>
      <c r="BP806" t="s">
        <v>74</v>
      </c>
      <c r="BQ806" t="s">
        <v>74</v>
      </c>
      <c r="BR806" t="s">
        <v>103</v>
      </c>
      <c r="BS806" t="s">
        <v>15699</v>
      </c>
      <c r="BT806" t="str">
        <f>HYPERLINK("https%3A%2F%2Fwww.webofscience.com%2Fwos%2Fwoscc%2Ffull-record%2FWOS:001065864000001","View Full Record in Web of Science")</f>
        <v>View Full Record in Web of Science</v>
      </c>
    </row>
    <row r="807" spans="1:72" x14ac:dyDescent="0.15">
      <c r="A807" t="s">
        <v>72</v>
      </c>
      <c r="B807" t="s">
        <v>15700</v>
      </c>
      <c r="C807" t="s">
        <v>74</v>
      </c>
      <c r="D807" t="s">
        <v>74</v>
      </c>
      <c r="E807" t="s">
        <v>74</v>
      </c>
      <c r="F807" t="s">
        <v>15701</v>
      </c>
      <c r="G807" t="s">
        <v>74</v>
      </c>
      <c r="H807" t="s">
        <v>74</v>
      </c>
      <c r="I807" t="s">
        <v>15702</v>
      </c>
      <c r="J807" t="s">
        <v>3465</v>
      </c>
      <c r="K807" t="s">
        <v>74</v>
      </c>
      <c r="L807" t="s">
        <v>74</v>
      </c>
      <c r="M807" t="s">
        <v>78</v>
      </c>
      <c r="N807" t="s">
        <v>79</v>
      </c>
      <c r="O807" t="s">
        <v>74</v>
      </c>
      <c r="P807" t="s">
        <v>74</v>
      </c>
      <c r="Q807" t="s">
        <v>74</v>
      </c>
      <c r="R807" t="s">
        <v>74</v>
      </c>
      <c r="S807" t="s">
        <v>74</v>
      </c>
      <c r="T807" t="s">
        <v>15703</v>
      </c>
      <c r="U807" t="s">
        <v>15704</v>
      </c>
      <c r="V807" t="s">
        <v>15705</v>
      </c>
      <c r="W807" t="s">
        <v>15706</v>
      </c>
      <c r="X807" t="s">
        <v>15707</v>
      </c>
      <c r="Y807" t="s">
        <v>15708</v>
      </c>
      <c r="Z807" t="s">
        <v>15709</v>
      </c>
      <c r="AA807" t="s">
        <v>74</v>
      </c>
      <c r="AB807" t="s">
        <v>74</v>
      </c>
      <c r="AC807" t="s">
        <v>15710</v>
      </c>
      <c r="AD807" t="s">
        <v>15711</v>
      </c>
      <c r="AE807" t="s">
        <v>15712</v>
      </c>
      <c r="AF807" t="s">
        <v>74</v>
      </c>
      <c r="AG807">
        <v>81</v>
      </c>
      <c r="AH807">
        <v>0</v>
      </c>
      <c r="AI807">
        <v>0</v>
      </c>
      <c r="AJ807">
        <v>0</v>
      </c>
      <c r="AK807">
        <v>5</v>
      </c>
      <c r="AL807" t="s">
        <v>3478</v>
      </c>
      <c r="AM807" t="s">
        <v>2774</v>
      </c>
      <c r="AN807" t="s">
        <v>3479</v>
      </c>
      <c r="AO807" t="s">
        <v>3480</v>
      </c>
      <c r="AP807" t="s">
        <v>74</v>
      </c>
      <c r="AQ807" t="s">
        <v>74</v>
      </c>
      <c r="AR807" t="s">
        <v>3465</v>
      </c>
      <c r="AS807" t="s">
        <v>3481</v>
      </c>
      <c r="AT807" t="s">
        <v>15713</v>
      </c>
      <c r="AU807">
        <v>2022</v>
      </c>
      <c r="AV807">
        <v>10</v>
      </c>
      <c r="AW807" t="s">
        <v>74</v>
      </c>
      <c r="AX807" t="s">
        <v>74</v>
      </c>
      <c r="AY807" t="s">
        <v>74</v>
      </c>
      <c r="AZ807" t="s">
        <v>74</v>
      </c>
      <c r="BA807" t="s">
        <v>74</v>
      </c>
      <c r="BB807" t="s">
        <v>74</v>
      </c>
      <c r="BC807" t="s">
        <v>74</v>
      </c>
      <c r="BD807" t="s">
        <v>15714</v>
      </c>
      <c r="BE807" t="s">
        <v>15715</v>
      </c>
      <c r="BF807" t="str">
        <f>HYPERLINK("http://dx.doi.org/10.7717/peerj.13624","http://dx.doi.org/10.7717/peerj.13624")</f>
        <v>http://dx.doi.org/10.7717/peerj.13624</v>
      </c>
      <c r="BG807" t="s">
        <v>74</v>
      </c>
      <c r="BH807" t="s">
        <v>74</v>
      </c>
      <c r="BI807">
        <v>31</v>
      </c>
      <c r="BJ807" t="s">
        <v>156</v>
      </c>
      <c r="BK807" t="s">
        <v>100</v>
      </c>
      <c r="BL807" t="s">
        <v>157</v>
      </c>
      <c r="BM807" t="s">
        <v>15716</v>
      </c>
      <c r="BN807">
        <v>35811820</v>
      </c>
      <c r="BO807" t="s">
        <v>132</v>
      </c>
      <c r="BP807" t="s">
        <v>74</v>
      </c>
      <c r="BQ807" t="s">
        <v>74</v>
      </c>
      <c r="BR807" t="s">
        <v>103</v>
      </c>
      <c r="BS807" t="s">
        <v>15717</v>
      </c>
      <c r="BT807" t="str">
        <f>HYPERLINK("https%3A%2F%2Fwww.webofscience.com%2Fwos%2Fwoscc%2Ffull-record%2FWOS:000867645500003","View Full Record in Web of Science")</f>
        <v>View Full Record in Web of Science</v>
      </c>
    </row>
    <row r="808" spans="1:72" x14ac:dyDescent="0.15">
      <c r="A808" t="s">
        <v>72</v>
      </c>
      <c r="B808" t="s">
        <v>15718</v>
      </c>
      <c r="C808" t="s">
        <v>74</v>
      </c>
      <c r="D808" t="s">
        <v>74</v>
      </c>
      <c r="E808" t="s">
        <v>74</v>
      </c>
      <c r="F808" t="s">
        <v>15719</v>
      </c>
      <c r="G808" t="s">
        <v>74</v>
      </c>
      <c r="H808" t="s">
        <v>74</v>
      </c>
      <c r="I808" t="s">
        <v>15720</v>
      </c>
      <c r="J808" t="s">
        <v>3770</v>
      </c>
      <c r="K808" t="s">
        <v>74</v>
      </c>
      <c r="L808" t="s">
        <v>74</v>
      </c>
      <c r="M808" t="s">
        <v>78</v>
      </c>
      <c r="N808" t="s">
        <v>79</v>
      </c>
      <c r="O808" t="s">
        <v>74</v>
      </c>
      <c r="P808" t="s">
        <v>74</v>
      </c>
      <c r="Q808" t="s">
        <v>74</v>
      </c>
      <c r="R808" t="s">
        <v>74</v>
      </c>
      <c r="S808" t="s">
        <v>74</v>
      </c>
      <c r="T808" t="s">
        <v>15721</v>
      </c>
      <c r="U808" t="s">
        <v>15722</v>
      </c>
      <c r="V808" t="s">
        <v>15723</v>
      </c>
      <c r="W808" t="s">
        <v>15724</v>
      </c>
      <c r="X808" t="s">
        <v>15725</v>
      </c>
      <c r="Y808" t="s">
        <v>15726</v>
      </c>
      <c r="Z808" t="s">
        <v>15727</v>
      </c>
      <c r="AA808" t="s">
        <v>15728</v>
      </c>
      <c r="AB808" t="s">
        <v>15729</v>
      </c>
      <c r="AC808" t="s">
        <v>74</v>
      </c>
      <c r="AD808" t="s">
        <v>74</v>
      </c>
      <c r="AE808" t="s">
        <v>74</v>
      </c>
      <c r="AF808" t="s">
        <v>74</v>
      </c>
      <c r="AG808">
        <v>147</v>
      </c>
      <c r="AH808">
        <v>21</v>
      </c>
      <c r="AI808">
        <v>21</v>
      </c>
      <c r="AJ808">
        <v>6</v>
      </c>
      <c r="AK808">
        <v>35</v>
      </c>
      <c r="AL808" t="s">
        <v>2249</v>
      </c>
      <c r="AM808" t="s">
        <v>90</v>
      </c>
      <c r="AN808" t="s">
        <v>2250</v>
      </c>
      <c r="AO808" t="s">
        <v>3780</v>
      </c>
      <c r="AP808" t="s">
        <v>3781</v>
      </c>
      <c r="AQ808" t="s">
        <v>74</v>
      </c>
      <c r="AR808" t="s">
        <v>3782</v>
      </c>
      <c r="AS808" t="s">
        <v>3783</v>
      </c>
      <c r="AT808" t="s">
        <v>5386</v>
      </c>
      <c r="AU808">
        <v>2022</v>
      </c>
      <c r="AV808">
        <v>272</v>
      </c>
      <c r="AW808" t="s">
        <v>74</v>
      </c>
      <c r="AX808" t="s">
        <v>74</v>
      </c>
      <c r="AY808" t="s">
        <v>74</v>
      </c>
      <c r="AZ808" t="s">
        <v>74</v>
      </c>
      <c r="BA808" t="s">
        <v>74</v>
      </c>
      <c r="BB808" t="s">
        <v>74</v>
      </c>
      <c r="BC808" t="s">
        <v>74</v>
      </c>
      <c r="BD808">
        <v>109655</v>
      </c>
      <c r="BE808" t="s">
        <v>15730</v>
      </c>
      <c r="BF808" t="str">
        <f>HYPERLINK("http://dx.doi.org/10.1016/j.biocon.2022.109655","http://dx.doi.org/10.1016/j.biocon.2022.109655")</f>
        <v>http://dx.doi.org/10.1016/j.biocon.2022.109655</v>
      </c>
      <c r="BG808" t="s">
        <v>74</v>
      </c>
      <c r="BH808" t="s">
        <v>12326</v>
      </c>
      <c r="BI808">
        <v>7</v>
      </c>
      <c r="BJ808" t="s">
        <v>3785</v>
      </c>
      <c r="BK808" t="s">
        <v>100</v>
      </c>
      <c r="BL808" t="s">
        <v>1170</v>
      </c>
      <c r="BM808" t="s">
        <v>15731</v>
      </c>
      <c r="BN808" t="s">
        <v>74</v>
      </c>
      <c r="BO808" t="s">
        <v>1221</v>
      </c>
      <c r="BP808" t="s">
        <v>74</v>
      </c>
      <c r="BQ808" t="s">
        <v>74</v>
      </c>
      <c r="BR808" t="s">
        <v>103</v>
      </c>
      <c r="BS808" t="s">
        <v>15732</v>
      </c>
      <c r="BT808" t="str">
        <f>HYPERLINK("https%3A%2F%2Fwww.webofscience.com%2Fwos%2Fwoscc%2Ffull-record%2FWOS:000825106100002","View Full Record in Web of Science")</f>
        <v>View Full Record in Web of Science</v>
      </c>
    </row>
    <row r="809" spans="1:72" x14ac:dyDescent="0.15">
      <c r="A809" t="s">
        <v>72</v>
      </c>
      <c r="B809" t="s">
        <v>15733</v>
      </c>
      <c r="C809" t="s">
        <v>74</v>
      </c>
      <c r="D809" t="s">
        <v>74</v>
      </c>
      <c r="E809" t="s">
        <v>74</v>
      </c>
      <c r="F809" t="s">
        <v>15734</v>
      </c>
      <c r="G809" t="s">
        <v>74</v>
      </c>
      <c r="H809" t="s">
        <v>74</v>
      </c>
      <c r="I809" t="s">
        <v>15735</v>
      </c>
      <c r="J809" t="s">
        <v>271</v>
      </c>
      <c r="K809" t="s">
        <v>74</v>
      </c>
      <c r="L809" t="s">
        <v>74</v>
      </c>
      <c r="M809" t="s">
        <v>78</v>
      </c>
      <c r="N809" t="s">
        <v>79</v>
      </c>
      <c r="O809" t="s">
        <v>74</v>
      </c>
      <c r="P809" t="s">
        <v>74</v>
      </c>
      <c r="Q809" t="s">
        <v>74</v>
      </c>
      <c r="R809" t="s">
        <v>74</v>
      </c>
      <c r="S809" t="s">
        <v>74</v>
      </c>
      <c r="T809" t="s">
        <v>74</v>
      </c>
      <c r="U809" t="s">
        <v>15736</v>
      </c>
      <c r="V809" t="s">
        <v>15737</v>
      </c>
      <c r="W809" t="s">
        <v>15738</v>
      </c>
      <c r="X809" t="s">
        <v>15739</v>
      </c>
      <c r="Y809" t="s">
        <v>15740</v>
      </c>
      <c r="Z809" t="s">
        <v>15741</v>
      </c>
      <c r="AA809" t="s">
        <v>15742</v>
      </c>
      <c r="AB809" t="s">
        <v>15743</v>
      </c>
      <c r="AC809" t="s">
        <v>15744</v>
      </c>
      <c r="AD809" t="s">
        <v>15745</v>
      </c>
      <c r="AE809" t="s">
        <v>15746</v>
      </c>
      <c r="AF809" t="s">
        <v>74</v>
      </c>
      <c r="AG809">
        <v>113</v>
      </c>
      <c r="AH809">
        <v>2</v>
      </c>
      <c r="AI809">
        <v>2</v>
      </c>
      <c r="AJ809">
        <v>1</v>
      </c>
      <c r="AK809">
        <v>6</v>
      </c>
      <c r="AL809" t="s">
        <v>149</v>
      </c>
      <c r="AM809" t="s">
        <v>150</v>
      </c>
      <c r="AN809" t="s">
        <v>151</v>
      </c>
      <c r="AO809" t="s">
        <v>283</v>
      </c>
      <c r="AP809" t="s">
        <v>74</v>
      </c>
      <c r="AQ809" t="s">
        <v>74</v>
      </c>
      <c r="AR809" t="s">
        <v>284</v>
      </c>
      <c r="AS809" t="s">
        <v>285</v>
      </c>
      <c r="AT809" t="s">
        <v>15713</v>
      </c>
      <c r="AU809">
        <v>2022</v>
      </c>
      <c r="AV809">
        <v>12</v>
      </c>
      <c r="AW809">
        <v>1</v>
      </c>
      <c r="AX809" t="s">
        <v>74</v>
      </c>
      <c r="AY809" t="s">
        <v>74</v>
      </c>
      <c r="AZ809" t="s">
        <v>74</v>
      </c>
      <c r="BA809" t="s">
        <v>74</v>
      </c>
      <c r="BB809" t="s">
        <v>74</v>
      </c>
      <c r="BC809" t="s">
        <v>74</v>
      </c>
      <c r="BD809">
        <v>11253</v>
      </c>
      <c r="BE809" t="s">
        <v>15747</v>
      </c>
      <c r="BF809" t="str">
        <f>HYPERLINK("http://dx.doi.org/10.1038/s41598-022-14468-4","http://dx.doi.org/10.1038/s41598-022-14468-4")</f>
        <v>http://dx.doi.org/10.1038/s41598-022-14468-4</v>
      </c>
      <c r="BG809" t="s">
        <v>74</v>
      </c>
      <c r="BH809" t="s">
        <v>74</v>
      </c>
      <c r="BI809">
        <v>12</v>
      </c>
      <c r="BJ809" t="s">
        <v>156</v>
      </c>
      <c r="BK809" t="s">
        <v>100</v>
      </c>
      <c r="BL809" t="s">
        <v>157</v>
      </c>
      <c r="BM809" t="s">
        <v>15748</v>
      </c>
      <c r="BN809">
        <v>35788138</v>
      </c>
      <c r="BO809" t="s">
        <v>15095</v>
      </c>
      <c r="BP809" t="s">
        <v>74</v>
      </c>
      <c r="BQ809" t="s">
        <v>74</v>
      </c>
      <c r="BR809" t="s">
        <v>103</v>
      </c>
      <c r="BS809" t="s">
        <v>15749</v>
      </c>
      <c r="BT809" t="str">
        <f>HYPERLINK("https%3A%2F%2Fwww.webofscience.com%2Fwos%2Fwoscc%2Ffull-record%2FWOS:000821555400045","View Full Record in Web of Science")</f>
        <v>View Full Record in Web of Science</v>
      </c>
    </row>
    <row r="810" spans="1:72" x14ac:dyDescent="0.15">
      <c r="A810" t="s">
        <v>72</v>
      </c>
      <c r="B810" t="s">
        <v>15750</v>
      </c>
      <c r="C810" t="s">
        <v>74</v>
      </c>
      <c r="D810" t="s">
        <v>74</v>
      </c>
      <c r="E810" t="s">
        <v>74</v>
      </c>
      <c r="F810" t="s">
        <v>15751</v>
      </c>
      <c r="G810" t="s">
        <v>74</v>
      </c>
      <c r="H810" t="s">
        <v>74</v>
      </c>
      <c r="I810" t="s">
        <v>15752</v>
      </c>
      <c r="J810" t="s">
        <v>2448</v>
      </c>
      <c r="K810" t="s">
        <v>74</v>
      </c>
      <c r="L810" t="s">
        <v>74</v>
      </c>
      <c r="M810" t="s">
        <v>78</v>
      </c>
      <c r="N810" t="s">
        <v>79</v>
      </c>
      <c r="O810" t="s">
        <v>74</v>
      </c>
      <c r="P810" t="s">
        <v>74</v>
      </c>
      <c r="Q810" t="s">
        <v>74</v>
      </c>
      <c r="R810" t="s">
        <v>74</v>
      </c>
      <c r="S810" t="s">
        <v>74</v>
      </c>
      <c r="T810" t="s">
        <v>74</v>
      </c>
      <c r="U810" t="s">
        <v>15753</v>
      </c>
      <c r="V810" t="s">
        <v>15754</v>
      </c>
      <c r="W810" t="s">
        <v>15755</v>
      </c>
      <c r="X810" t="s">
        <v>15756</v>
      </c>
      <c r="Y810" t="s">
        <v>15757</v>
      </c>
      <c r="Z810" t="s">
        <v>15758</v>
      </c>
      <c r="AA810" t="s">
        <v>15759</v>
      </c>
      <c r="AB810" t="s">
        <v>15760</v>
      </c>
      <c r="AC810" t="s">
        <v>15761</v>
      </c>
      <c r="AD810" t="s">
        <v>15762</v>
      </c>
      <c r="AE810" t="s">
        <v>15763</v>
      </c>
      <c r="AF810" t="s">
        <v>74</v>
      </c>
      <c r="AG810">
        <v>51</v>
      </c>
      <c r="AH810">
        <v>7</v>
      </c>
      <c r="AI810">
        <v>7</v>
      </c>
      <c r="AJ810">
        <v>14</v>
      </c>
      <c r="AK810">
        <v>38</v>
      </c>
      <c r="AL810" t="s">
        <v>2460</v>
      </c>
      <c r="AM810" t="s">
        <v>2461</v>
      </c>
      <c r="AN810" t="s">
        <v>2462</v>
      </c>
      <c r="AO810" t="s">
        <v>2463</v>
      </c>
      <c r="AP810" t="s">
        <v>2464</v>
      </c>
      <c r="AQ810" t="s">
        <v>74</v>
      </c>
      <c r="AR810" t="s">
        <v>2448</v>
      </c>
      <c r="AS810" t="s">
        <v>2465</v>
      </c>
      <c r="AT810" t="s">
        <v>15713</v>
      </c>
      <c r="AU810">
        <v>2022</v>
      </c>
      <c r="AV810">
        <v>19</v>
      </c>
      <c r="AW810">
        <v>13</v>
      </c>
      <c r="AX810" t="s">
        <v>74</v>
      </c>
      <c r="AY810" t="s">
        <v>74</v>
      </c>
      <c r="AZ810" t="s">
        <v>74</v>
      </c>
      <c r="BA810" t="s">
        <v>74</v>
      </c>
      <c r="BB810">
        <v>3151</v>
      </c>
      <c r="BC810">
        <v>3167</v>
      </c>
      <c r="BD810" t="s">
        <v>74</v>
      </c>
      <c r="BE810" t="s">
        <v>15764</v>
      </c>
      <c r="BF810" t="str">
        <f>HYPERLINK("http://dx.doi.org/10.5194/bg-19-3151-2022","http://dx.doi.org/10.5194/bg-19-3151-2022")</f>
        <v>http://dx.doi.org/10.5194/bg-19-3151-2022</v>
      </c>
      <c r="BG810" t="s">
        <v>74</v>
      </c>
      <c r="BH810" t="s">
        <v>74</v>
      </c>
      <c r="BI810">
        <v>17</v>
      </c>
      <c r="BJ810" t="s">
        <v>2467</v>
      </c>
      <c r="BK810" t="s">
        <v>100</v>
      </c>
      <c r="BL810" t="s">
        <v>1219</v>
      </c>
      <c r="BM810" t="s">
        <v>15765</v>
      </c>
      <c r="BN810" t="s">
        <v>74</v>
      </c>
      <c r="BO810" t="s">
        <v>884</v>
      </c>
      <c r="BP810" t="s">
        <v>74</v>
      </c>
      <c r="BQ810" t="s">
        <v>74</v>
      </c>
      <c r="BR810" t="s">
        <v>103</v>
      </c>
      <c r="BS810" t="s">
        <v>15766</v>
      </c>
      <c r="BT810" t="str">
        <f>HYPERLINK("https%3A%2F%2Fwww.webofscience.com%2Fwos%2Fwoscc%2Ffull-record%2FWOS:000820335200001","View Full Record in Web of Science")</f>
        <v>View Full Record in Web of Science</v>
      </c>
    </row>
    <row r="811" spans="1:72" x14ac:dyDescent="0.15">
      <c r="A811" t="s">
        <v>72</v>
      </c>
      <c r="B811" t="s">
        <v>15767</v>
      </c>
      <c r="C811" t="s">
        <v>74</v>
      </c>
      <c r="D811" t="s">
        <v>74</v>
      </c>
      <c r="E811" t="s">
        <v>74</v>
      </c>
      <c r="F811" t="s">
        <v>15768</v>
      </c>
      <c r="G811" t="s">
        <v>74</v>
      </c>
      <c r="H811" t="s">
        <v>74</v>
      </c>
      <c r="I811" t="s">
        <v>15769</v>
      </c>
      <c r="J811" t="s">
        <v>3566</v>
      </c>
      <c r="K811" t="s">
        <v>74</v>
      </c>
      <c r="L811" t="s">
        <v>74</v>
      </c>
      <c r="M811" t="s">
        <v>78</v>
      </c>
      <c r="N811" t="s">
        <v>79</v>
      </c>
      <c r="O811" t="s">
        <v>74</v>
      </c>
      <c r="P811" t="s">
        <v>74</v>
      </c>
      <c r="Q811" t="s">
        <v>74</v>
      </c>
      <c r="R811" t="s">
        <v>74</v>
      </c>
      <c r="S811" t="s">
        <v>74</v>
      </c>
      <c r="T811" t="s">
        <v>74</v>
      </c>
      <c r="U811" t="s">
        <v>15770</v>
      </c>
      <c r="V811" t="s">
        <v>15771</v>
      </c>
      <c r="W811" t="s">
        <v>15772</v>
      </c>
      <c r="X811" t="s">
        <v>15773</v>
      </c>
      <c r="Y811" t="s">
        <v>15774</v>
      </c>
      <c r="Z811" t="s">
        <v>15775</v>
      </c>
      <c r="AA811" t="s">
        <v>15776</v>
      </c>
      <c r="AB811" t="s">
        <v>15777</v>
      </c>
      <c r="AC811" t="s">
        <v>15778</v>
      </c>
      <c r="AD811" t="s">
        <v>15779</v>
      </c>
      <c r="AE811" t="s">
        <v>15780</v>
      </c>
      <c r="AF811" t="s">
        <v>74</v>
      </c>
      <c r="AG811">
        <v>85</v>
      </c>
      <c r="AH811">
        <v>6</v>
      </c>
      <c r="AI811">
        <v>6</v>
      </c>
      <c r="AJ811">
        <v>3</v>
      </c>
      <c r="AK811">
        <v>9</v>
      </c>
      <c r="AL811" t="s">
        <v>2460</v>
      </c>
      <c r="AM811" t="s">
        <v>2461</v>
      </c>
      <c r="AN811" t="s">
        <v>2462</v>
      </c>
      <c r="AO811" t="s">
        <v>3578</v>
      </c>
      <c r="AP811" t="s">
        <v>3579</v>
      </c>
      <c r="AQ811" t="s">
        <v>74</v>
      </c>
      <c r="AR811" t="s">
        <v>3580</v>
      </c>
      <c r="AS811" t="s">
        <v>3581</v>
      </c>
      <c r="AT811" t="s">
        <v>15713</v>
      </c>
      <c r="AU811">
        <v>2022</v>
      </c>
      <c r="AV811">
        <v>15</v>
      </c>
      <c r="AW811">
        <v>13</v>
      </c>
      <c r="AX811" t="s">
        <v>74</v>
      </c>
      <c r="AY811" t="s">
        <v>74</v>
      </c>
      <c r="AZ811" t="s">
        <v>74</v>
      </c>
      <c r="BA811" t="s">
        <v>74</v>
      </c>
      <c r="BB811">
        <v>5073</v>
      </c>
      <c r="BC811">
        <v>5092</v>
      </c>
      <c r="BD811" t="s">
        <v>74</v>
      </c>
      <c r="BE811" t="s">
        <v>15781</v>
      </c>
      <c r="BF811" t="str">
        <f>HYPERLINK("http://dx.doi.org/10.5194/gmd-15-5073-2022","http://dx.doi.org/10.5194/gmd-15-5073-2022")</f>
        <v>http://dx.doi.org/10.5194/gmd-15-5073-2022</v>
      </c>
      <c r="BG811" t="s">
        <v>74</v>
      </c>
      <c r="BH811" t="s">
        <v>74</v>
      </c>
      <c r="BI811">
        <v>20</v>
      </c>
      <c r="BJ811" t="s">
        <v>129</v>
      </c>
      <c r="BK811" t="s">
        <v>100</v>
      </c>
      <c r="BL811" t="s">
        <v>130</v>
      </c>
      <c r="BM811" t="s">
        <v>15782</v>
      </c>
      <c r="BN811" t="s">
        <v>74</v>
      </c>
      <c r="BO811" t="s">
        <v>763</v>
      </c>
      <c r="BP811" t="s">
        <v>74</v>
      </c>
      <c r="BQ811" t="s">
        <v>74</v>
      </c>
      <c r="BR811" t="s">
        <v>103</v>
      </c>
      <c r="BS811" t="s">
        <v>15783</v>
      </c>
      <c r="BT811" t="str">
        <f>HYPERLINK("https%3A%2F%2Fwww.webofscience.com%2Fwos%2Fwoscc%2Ffull-record%2FWOS:000820246700001","View Full Record in Web of Science")</f>
        <v>View Full Record in Web of Science</v>
      </c>
    </row>
    <row r="812" spans="1:72" x14ac:dyDescent="0.15">
      <c r="A812" t="s">
        <v>72</v>
      </c>
      <c r="B812" t="s">
        <v>15784</v>
      </c>
      <c r="C812" t="s">
        <v>74</v>
      </c>
      <c r="D812" t="s">
        <v>74</v>
      </c>
      <c r="E812" t="s">
        <v>74</v>
      </c>
      <c r="F812" t="s">
        <v>15785</v>
      </c>
      <c r="G812" t="s">
        <v>74</v>
      </c>
      <c r="H812" t="s">
        <v>74</v>
      </c>
      <c r="I812" t="s">
        <v>15786</v>
      </c>
      <c r="J812" t="s">
        <v>15787</v>
      </c>
      <c r="K812" t="s">
        <v>74</v>
      </c>
      <c r="L812" t="s">
        <v>74</v>
      </c>
      <c r="M812" t="s">
        <v>78</v>
      </c>
      <c r="N812" t="s">
        <v>79</v>
      </c>
      <c r="O812" t="s">
        <v>74</v>
      </c>
      <c r="P812" t="s">
        <v>74</v>
      </c>
      <c r="Q812" t="s">
        <v>74</v>
      </c>
      <c r="R812" t="s">
        <v>74</v>
      </c>
      <c r="S812" t="s">
        <v>74</v>
      </c>
      <c r="T812" t="s">
        <v>15788</v>
      </c>
      <c r="U812" t="s">
        <v>15789</v>
      </c>
      <c r="V812" t="s">
        <v>15790</v>
      </c>
      <c r="W812" t="s">
        <v>15791</v>
      </c>
      <c r="X812" t="s">
        <v>15792</v>
      </c>
      <c r="Y812" t="s">
        <v>15793</v>
      </c>
      <c r="Z812" t="s">
        <v>15794</v>
      </c>
      <c r="AA812" t="s">
        <v>15795</v>
      </c>
      <c r="AB812" t="s">
        <v>15796</v>
      </c>
      <c r="AC812" t="s">
        <v>74</v>
      </c>
      <c r="AD812" t="s">
        <v>74</v>
      </c>
      <c r="AE812" t="s">
        <v>74</v>
      </c>
      <c r="AF812" t="s">
        <v>74</v>
      </c>
      <c r="AG812">
        <v>69</v>
      </c>
      <c r="AH812">
        <v>1</v>
      </c>
      <c r="AI812">
        <v>1</v>
      </c>
      <c r="AJ812">
        <v>4</v>
      </c>
      <c r="AK812">
        <v>22</v>
      </c>
      <c r="AL812" t="s">
        <v>641</v>
      </c>
      <c r="AM812" t="s">
        <v>642</v>
      </c>
      <c r="AN812" t="s">
        <v>643</v>
      </c>
      <c r="AO812" t="s">
        <v>15797</v>
      </c>
      <c r="AP812" t="s">
        <v>15798</v>
      </c>
      <c r="AQ812" t="s">
        <v>74</v>
      </c>
      <c r="AR812" t="s">
        <v>15799</v>
      </c>
      <c r="AS812" t="s">
        <v>15800</v>
      </c>
      <c r="AT812" t="s">
        <v>212</v>
      </c>
      <c r="AU812">
        <v>2022</v>
      </c>
      <c r="AV812">
        <v>29</v>
      </c>
      <c r="AW812">
        <v>8</v>
      </c>
      <c r="AX812" t="s">
        <v>74</v>
      </c>
      <c r="AY812" t="s">
        <v>74</v>
      </c>
      <c r="AZ812" t="s">
        <v>74</v>
      </c>
      <c r="BA812" t="s">
        <v>74</v>
      </c>
      <c r="BB812">
        <v>756</v>
      </c>
      <c r="BC812">
        <v>770</v>
      </c>
      <c r="BD812" t="s">
        <v>74</v>
      </c>
      <c r="BE812" t="s">
        <v>15801</v>
      </c>
      <c r="BF812" t="str">
        <f>HYPERLINK("http://dx.doi.org/10.1080/13504509.2022.2095452","http://dx.doi.org/10.1080/13504509.2022.2095452")</f>
        <v>http://dx.doi.org/10.1080/13504509.2022.2095452</v>
      </c>
      <c r="BG812" t="s">
        <v>74</v>
      </c>
      <c r="BH812" t="s">
        <v>12326</v>
      </c>
      <c r="BI812">
        <v>15</v>
      </c>
      <c r="BJ812" t="s">
        <v>15802</v>
      </c>
      <c r="BK812" t="s">
        <v>100</v>
      </c>
      <c r="BL812" t="s">
        <v>8850</v>
      </c>
      <c r="BM812" t="s">
        <v>15803</v>
      </c>
      <c r="BN812" t="s">
        <v>74</v>
      </c>
      <c r="BO812" t="s">
        <v>74</v>
      </c>
      <c r="BP812" t="s">
        <v>74</v>
      </c>
      <c r="BQ812" t="s">
        <v>74</v>
      </c>
      <c r="BR812" t="s">
        <v>103</v>
      </c>
      <c r="BS812" t="s">
        <v>15804</v>
      </c>
      <c r="BT812" t="str">
        <f>HYPERLINK("https%3A%2F%2Fwww.webofscience.com%2Fwos%2Fwoscc%2Ffull-record%2FWOS:000820672600001","View Full Record in Web of Science")</f>
        <v>View Full Record in Web of Science</v>
      </c>
    </row>
    <row r="813" spans="1:72" x14ac:dyDescent="0.15">
      <c r="A813" t="s">
        <v>72</v>
      </c>
      <c r="B813" t="s">
        <v>15805</v>
      </c>
      <c r="C813" t="s">
        <v>74</v>
      </c>
      <c r="D813" t="s">
        <v>74</v>
      </c>
      <c r="E813" t="s">
        <v>74</v>
      </c>
      <c r="F813" t="s">
        <v>15806</v>
      </c>
      <c r="G813" t="s">
        <v>74</v>
      </c>
      <c r="H813" t="s">
        <v>74</v>
      </c>
      <c r="I813" t="s">
        <v>15807</v>
      </c>
      <c r="J813" t="s">
        <v>15808</v>
      </c>
      <c r="K813" t="s">
        <v>74</v>
      </c>
      <c r="L813" t="s">
        <v>74</v>
      </c>
      <c r="M813" t="s">
        <v>78</v>
      </c>
      <c r="N813" t="s">
        <v>854</v>
      </c>
      <c r="O813" t="s">
        <v>74</v>
      </c>
      <c r="P813" t="s">
        <v>74</v>
      </c>
      <c r="Q813" t="s">
        <v>74</v>
      </c>
      <c r="R813" t="s">
        <v>74</v>
      </c>
      <c r="S813" t="s">
        <v>74</v>
      </c>
      <c r="T813" t="s">
        <v>74</v>
      </c>
      <c r="U813" t="s">
        <v>74</v>
      </c>
      <c r="V813" t="s">
        <v>74</v>
      </c>
      <c r="W813" t="s">
        <v>15809</v>
      </c>
      <c r="X813" t="s">
        <v>15810</v>
      </c>
      <c r="Y813" t="s">
        <v>15811</v>
      </c>
      <c r="Z813" t="s">
        <v>15812</v>
      </c>
      <c r="AA813" t="s">
        <v>74</v>
      </c>
      <c r="AB813" t="s">
        <v>74</v>
      </c>
      <c r="AC813" t="s">
        <v>74</v>
      </c>
      <c r="AD813" t="s">
        <v>74</v>
      </c>
      <c r="AE813" t="s">
        <v>74</v>
      </c>
      <c r="AF813" t="s">
        <v>74</v>
      </c>
      <c r="AG813">
        <v>1</v>
      </c>
      <c r="AH813">
        <v>0</v>
      </c>
      <c r="AI813">
        <v>0</v>
      </c>
      <c r="AJ813">
        <v>0</v>
      </c>
      <c r="AK813">
        <v>0</v>
      </c>
      <c r="AL813" t="s">
        <v>3827</v>
      </c>
      <c r="AM813" t="s">
        <v>3828</v>
      </c>
      <c r="AN813" t="s">
        <v>3829</v>
      </c>
      <c r="AO813" t="s">
        <v>15813</v>
      </c>
      <c r="AP813" t="s">
        <v>15814</v>
      </c>
      <c r="AQ813" t="s">
        <v>74</v>
      </c>
      <c r="AR813" t="s">
        <v>15815</v>
      </c>
      <c r="AS813" t="s">
        <v>15816</v>
      </c>
      <c r="AT813" t="s">
        <v>10784</v>
      </c>
      <c r="AU813">
        <v>2022</v>
      </c>
      <c r="AV813">
        <v>12</v>
      </c>
      <c r="AW813">
        <v>2</v>
      </c>
      <c r="AX813" t="s">
        <v>74</v>
      </c>
      <c r="AY813" t="s">
        <v>74</v>
      </c>
      <c r="AZ813" t="s">
        <v>74</v>
      </c>
      <c r="BA813" t="s">
        <v>74</v>
      </c>
      <c r="BB813">
        <v>388</v>
      </c>
      <c r="BC813">
        <v>391</v>
      </c>
      <c r="BD813" t="s">
        <v>74</v>
      </c>
      <c r="BE813" t="s">
        <v>15817</v>
      </c>
      <c r="BF813" t="str">
        <f>HYPERLINK("http://dx.doi.org/10.1080/2154896X.2022.2133385","http://dx.doi.org/10.1080/2154896X.2022.2133385")</f>
        <v>http://dx.doi.org/10.1080/2154896X.2022.2133385</v>
      </c>
      <c r="BG813" t="s">
        <v>74</v>
      </c>
      <c r="BH813" t="s">
        <v>74</v>
      </c>
      <c r="BI813">
        <v>4</v>
      </c>
      <c r="BJ813" t="s">
        <v>15818</v>
      </c>
      <c r="BK813" t="s">
        <v>215</v>
      </c>
      <c r="BL813" t="s">
        <v>15819</v>
      </c>
      <c r="BM813" t="s">
        <v>15820</v>
      </c>
      <c r="BN813" t="s">
        <v>74</v>
      </c>
      <c r="BO813" t="s">
        <v>74</v>
      </c>
      <c r="BP813" t="s">
        <v>74</v>
      </c>
      <c r="BQ813" t="s">
        <v>74</v>
      </c>
      <c r="BR813" t="s">
        <v>103</v>
      </c>
      <c r="BS813" t="s">
        <v>15821</v>
      </c>
      <c r="BT813" t="str">
        <f>HYPERLINK("https%3A%2F%2Fwww.webofscience.com%2Fwos%2Fwoscc%2Ffull-record%2FWOS:001098759900013","View Full Record in Web of Science")</f>
        <v>View Full Record in Web of Science</v>
      </c>
    </row>
    <row r="814" spans="1:72" x14ac:dyDescent="0.15">
      <c r="A814" t="s">
        <v>72</v>
      </c>
      <c r="B814" t="s">
        <v>15822</v>
      </c>
      <c r="C814" t="s">
        <v>74</v>
      </c>
      <c r="D814" t="s">
        <v>74</v>
      </c>
      <c r="E814" t="s">
        <v>74</v>
      </c>
      <c r="F814" t="s">
        <v>15823</v>
      </c>
      <c r="G814" t="s">
        <v>74</v>
      </c>
      <c r="H814" t="s">
        <v>74</v>
      </c>
      <c r="I814" t="s">
        <v>15824</v>
      </c>
      <c r="J814" t="s">
        <v>15808</v>
      </c>
      <c r="K814" t="s">
        <v>74</v>
      </c>
      <c r="L814" t="s">
        <v>74</v>
      </c>
      <c r="M814" t="s">
        <v>78</v>
      </c>
      <c r="N814" t="s">
        <v>854</v>
      </c>
      <c r="O814" t="s">
        <v>74</v>
      </c>
      <c r="P814" t="s">
        <v>74</v>
      </c>
      <c r="Q814" t="s">
        <v>74</v>
      </c>
      <c r="R814" t="s">
        <v>74</v>
      </c>
      <c r="S814" t="s">
        <v>74</v>
      </c>
      <c r="T814" t="s">
        <v>74</v>
      </c>
      <c r="U814" t="s">
        <v>74</v>
      </c>
      <c r="V814" t="s">
        <v>74</v>
      </c>
      <c r="W814" t="s">
        <v>74</v>
      </c>
      <c r="X814" t="s">
        <v>74</v>
      </c>
      <c r="Y814" t="s">
        <v>74</v>
      </c>
      <c r="Z814" t="s">
        <v>15825</v>
      </c>
      <c r="AA814" t="s">
        <v>74</v>
      </c>
      <c r="AB814" t="s">
        <v>74</v>
      </c>
      <c r="AC814" t="s">
        <v>74</v>
      </c>
      <c r="AD814" t="s">
        <v>74</v>
      </c>
      <c r="AE814" t="s">
        <v>74</v>
      </c>
      <c r="AF814" t="s">
        <v>74</v>
      </c>
      <c r="AG814">
        <v>1</v>
      </c>
      <c r="AH814">
        <v>0</v>
      </c>
      <c r="AI814">
        <v>0</v>
      </c>
      <c r="AJ814">
        <v>0</v>
      </c>
      <c r="AK814">
        <v>0</v>
      </c>
      <c r="AL814" t="s">
        <v>3827</v>
      </c>
      <c r="AM814" t="s">
        <v>3828</v>
      </c>
      <c r="AN814" t="s">
        <v>3829</v>
      </c>
      <c r="AO814" t="s">
        <v>15813</v>
      </c>
      <c r="AP814" t="s">
        <v>15814</v>
      </c>
      <c r="AQ814" t="s">
        <v>74</v>
      </c>
      <c r="AR814" t="s">
        <v>15815</v>
      </c>
      <c r="AS814" t="s">
        <v>15816</v>
      </c>
      <c r="AT814" t="s">
        <v>10784</v>
      </c>
      <c r="AU814">
        <v>2022</v>
      </c>
      <c r="AV814">
        <v>12</v>
      </c>
      <c r="AW814">
        <v>2</v>
      </c>
      <c r="AX814" t="s">
        <v>74</v>
      </c>
      <c r="AY814" t="s">
        <v>74</v>
      </c>
      <c r="AZ814" t="s">
        <v>74</v>
      </c>
      <c r="BA814" t="s">
        <v>74</v>
      </c>
      <c r="BB814">
        <v>391</v>
      </c>
      <c r="BC814">
        <v>393</v>
      </c>
      <c r="BD814" t="s">
        <v>74</v>
      </c>
      <c r="BE814" t="s">
        <v>15826</v>
      </c>
      <c r="BF814" t="str">
        <f>HYPERLINK("http://dx.doi.org/10.1080/2154896X.2022.2149085","http://dx.doi.org/10.1080/2154896X.2022.2149085")</f>
        <v>http://dx.doi.org/10.1080/2154896X.2022.2149085</v>
      </c>
      <c r="BG814" t="s">
        <v>74</v>
      </c>
      <c r="BH814" t="s">
        <v>74</v>
      </c>
      <c r="BI814">
        <v>3</v>
      </c>
      <c r="BJ814" t="s">
        <v>15818</v>
      </c>
      <c r="BK814" t="s">
        <v>215</v>
      </c>
      <c r="BL814" t="s">
        <v>15819</v>
      </c>
      <c r="BM814" t="s">
        <v>15820</v>
      </c>
      <c r="BN814" t="s">
        <v>74</v>
      </c>
      <c r="BO814" t="s">
        <v>74</v>
      </c>
      <c r="BP814" t="s">
        <v>74</v>
      </c>
      <c r="BQ814" t="s">
        <v>74</v>
      </c>
      <c r="BR814" t="s">
        <v>103</v>
      </c>
      <c r="BS814" t="s">
        <v>15827</v>
      </c>
      <c r="BT814" t="str">
        <f>HYPERLINK("https%3A%2F%2Fwww.webofscience.com%2Fwos%2Fwoscc%2Ffull-record%2FWOS:001098759900014","View Full Record in Web of Science")</f>
        <v>View Full Record in Web of Science</v>
      </c>
    </row>
    <row r="815" spans="1:72" x14ac:dyDescent="0.15">
      <c r="A815" t="s">
        <v>72</v>
      </c>
      <c r="B815" t="s">
        <v>15828</v>
      </c>
      <c r="C815" t="s">
        <v>74</v>
      </c>
      <c r="D815" t="s">
        <v>74</v>
      </c>
      <c r="E815" t="s">
        <v>74</v>
      </c>
      <c r="F815" t="s">
        <v>15829</v>
      </c>
      <c r="G815" t="s">
        <v>74</v>
      </c>
      <c r="H815" t="s">
        <v>74</v>
      </c>
      <c r="I815" t="s">
        <v>15830</v>
      </c>
      <c r="J815" t="s">
        <v>15831</v>
      </c>
      <c r="K815" t="s">
        <v>74</v>
      </c>
      <c r="L815" t="s">
        <v>74</v>
      </c>
      <c r="M815" t="s">
        <v>78</v>
      </c>
      <c r="N815" t="s">
        <v>79</v>
      </c>
      <c r="O815" t="s">
        <v>74</v>
      </c>
      <c r="P815" t="s">
        <v>74</v>
      </c>
      <c r="Q815" t="s">
        <v>74</v>
      </c>
      <c r="R815" t="s">
        <v>74</v>
      </c>
      <c r="S815" t="s">
        <v>74</v>
      </c>
      <c r="T815" t="s">
        <v>15832</v>
      </c>
      <c r="U815" t="s">
        <v>15833</v>
      </c>
      <c r="V815" t="s">
        <v>15834</v>
      </c>
      <c r="W815" t="s">
        <v>15835</v>
      </c>
      <c r="X815" t="s">
        <v>15836</v>
      </c>
      <c r="Y815" t="s">
        <v>15837</v>
      </c>
      <c r="Z815" t="s">
        <v>15838</v>
      </c>
      <c r="AA815" t="s">
        <v>15839</v>
      </c>
      <c r="AB815" t="s">
        <v>15840</v>
      </c>
      <c r="AC815" t="s">
        <v>15841</v>
      </c>
      <c r="AD815" t="s">
        <v>15842</v>
      </c>
      <c r="AE815" t="s">
        <v>15843</v>
      </c>
      <c r="AF815" t="s">
        <v>74</v>
      </c>
      <c r="AG815">
        <v>46</v>
      </c>
      <c r="AH815">
        <v>1</v>
      </c>
      <c r="AI815">
        <v>1</v>
      </c>
      <c r="AJ815">
        <v>1</v>
      </c>
      <c r="AK815">
        <v>3</v>
      </c>
      <c r="AL815" t="s">
        <v>89</v>
      </c>
      <c r="AM815" t="s">
        <v>90</v>
      </c>
      <c r="AN815" t="s">
        <v>91</v>
      </c>
      <c r="AO815" t="s">
        <v>15844</v>
      </c>
      <c r="AP815" t="s">
        <v>74</v>
      </c>
      <c r="AQ815" t="s">
        <v>74</v>
      </c>
      <c r="AR815" t="s">
        <v>15845</v>
      </c>
      <c r="AS815" t="s">
        <v>15846</v>
      </c>
      <c r="AT815" t="s">
        <v>15847</v>
      </c>
      <c r="AU815">
        <v>2022</v>
      </c>
      <c r="AV815">
        <v>14</v>
      </c>
      <c r="AW815">
        <v>7</v>
      </c>
      <c r="AX815" t="s">
        <v>74</v>
      </c>
      <c r="AY815" t="s">
        <v>74</v>
      </c>
      <c r="AZ815" t="s">
        <v>74</v>
      </c>
      <c r="BA815" t="s">
        <v>74</v>
      </c>
      <c r="BB815" t="s">
        <v>74</v>
      </c>
      <c r="BC815" t="s">
        <v>74</v>
      </c>
      <c r="BD815" t="s">
        <v>15848</v>
      </c>
      <c r="BE815" t="s">
        <v>15849</v>
      </c>
      <c r="BF815" t="str">
        <f>HYPERLINK("http://dx.doi.org/10.1093/gbe/evac104","http://dx.doi.org/10.1093/gbe/evac104")</f>
        <v>http://dx.doi.org/10.1093/gbe/evac104</v>
      </c>
      <c r="BG815" t="s">
        <v>74</v>
      </c>
      <c r="BH815" t="s">
        <v>74</v>
      </c>
      <c r="BI815">
        <v>12</v>
      </c>
      <c r="BJ815" t="s">
        <v>15850</v>
      </c>
      <c r="BK815" t="s">
        <v>100</v>
      </c>
      <c r="BL815" t="s">
        <v>15850</v>
      </c>
      <c r="BM815" t="s">
        <v>15851</v>
      </c>
      <c r="BN815">
        <v>35809042</v>
      </c>
      <c r="BO815" t="s">
        <v>15371</v>
      </c>
      <c r="BP815" t="s">
        <v>74</v>
      </c>
      <c r="BQ815" t="s">
        <v>74</v>
      </c>
      <c r="BR815" t="s">
        <v>103</v>
      </c>
      <c r="BS815" t="s">
        <v>15852</v>
      </c>
      <c r="BT815" t="str">
        <f>HYPERLINK("https%3A%2F%2Fwww.webofscience.com%2Fwos%2Fwoscc%2Ffull-record%2FWOS:000833077400001","View Full Record in Web of Science")</f>
        <v>View Full Record in Web of Science</v>
      </c>
    </row>
    <row r="816" spans="1:72" x14ac:dyDescent="0.15">
      <c r="A816" t="s">
        <v>72</v>
      </c>
      <c r="B816" t="s">
        <v>15853</v>
      </c>
      <c r="C816" t="s">
        <v>74</v>
      </c>
      <c r="D816" t="s">
        <v>74</v>
      </c>
      <c r="E816" t="s">
        <v>74</v>
      </c>
      <c r="F816" t="s">
        <v>15854</v>
      </c>
      <c r="G816" t="s">
        <v>74</v>
      </c>
      <c r="H816" t="s">
        <v>74</v>
      </c>
      <c r="I816" t="s">
        <v>15855</v>
      </c>
      <c r="J816" t="s">
        <v>15856</v>
      </c>
      <c r="K816" t="s">
        <v>74</v>
      </c>
      <c r="L816" t="s">
        <v>74</v>
      </c>
      <c r="M816" t="s">
        <v>78</v>
      </c>
      <c r="N816" t="s">
        <v>79</v>
      </c>
      <c r="O816" t="s">
        <v>74</v>
      </c>
      <c r="P816" t="s">
        <v>74</v>
      </c>
      <c r="Q816" t="s">
        <v>74</v>
      </c>
      <c r="R816" t="s">
        <v>74</v>
      </c>
      <c r="S816" t="s">
        <v>74</v>
      </c>
      <c r="T816" t="s">
        <v>15857</v>
      </c>
      <c r="U816" t="s">
        <v>15858</v>
      </c>
      <c r="V816" t="s">
        <v>15859</v>
      </c>
      <c r="W816" t="s">
        <v>15860</v>
      </c>
      <c r="X816" t="s">
        <v>15861</v>
      </c>
      <c r="Y816" t="s">
        <v>15862</v>
      </c>
      <c r="Z816" t="s">
        <v>15863</v>
      </c>
      <c r="AA816" t="s">
        <v>15864</v>
      </c>
      <c r="AB816" t="s">
        <v>15865</v>
      </c>
      <c r="AC816" t="s">
        <v>15866</v>
      </c>
      <c r="AD816" t="s">
        <v>15867</v>
      </c>
      <c r="AE816" t="s">
        <v>15868</v>
      </c>
      <c r="AF816" t="s">
        <v>74</v>
      </c>
      <c r="AG816">
        <v>49</v>
      </c>
      <c r="AH816">
        <v>4</v>
      </c>
      <c r="AI816">
        <v>4</v>
      </c>
      <c r="AJ816">
        <v>1</v>
      </c>
      <c r="AK816">
        <v>25</v>
      </c>
      <c r="AL816" t="s">
        <v>5619</v>
      </c>
      <c r="AM816" t="s">
        <v>550</v>
      </c>
      <c r="AN816" t="s">
        <v>5620</v>
      </c>
      <c r="AO816" t="s">
        <v>15869</v>
      </c>
      <c r="AP816" t="s">
        <v>15870</v>
      </c>
      <c r="AQ816" t="s">
        <v>74</v>
      </c>
      <c r="AR816" t="s">
        <v>15871</v>
      </c>
      <c r="AS816" t="s">
        <v>15872</v>
      </c>
      <c r="AT816" t="s">
        <v>2281</v>
      </c>
      <c r="AU816">
        <v>2022</v>
      </c>
      <c r="AV816">
        <v>39</v>
      </c>
      <c r="AW816">
        <v>11</v>
      </c>
      <c r="AX816" t="s">
        <v>74</v>
      </c>
      <c r="AY816" t="s">
        <v>74</v>
      </c>
      <c r="AZ816" t="s">
        <v>74</v>
      </c>
      <c r="BA816" t="s">
        <v>74</v>
      </c>
      <c r="BB816">
        <v>1873</v>
      </c>
      <c r="BC816">
        <v>1884</v>
      </c>
      <c r="BD816" t="s">
        <v>74</v>
      </c>
      <c r="BE816" t="s">
        <v>15873</v>
      </c>
      <c r="BF816" t="str">
        <f>HYPERLINK("http://dx.doi.org/10.1007/s00376-022-2030-5","http://dx.doi.org/10.1007/s00376-022-2030-5")</f>
        <v>http://dx.doi.org/10.1007/s00376-022-2030-5</v>
      </c>
      <c r="BG816" t="s">
        <v>74</v>
      </c>
      <c r="BH816" t="s">
        <v>12326</v>
      </c>
      <c r="BI816">
        <v>12</v>
      </c>
      <c r="BJ816" t="s">
        <v>457</v>
      </c>
      <c r="BK816" t="s">
        <v>100</v>
      </c>
      <c r="BL816" t="s">
        <v>457</v>
      </c>
      <c r="BM816" t="s">
        <v>15874</v>
      </c>
      <c r="BN816" t="s">
        <v>74</v>
      </c>
      <c r="BO816" t="s">
        <v>831</v>
      </c>
      <c r="BP816" t="s">
        <v>74</v>
      </c>
      <c r="BQ816" t="s">
        <v>74</v>
      </c>
      <c r="BR816" t="s">
        <v>103</v>
      </c>
      <c r="BS816" t="s">
        <v>15875</v>
      </c>
      <c r="BT816" t="str">
        <f>HYPERLINK("https%3A%2F%2Fwww.webofscience.com%2Fwos%2Fwoscc%2Ffull-record%2FWOS:000820526500001","View Full Record in Web of Science")</f>
        <v>View Full Record in Web of Science</v>
      </c>
    </row>
    <row r="817" spans="1:72" x14ac:dyDescent="0.15">
      <c r="A817" t="s">
        <v>72</v>
      </c>
      <c r="B817" t="s">
        <v>15876</v>
      </c>
      <c r="C817" t="s">
        <v>74</v>
      </c>
      <c r="D817" t="s">
        <v>74</v>
      </c>
      <c r="E817" t="s">
        <v>74</v>
      </c>
      <c r="F817" t="s">
        <v>15877</v>
      </c>
      <c r="G817" t="s">
        <v>74</v>
      </c>
      <c r="H817" t="s">
        <v>74</v>
      </c>
      <c r="I817" t="s">
        <v>15878</v>
      </c>
      <c r="J817" t="s">
        <v>15879</v>
      </c>
      <c r="K817" t="s">
        <v>74</v>
      </c>
      <c r="L817" t="s">
        <v>74</v>
      </c>
      <c r="M817" t="s">
        <v>78</v>
      </c>
      <c r="N817" t="s">
        <v>79</v>
      </c>
      <c r="O817" t="s">
        <v>74</v>
      </c>
      <c r="P817" t="s">
        <v>74</v>
      </c>
      <c r="Q817" t="s">
        <v>74</v>
      </c>
      <c r="R817" t="s">
        <v>74</v>
      </c>
      <c r="S817" t="s">
        <v>74</v>
      </c>
      <c r="T817" t="s">
        <v>74</v>
      </c>
      <c r="U817" t="s">
        <v>15880</v>
      </c>
      <c r="V817" t="s">
        <v>15881</v>
      </c>
      <c r="W817" t="s">
        <v>15882</v>
      </c>
      <c r="X817" t="s">
        <v>15883</v>
      </c>
      <c r="Y817" t="s">
        <v>15884</v>
      </c>
      <c r="Z817" t="s">
        <v>15885</v>
      </c>
      <c r="AA817" t="s">
        <v>74</v>
      </c>
      <c r="AB817" t="s">
        <v>74</v>
      </c>
      <c r="AC817" t="s">
        <v>15886</v>
      </c>
      <c r="AD817" t="s">
        <v>15887</v>
      </c>
      <c r="AE817" t="s">
        <v>15888</v>
      </c>
      <c r="AF817" t="s">
        <v>74</v>
      </c>
      <c r="AG817">
        <v>47</v>
      </c>
      <c r="AH817">
        <v>8</v>
      </c>
      <c r="AI817">
        <v>8</v>
      </c>
      <c r="AJ817">
        <v>3</v>
      </c>
      <c r="AK817">
        <v>5</v>
      </c>
      <c r="AL817" t="s">
        <v>15889</v>
      </c>
      <c r="AM817" t="s">
        <v>15890</v>
      </c>
      <c r="AN817" t="s">
        <v>15891</v>
      </c>
      <c r="AO817" t="s">
        <v>74</v>
      </c>
      <c r="AP817" t="s">
        <v>15892</v>
      </c>
      <c r="AQ817" t="s">
        <v>74</v>
      </c>
      <c r="AR817" t="s">
        <v>15893</v>
      </c>
      <c r="AS817" t="s">
        <v>15894</v>
      </c>
      <c r="AT817" t="s">
        <v>15333</v>
      </c>
      <c r="AU817">
        <v>2022</v>
      </c>
      <c r="AV817">
        <v>12</v>
      </c>
      <c r="AW817">
        <v>7</v>
      </c>
      <c r="AX817" t="s">
        <v>74</v>
      </c>
      <c r="AY817" t="s">
        <v>74</v>
      </c>
      <c r="AZ817" t="s">
        <v>74</v>
      </c>
      <c r="BA817" t="s">
        <v>74</v>
      </c>
      <c r="BB817" t="s">
        <v>74</v>
      </c>
      <c r="BC817" t="s">
        <v>74</v>
      </c>
      <c r="BD817" t="s">
        <v>74</v>
      </c>
      <c r="BE817" t="s">
        <v>15895</v>
      </c>
      <c r="BF817" t="str">
        <f>HYPERLINK("http://dx.doi.org/10.1063/5.0094629","http://dx.doi.org/10.1063/5.0094629")</f>
        <v>http://dx.doi.org/10.1063/5.0094629</v>
      </c>
      <c r="BG817" t="s">
        <v>74</v>
      </c>
      <c r="BH817" t="s">
        <v>74</v>
      </c>
      <c r="BI817">
        <v>12</v>
      </c>
      <c r="BJ817" t="s">
        <v>8676</v>
      </c>
      <c r="BK817" t="s">
        <v>100</v>
      </c>
      <c r="BL817" t="s">
        <v>8677</v>
      </c>
      <c r="BM817" t="s">
        <v>15896</v>
      </c>
      <c r="BN817" t="s">
        <v>74</v>
      </c>
      <c r="BO817" t="s">
        <v>1195</v>
      </c>
      <c r="BP817" t="s">
        <v>74</v>
      </c>
      <c r="BQ817" t="s">
        <v>74</v>
      </c>
      <c r="BR817" t="s">
        <v>103</v>
      </c>
      <c r="BS817" t="s">
        <v>15897</v>
      </c>
      <c r="BT817" t="str">
        <f>HYPERLINK("https%3A%2F%2Fwww.webofscience.com%2Fwos%2Fwoscc%2Ffull-record%2FWOS:000969776600001","View Full Record in Web of Science")</f>
        <v>View Full Record in Web of Science</v>
      </c>
    </row>
    <row r="818" spans="1:72" x14ac:dyDescent="0.15">
      <c r="A818" t="s">
        <v>72</v>
      </c>
      <c r="B818" t="s">
        <v>15898</v>
      </c>
      <c r="C818" t="s">
        <v>74</v>
      </c>
      <c r="D818" t="s">
        <v>74</v>
      </c>
      <c r="E818" t="s">
        <v>74</v>
      </c>
      <c r="F818" t="s">
        <v>15899</v>
      </c>
      <c r="G818" t="s">
        <v>74</v>
      </c>
      <c r="H818" t="s">
        <v>74</v>
      </c>
      <c r="I818" t="s">
        <v>15900</v>
      </c>
      <c r="J818" t="s">
        <v>15901</v>
      </c>
      <c r="K818" t="s">
        <v>74</v>
      </c>
      <c r="L818" t="s">
        <v>74</v>
      </c>
      <c r="M818" t="s">
        <v>78</v>
      </c>
      <c r="N818" t="s">
        <v>79</v>
      </c>
      <c r="O818" t="s">
        <v>74</v>
      </c>
      <c r="P818" t="s">
        <v>74</v>
      </c>
      <c r="Q818" t="s">
        <v>74</v>
      </c>
      <c r="R818" t="s">
        <v>74</v>
      </c>
      <c r="S818" t="s">
        <v>74</v>
      </c>
      <c r="T818" t="s">
        <v>15902</v>
      </c>
      <c r="U818" t="s">
        <v>74</v>
      </c>
      <c r="V818" t="s">
        <v>15903</v>
      </c>
      <c r="W818" t="s">
        <v>15904</v>
      </c>
      <c r="X818" t="s">
        <v>15905</v>
      </c>
      <c r="Y818" t="s">
        <v>15906</v>
      </c>
      <c r="Z818" t="s">
        <v>15907</v>
      </c>
      <c r="AA818" t="s">
        <v>74</v>
      </c>
      <c r="AB818" t="s">
        <v>74</v>
      </c>
      <c r="AC818" t="s">
        <v>74</v>
      </c>
      <c r="AD818" t="s">
        <v>74</v>
      </c>
      <c r="AE818" t="s">
        <v>74</v>
      </c>
      <c r="AF818" t="s">
        <v>74</v>
      </c>
      <c r="AG818">
        <v>11</v>
      </c>
      <c r="AH818">
        <v>0</v>
      </c>
      <c r="AI818">
        <v>0</v>
      </c>
      <c r="AJ818">
        <v>0</v>
      </c>
      <c r="AK818">
        <v>0</v>
      </c>
      <c r="AL818" t="s">
        <v>15908</v>
      </c>
      <c r="AM818" t="s">
        <v>15909</v>
      </c>
      <c r="AN818" t="s">
        <v>15910</v>
      </c>
      <c r="AO818" t="s">
        <v>15911</v>
      </c>
      <c r="AP818" t="s">
        <v>74</v>
      </c>
      <c r="AQ818" t="s">
        <v>74</v>
      </c>
      <c r="AR818" t="s">
        <v>15912</v>
      </c>
      <c r="AS818" t="s">
        <v>15913</v>
      </c>
      <c r="AT818" t="s">
        <v>15914</v>
      </c>
      <c r="AU818">
        <v>2022</v>
      </c>
      <c r="AV818">
        <v>13</v>
      </c>
      <c r="AW818">
        <v>2</v>
      </c>
      <c r="AX818" t="s">
        <v>74</v>
      </c>
      <c r="AY818" t="s">
        <v>74</v>
      </c>
      <c r="AZ818" t="s">
        <v>74</v>
      </c>
      <c r="BA818" t="s">
        <v>74</v>
      </c>
      <c r="BB818">
        <v>76</v>
      </c>
      <c r="BC818">
        <v>88</v>
      </c>
      <c r="BD818" t="s">
        <v>74</v>
      </c>
      <c r="BE818" t="s">
        <v>74</v>
      </c>
      <c r="BF818" t="s">
        <v>74</v>
      </c>
      <c r="BG818" t="s">
        <v>74</v>
      </c>
      <c r="BH818" t="s">
        <v>74</v>
      </c>
      <c r="BI818">
        <v>13</v>
      </c>
      <c r="BJ818" t="s">
        <v>15915</v>
      </c>
      <c r="BK818" t="s">
        <v>215</v>
      </c>
      <c r="BL818" t="s">
        <v>15915</v>
      </c>
      <c r="BM818" t="s">
        <v>15916</v>
      </c>
      <c r="BN818" t="s">
        <v>74</v>
      </c>
      <c r="BO818" t="s">
        <v>74</v>
      </c>
      <c r="BP818" t="s">
        <v>74</v>
      </c>
      <c r="BQ818" t="s">
        <v>74</v>
      </c>
      <c r="BR818" t="s">
        <v>103</v>
      </c>
      <c r="BS818" t="s">
        <v>15917</v>
      </c>
      <c r="BT818" t="str">
        <f>HYPERLINK("https%3A%2F%2Fwww.webofscience.com%2Fwos%2Fwoscc%2Ffull-record%2FWOS:000948021500001","View Full Record in Web of Science")</f>
        <v>View Full Record in Web of Science</v>
      </c>
    </row>
    <row r="819" spans="1:72" x14ac:dyDescent="0.15">
      <c r="A819" t="s">
        <v>72</v>
      </c>
      <c r="B819" t="s">
        <v>15918</v>
      </c>
      <c r="C819" t="s">
        <v>74</v>
      </c>
      <c r="D819" t="s">
        <v>74</v>
      </c>
      <c r="E819" t="s">
        <v>74</v>
      </c>
      <c r="F819" t="s">
        <v>15919</v>
      </c>
      <c r="G819" t="s">
        <v>74</v>
      </c>
      <c r="H819" t="s">
        <v>74</v>
      </c>
      <c r="I819" t="s">
        <v>15920</v>
      </c>
      <c r="J819" t="s">
        <v>15921</v>
      </c>
      <c r="K819" t="s">
        <v>74</v>
      </c>
      <c r="L819" t="s">
        <v>74</v>
      </c>
      <c r="M819" t="s">
        <v>78</v>
      </c>
      <c r="N819" t="s">
        <v>79</v>
      </c>
      <c r="O819" t="s">
        <v>74</v>
      </c>
      <c r="P819" t="s">
        <v>74</v>
      </c>
      <c r="Q819" t="s">
        <v>74</v>
      </c>
      <c r="R819" t="s">
        <v>74</v>
      </c>
      <c r="S819" t="s">
        <v>74</v>
      </c>
      <c r="T819" t="s">
        <v>15922</v>
      </c>
      <c r="U819" t="s">
        <v>15923</v>
      </c>
      <c r="V819" t="s">
        <v>15924</v>
      </c>
      <c r="W819" t="s">
        <v>15925</v>
      </c>
      <c r="X819" t="s">
        <v>15926</v>
      </c>
      <c r="Y819" t="s">
        <v>15927</v>
      </c>
      <c r="Z819" t="s">
        <v>15928</v>
      </c>
      <c r="AA819" t="s">
        <v>74</v>
      </c>
      <c r="AB819" t="s">
        <v>15929</v>
      </c>
      <c r="AC819" t="s">
        <v>15930</v>
      </c>
      <c r="AD819" t="s">
        <v>15931</v>
      </c>
      <c r="AE819" t="s">
        <v>15932</v>
      </c>
      <c r="AF819" t="s">
        <v>74</v>
      </c>
      <c r="AG819">
        <v>78</v>
      </c>
      <c r="AH819">
        <v>3</v>
      </c>
      <c r="AI819">
        <v>3</v>
      </c>
      <c r="AJ819">
        <v>4</v>
      </c>
      <c r="AK819">
        <v>7</v>
      </c>
      <c r="AL819" t="s">
        <v>2275</v>
      </c>
      <c r="AM819" t="s">
        <v>90</v>
      </c>
      <c r="AN819" t="s">
        <v>2276</v>
      </c>
      <c r="AO819" t="s">
        <v>15933</v>
      </c>
      <c r="AP819" t="s">
        <v>15934</v>
      </c>
      <c r="AQ819" t="s">
        <v>74</v>
      </c>
      <c r="AR819" t="s">
        <v>15935</v>
      </c>
      <c r="AS819" t="s">
        <v>15936</v>
      </c>
      <c r="AT819" t="s">
        <v>184</v>
      </c>
      <c r="AU819">
        <v>2022</v>
      </c>
      <c r="AV819">
        <v>194</v>
      </c>
      <c r="AW819" t="s">
        <v>74</v>
      </c>
      <c r="AX819" t="s">
        <v>74</v>
      </c>
      <c r="AY819" t="s">
        <v>74</v>
      </c>
      <c r="AZ819" t="s">
        <v>74</v>
      </c>
      <c r="BA819" t="s">
        <v>74</v>
      </c>
      <c r="BB819">
        <v>259</v>
      </c>
      <c r="BC819">
        <v>272</v>
      </c>
      <c r="BD819" t="s">
        <v>74</v>
      </c>
      <c r="BE819" t="s">
        <v>15937</v>
      </c>
      <c r="BF819" t="str">
        <f>HYPERLINK("http://dx.doi.org/10.1016/j.renene.2022.05.044","http://dx.doi.org/10.1016/j.renene.2022.05.044")</f>
        <v>http://dx.doi.org/10.1016/j.renene.2022.05.044</v>
      </c>
      <c r="BG819" t="s">
        <v>74</v>
      </c>
      <c r="BH819" t="s">
        <v>74</v>
      </c>
      <c r="BI819">
        <v>14</v>
      </c>
      <c r="BJ819" t="s">
        <v>15938</v>
      </c>
      <c r="BK819" t="s">
        <v>100</v>
      </c>
      <c r="BL819" t="s">
        <v>15939</v>
      </c>
      <c r="BM819" t="s">
        <v>15940</v>
      </c>
      <c r="BN819" t="s">
        <v>74</v>
      </c>
      <c r="BO819" t="s">
        <v>3327</v>
      </c>
      <c r="BP819" t="s">
        <v>74</v>
      </c>
      <c r="BQ819" t="s">
        <v>74</v>
      </c>
      <c r="BR819" t="s">
        <v>103</v>
      </c>
      <c r="BS819" t="s">
        <v>15941</v>
      </c>
      <c r="BT819" t="str">
        <f>HYPERLINK("https%3A%2F%2Fwww.webofscience.com%2Fwos%2Fwoscc%2Ffull-record%2FWOS:000920411400002","View Full Record in Web of Science")</f>
        <v>View Full Record in Web of Science</v>
      </c>
    </row>
    <row r="820" spans="1:72" x14ac:dyDescent="0.15">
      <c r="A820" t="s">
        <v>72</v>
      </c>
      <c r="B820" t="s">
        <v>15942</v>
      </c>
      <c r="C820" t="s">
        <v>74</v>
      </c>
      <c r="D820" t="s">
        <v>74</v>
      </c>
      <c r="E820" t="s">
        <v>74</v>
      </c>
      <c r="F820" t="s">
        <v>15943</v>
      </c>
      <c r="G820" t="s">
        <v>74</v>
      </c>
      <c r="H820" t="s">
        <v>74</v>
      </c>
      <c r="I820" t="s">
        <v>15944</v>
      </c>
      <c r="J820" t="s">
        <v>15945</v>
      </c>
      <c r="K820" t="s">
        <v>74</v>
      </c>
      <c r="L820" t="s">
        <v>74</v>
      </c>
      <c r="M820" t="s">
        <v>78</v>
      </c>
      <c r="N820" t="s">
        <v>79</v>
      </c>
      <c r="O820" t="s">
        <v>74</v>
      </c>
      <c r="P820" t="s">
        <v>74</v>
      </c>
      <c r="Q820" t="s">
        <v>74</v>
      </c>
      <c r="R820" t="s">
        <v>74</v>
      </c>
      <c r="S820" t="s">
        <v>74</v>
      </c>
      <c r="T820" t="s">
        <v>15946</v>
      </c>
      <c r="U820" t="s">
        <v>15947</v>
      </c>
      <c r="V820" t="s">
        <v>15948</v>
      </c>
      <c r="W820" t="s">
        <v>15949</v>
      </c>
      <c r="X820" t="s">
        <v>15950</v>
      </c>
      <c r="Y820" t="s">
        <v>15951</v>
      </c>
      <c r="Z820" t="s">
        <v>15952</v>
      </c>
      <c r="AA820" t="s">
        <v>15953</v>
      </c>
      <c r="AB820" t="s">
        <v>15954</v>
      </c>
      <c r="AC820" t="s">
        <v>15955</v>
      </c>
      <c r="AD820" t="s">
        <v>15956</v>
      </c>
      <c r="AE820" t="s">
        <v>15957</v>
      </c>
      <c r="AF820" t="s">
        <v>74</v>
      </c>
      <c r="AG820">
        <v>72</v>
      </c>
      <c r="AH820">
        <v>1</v>
      </c>
      <c r="AI820">
        <v>1</v>
      </c>
      <c r="AJ820">
        <v>0</v>
      </c>
      <c r="AK820">
        <v>2</v>
      </c>
      <c r="AL820" t="s">
        <v>501</v>
      </c>
      <c r="AM820" t="s">
        <v>502</v>
      </c>
      <c r="AN820" t="s">
        <v>503</v>
      </c>
      <c r="AO820" t="s">
        <v>15958</v>
      </c>
      <c r="AP820" t="s">
        <v>74</v>
      </c>
      <c r="AQ820" t="s">
        <v>74</v>
      </c>
      <c r="AR820" t="s">
        <v>15959</v>
      </c>
      <c r="AS820" t="s">
        <v>15960</v>
      </c>
      <c r="AT820" t="s">
        <v>184</v>
      </c>
      <c r="AU820">
        <v>2022</v>
      </c>
      <c r="AV820">
        <v>7</v>
      </c>
      <c r="AW820" t="s">
        <v>74</v>
      </c>
      <c r="AX820" t="s">
        <v>74</v>
      </c>
      <c r="AY820" t="s">
        <v>74</v>
      </c>
      <c r="AZ820" t="s">
        <v>74</v>
      </c>
      <c r="BA820" t="s">
        <v>74</v>
      </c>
      <c r="BB820" t="s">
        <v>74</v>
      </c>
      <c r="BC820" t="s">
        <v>74</v>
      </c>
      <c r="BD820">
        <v>100054</v>
      </c>
      <c r="BE820" t="s">
        <v>15961</v>
      </c>
      <c r="BF820" t="str">
        <f>HYPERLINK("http://dx.doi.org/10.1016/j.qsa.2022.100054","http://dx.doi.org/10.1016/j.qsa.2022.100054")</f>
        <v>http://dx.doi.org/10.1016/j.qsa.2022.100054</v>
      </c>
      <c r="BG820" t="s">
        <v>74</v>
      </c>
      <c r="BH820" t="s">
        <v>74</v>
      </c>
      <c r="BI820">
        <v>10</v>
      </c>
      <c r="BJ820" t="s">
        <v>354</v>
      </c>
      <c r="BK820" t="s">
        <v>215</v>
      </c>
      <c r="BL820" t="s">
        <v>241</v>
      </c>
      <c r="BM820" t="s">
        <v>15962</v>
      </c>
      <c r="BN820" t="s">
        <v>74</v>
      </c>
      <c r="BO820" t="s">
        <v>132</v>
      </c>
      <c r="BP820" t="s">
        <v>74</v>
      </c>
      <c r="BQ820" t="s">
        <v>74</v>
      </c>
      <c r="BR820" t="s">
        <v>103</v>
      </c>
      <c r="BS820" t="s">
        <v>15963</v>
      </c>
      <c r="BT820" t="str">
        <f>HYPERLINK("https%3A%2F%2Fwww.webofscience.com%2Fwos%2Fwoscc%2Ffull-record%2FWOS:000903540300002","View Full Record in Web of Science")</f>
        <v>View Full Record in Web of Science</v>
      </c>
    </row>
    <row r="821" spans="1:72" x14ac:dyDescent="0.15">
      <c r="A821" t="s">
        <v>72</v>
      </c>
      <c r="B821" t="s">
        <v>15964</v>
      </c>
      <c r="C821" t="s">
        <v>74</v>
      </c>
      <c r="D821" t="s">
        <v>74</v>
      </c>
      <c r="E821" t="s">
        <v>74</v>
      </c>
      <c r="F821" t="s">
        <v>15965</v>
      </c>
      <c r="G821" t="s">
        <v>74</v>
      </c>
      <c r="H821" t="s">
        <v>74</v>
      </c>
      <c r="I821" t="s">
        <v>15966</v>
      </c>
      <c r="J821" t="s">
        <v>15945</v>
      </c>
      <c r="K821" t="s">
        <v>74</v>
      </c>
      <c r="L821" t="s">
        <v>74</v>
      </c>
      <c r="M821" t="s">
        <v>78</v>
      </c>
      <c r="N821" t="s">
        <v>79</v>
      </c>
      <c r="O821" t="s">
        <v>74</v>
      </c>
      <c r="P821" t="s">
        <v>74</v>
      </c>
      <c r="Q821" t="s">
        <v>74</v>
      </c>
      <c r="R821" t="s">
        <v>74</v>
      </c>
      <c r="S821" t="s">
        <v>74</v>
      </c>
      <c r="T821" t="s">
        <v>15967</v>
      </c>
      <c r="U821" t="s">
        <v>15968</v>
      </c>
      <c r="V821" t="s">
        <v>15969</v>
      </c>
      <c r="W821" t="s">
        <v>15970</v>
      </c>
      <c r="X821" t="s">
        <v>15971</v>
      </c>
      <c r="Y821" t="s">
        <v>15972</v>
      </c>
      <c r="Z821" t="s">
        <v>15973</v>
      </c>
      <c r="AA821" t="s">
        <v>74</v>
      </c>
      <c r="AB821" t="s">
        <v>15974</v>
      </c>
      <c r="AC821" t="s">
        <v>74</v>
      </c>
      <c r="AD821" t="s">
        <v>74</v>
      </c>
      <c r="AE821" t="s">
        <v>74</v>
      </c>
      <c r="AF821" t="s">
        <v>74</v>
      </c>
      <c r="AG821">
        <v>85</v>
      </c>
      <c r="AH821">
        <v>3</v>
      </c>
      <c r="AI821">
        <v>3</v>
      </c>
      <c r="AJ821">
        <v>0</v>
      </c>
      <c r="AK821">
        <v>5</v>
      </c>
      <c r="AL821" t="s">
        <v>501</v>
      </c>
      <c r="AM821" t="s">
        <v>502</v>
      </c>
      <c r="AN821" t="s">
        <v>503</v>
      </c>
      <c r="AO821" t="s">
        <v>15958</v>
      </c>
      <c r="AP821" t="s">
        <v>74</v>
      </c>
      <c r="AQ821" t="s">
        <v>74</v>
      </c>
      <c r="AR821" t="s">
        <v>15959</v>
      </c>
      <c r="AS821" t="s">
        <v>15960</v>
      </c>
      <c r="AT821" t="s">
        <v>184</v>
      </c>
      <c r="AU821">
        <v>2022</v>
      </c>
      <c r="AV821">
        <v>7</v>
      </c>
      <c r="AW821" t="s">
        <v>74</v>
      </c>
      <c r="AX821" t="s">
        <v>74</v>
      </c>
      <c r="AY821" t="s">
        <v>74</v>
      </c>
      <c r="AZ821" t="s">
        <v>74</v>
      </c>
      <c r="BA821" t="s">
        <v>74</v>
      </c>
      <c r="BB821" t="s">
        <v>74</v>
      </c>
      <c r="BC821" t="s">
        <v>74</v>
      </c>
      <c r="BD821">
        <v>100061</v>
      </c>
      <c r="BE821" t="s">
        <v>15975</v>
      </c>
      <c r="BF821" t="str">
        <f>HYPERLINK("http://dx.doi.org/10.1016/j.qsa.2022.100061","http://dx.doi.org/10.1016/j.qsa.2022.100061")</f>
        <v>http://dx.doi.org/10.1016/j.qsa.2022.100061</v>
      </c>
      <c r="BG821" t="s">
        <v>74</v>
      </c>
      <c r="BH821" t="s">
        <v>74</v>
      </c>
      <c r="BI821">
        <v>12</v>
      </c>
      <c r="BJ821" t="s">
        <v>354</v>
      </c>
      <c r="BK821" t="s">
        <v>215</v>
      </c>
      <c r="BL821" t="s">
        <v>241</v>
      </c>
      <c r="BM821" t="s">
        <v>15962</v>
      </c>
      <c r="BN821" t="s">
        <v>74</v>
      </c>
      <c r="BO821" t="s">
        <v>4714</v>
      </c>
      <c r="BP821" t="s">
        <v>74</v>
      </c>
      <c r="BQ821" t="s">
        <v>74</v>
      </c>
      <c r="BR821" t="s">
        <v>103</v>
      </c>
      <c r="BS821" t="s">
        <v>15976</v>
      </c>
      <c r="BT821" t="str">
        <f>HYPERLINK("https%3A%2F%2Fwww.webofscience.com%2Fwos%2Fwoscc%2Ffull-record%2FWOS:000903540300006","View Full Record in Web of Science")</f>
        <v>View Full Record in Web of Science</v>
      </c>
    </row>
    <row r="822" spans="1:72" x14ac:dyDescent="0.15">
      <c r="A822" t="s">
        <v>72</v>
      </c>
      <c r="B822" t="s">
        <v>15977</v>
      </c>
      <c r="C822" t="s">
        <v>74</v>
      </c>
      <c r="D822" t="s">
        <v>74</v>
      </c>
      <c r="E822" t="s">
        <v>74</v>
      </c>
      <c r="F822" t="s">
        <v>15978</v>
      </c>
      <c r="G822" t="s">
        <v>74</v>
      </c>
      <c r="H822" t="s">
        <v>74</v>
      </c>
      <c r="I822" t="s">
        <v>15979</v>
      </c>
      <c r="J822" t="s">
        <v>1839</v>
      </c>
      <c r="K822" t="s">
        <v>74</v>
      </c>
      <c r="L822" t="s">
        <v>74</v>
      </c>
      <c r="M822" t="s">
        <v>78</v>
      </c>
      <c r="N822" t="s">
        <v>79</v>
      </c>
      <c r="O822" t="s">
        <v>74</v>
      </c>
      <c r="P822" t="s">
        <v>74</v>
      </c>
      <c r="Q822" t="s">
        <v>74</v>
      </c>
      <c r="R822" t="s">
        <v>74</v>
      </c>
      <c r="S822" t="s">
        <v>74</v>
      </c>
      <c r="T822" t="s">
        <v>15980</v>
      </c>
      <c r="U822" t="s">
        <v>15981</v>
      </c>
      <c r="V822" t="s">
        <v>15982</v>
      </c>
      <c r="W822" t="s">
        <v>15983</v>
      </c>
      <c r="X822" t="s">
        <v>15984</v>
      </c>
      <c r="Y822" t="s">
        <v>15985</v>
      </c>
      <c r="Z822" t="s">
        <v>15986</v>
      </c>
      <c r="AA822" t="s">
        <v>15987</v>
      </c>
      <c r="AB822" t="s">
        <v>15988</v>
      </c>
      <c r="AC822" t="s">
        <v>15989</v>
      </c>
      <c r="AD822" t="s">
        <v>14002</v>
      </c>
      <c r="AE822" t="s">
        <v>15990</v>
      </c>
      <c r="AF822" t="s">
        <v>74</v>
      </c>
      <c r="AG822">
        <v>90</v>
      </c>
      <c r="AH822">
        <v>2</v>
      </c>
      <c r="AI822">
        <v>2</v>
      </c>
      <c r="AJ822">
        <v>1</v>
      </c>
      <c r="AK822">
        <v>4</v>
      </c>
      <c r="AL822" t="s">
        <v>1065</v>
      </c>
      <c r="AM822" t="s">
        <v>1066</v>
      </c>
      <c r="AN822" t="s">
        <v>1067</v>
      </c>
      <c r="AO822" t="s">
        <v>1851</v>
      </c>
      <c r="AP822" t="s">
        <v>1852</v>
      </c>
      <c r="AQ822" t="s">
        <v>74</v>
      </c>
      <c r="AR822" t="s">
        <v>1853</v>
      </c>
      <c r="AS822" t="s">
        <v>1854</v>
      </c>
      <c r="AT822" t="s">
        <v>15333</v>
      </c>
      <c r="AU822">
        <v>2022</v>
      </c>
      <c r="AV822">
        <v>35</v>
      </c>
      <c r="AW822">
        <v>13</v>
      </c>
      <c r="AX822" t="s">
        <v>74</v>
      </c>
      <c r="AY822" t="s">
        <v>74</v>
      </c>
      <c r="AZ822" t="s">
        <v>74</v>
      </c>
      <c r="BA822" t="s">
        <v>74</v>
      </c>
      <c r="BB822">
        <v>4085</v>
      </c>
      <c r="BC822">
        <v>4098</v>
      </c>
      <c r="BD822" t="s">
        <v>74</v>
      </c>
      <c r="BE822" t="s">
        <v>15991</v>
      </c>
      <c r="BF822" t="str">
        <f>HYPERLINK("http://dx.doi.org/10.1175/JCLI-D-21-0509.1","http://dx.doi.org/10.1175/JCLI-D-21-0509.1")</f>
        <v>http://dx.doi.org/10.1175/JCLI-D-21-0509.1</v>
      </c>
      <c r="BG822" t="s">
        <v>74</v>
      </c>
      <c r="BH822" t="s">
        <v>74</v>
      </c>
      <c r="BI822">
        <v>14</v>
      </c>
      <c r="BJ822" t="s">
        <v>457</v>
      </c>
      <c r="BK822" t="s">
        <v>100</v>
      </c>
      <c r="BL822" t="s">
        <v>457</v>
      </c>
      <c r="BM822" t="s">
        <v>15992</v>
      </c>
      <c r="BN822" t="s">
        <v>74</v>
      </c>
      <c r="BO822" t="s">
        <v>404</v>
      </c>
      <c r="BP822" t="s">
        <v>74</v>
      </c>
      <c r="BQ822" t="s">
        <v>74</v>
      </c>
      <c r="BR822" t="s">
        <v>103</v>
      </c>
      <c r="BS822" t="s">
        <v>15993</v>
      </c>
      <c r="BT822" t="str">
        <f>HYPERLINK("https%3A%2F%2Fwww.webofscience.com%2Fwos%2Fwoscc%2Ffull-record%2FWOS:000896224100006","View Full Record in Web of Science")</f>
        <v>View Full Record in Web of Science</v>
      </c>
    </row>
    <row r="823" spans="1:72" x14ac:dyDescent="0.15">
      <c r="A823" t="s">
        <v>72</v>
      </c>
      <c r="B823" t="s">
        <v>15994</v>
      </c>
      <c r="C823" t="s">
        <v>74</v>
      </c>
      <c r="D823" t="s">
        <v>74</v>
      </c>
      <c r="E823" t="s">
        <v>74</v>
      </c>
      <c r="F823" t="s">
        <v>15995</v>
      </c>
      <c r="G823" t="s">
        <v>74</v>
      </c>
      <c r="H823" t="s">
        <v>74</v>
      </c>
      <c r="I823" t="s">
        <v>15996</v>
      </c>
      <c r="J823" t="s">
        <v>3747</v>
      </c>
      <c r="K823" t="s">
        <v>74</v>
      </c>
      <c r="L823" t="s">
        <v>74</v>
      </c>
      <c r="M823" t="s">
        <v>78</v>
      </c>
      <c r="N823" t="s">
        <v>79</v>
      </c>
      <c r="O823" t="s">
        <v>74</v>
      </c>
      <c r="P823" t="s">
        <v>74</v>
      </c>
      <c r="Q823" t="s">
        <v>74</v>
      </c>
      <c r="R823" t="s">
        <v>74</v>
      </c>
      <c r="S823" t="s">
        <v>74</v>
      </c>
      <c r="T823" t="s">
        <v>15997</v>
      </c>
      <c r="U823" t="s">
        <v>15998</v>
      </c>
      <c r="V823" t="s">
        <v>15999</v>
      </c>
      <c r="W823" t="s">
        <v>16000</v>
      </c>
      <c r="X823" t="s">
        <v>16001</v>
      </c>
      <c r="Y823" t="s">
        <v>16002</v>
      </c>
      <c r="Z823" t="s">
        <v>16003</v>
      </c>
      <c r="AA823" t="s">
        <v>16004</v>
      </c>
      <c r="AB823" t="s">
        <v>16005</v>
      </c>
      <c r="AC823" t="s">
        <v>16006</v>
      </c>
      <c r="AD823" t="s">
        <v>16007</v>
      </c>
      <c r="AE823" t="s">
        <v>16008</v>
      </c>
      <c r="AF823" t="s">
        <v>74</v>
      </c>
      <c r="AG823">
        <v>45</v>
      </c>
      <c r="AH823">
        <v>4</v>
      </c>
      <c r="AI823">
        <v>4</v>
      </c>
      <c r="AJ823">
        <v>0</v>
      </c>
      <c r="AK823">
        <v>13</v>
      </c>
      <c r="AL823" t="s">
        <v>501</v>
      </c>
      <c r="AM823" t="s">
        <v>502</v>
      </c>
      <c r="AN823" t="s">
        <v>503</v>
      </c>
      <c r="AO823" t="s">
        <v>3759</v>
      </c>
      <c r="AP823" t="s">
        <v>3760</v>
      </c>
      <c r="AQ823" t="s">
        <v>74</v>
      </c>
      <c r="AR823" t="s">
        <v>3761</v>
      </c>
      <c r="AS823" t="s">
        <v>3762</v>
      </c>
      <c r="AT823" t="s">
        <v>2670</v>
      </c>
      <c r="AU823">
        <v>2022</v>
      </c>
      <c r="AV823">
        <v>843</v>
      </c>
      <c r="AW823" t="s">
        <v>74</v>
      </c>
      <c r="AX823" t="s">
        <v>74</v>
      </c>
      <c r="AY823" t="s">
        <v>74</v>
      </c>
      <c r="AZ823" t="s">
        <v>74</v>
      </c>
      <c r="BA823" t="s">
        <v>74</v>
      </c>
      <c r="BB823" t="s">
        <v>74</v>
      </c>
      <c r="BC823" t="s">
        <v>74</v>
      </c>
      <c r="BD823">
        <v>156943</v>
      </c>
      <c r="BE823" t="s">
        <v>16009</v>
      </c>
      <c r="BF823" t="str">
        <f>HYPERLINK("http://dx.doi.org/10.1016/j.scitotenv.2022.156943","http://dx.doi.org/10.1016/j.scitotenv.2022.156943")</f>
        <v>http://dx.doi.org/10.1016/j.scitotenv.2022.156943</v>
      </c>
      <c r="BG823" t="s">
        <v>74</v>
      </c>
      <c r="BH823" t="s">
        <v>12326</v>
      </c>
      <c r="BI823">
        <v>11</v>
      </c>
      <c r="BJ823" t="s">
        <v>2040</v>
      </c>
      <c r="BK823" t="s">
        <v>100</v>
      </c>
      <c r="BL823" t="s">
        <v>2041</v>
      </c>
      <c r="BM823" t="s">
        <v>16010</v>
      </c>
      <c r="BN823">
        <v>35753489</v>
      </c>
      <c r="BO823" t="s">
        <v>2934</v>
      </c>
      <c r="BP823" t="s">
        <v>74</v>
      </c>
      <c r="BQ823" t="s">
        <v>74</v>
      </c>
      <c r="BR823" t="s">
        <v>103</v>
      </c>
      <c r="BS823" t="s">
        <v>16011</v>
      </c>
      <c r="BT823" t="str">
        <f>HYPERLINK("https%3A%2F%2Fwww.webofscience.com%2Fwos%2Fwoscc%2Ffull-record%2FWOS:000886029600014","View Full Record in Web of Science")</f>
        <v>View Full Record in Web of Science</v>
      </c>
    </row>
    <row r="824" spans="1:72" x14ac:dyDescent="0.15">
      <c r="A824" t="s">
        <v>72</v>
      </c>
      <c r="B824" t="s">
        <v>16012</v>
      </c>
      <c r="C824" t="s">
        <v>74</v>
      </c>
      <c r="D824" t="s">
        <v>74</v>
      </c>
      <c r="E824" t="s">
        <v>74</v>
      </c>
      <c r="F824" t="s">
        <v>16013</v>
      </c>
      <c r="G824" t="s">
        <v>74</v>
      </c>
      <c r="H824" t="s">
        <v>74</v>
      </c>
      <c r="I824" t="s">
        <v>16014</v>
      </c>
      <c r="J824" t="s">
        <v>16015</v>
      </c>
      <c r="K824" t="s">
        <v>74</v>
      </c>
      <c r="L824" t="s">
        <v>74</v>
      </c>
      <c r="M824" t="s">
        <v>78</v>
      </c>
      <c r="N824" t="s">
        <v>79</v>
      </c>
      <c r="O824" t="s">
        <v>74</v>
      </c>
      <c r="P824" t="s">
        <v>74</v>
      </c>
      <c r="Q824" t="s">
        <v>74</v>
      </c>
      <c r="R824" t="s">
        <v>74</v>
      </c>
      <c r="S824" t="s">
        <v>74</v>
      </c>
      <c r="T824" t="s">
        <v>16016</v>
      </c>
      <c r="U824" t="s">
        <v>16017</v>
      </c>
      <c r="V824" t="s">
        <v>16018</v>
      </c>
      <c r="W824" t="s">
        <v>16019</v>
      </c>
      <c r="X824" t="s">
        <v>16020</v>
      </c>
      <c r="Y824" t="s">
        <v>16021</v>
      </c>
      <c r="Z824" t="s">
        <v>16022</v>
      </c>
      <c r="AA824" t="s">
        <v>16023</v>
      </c>
      <c r="AB824" t="s">
        <v>16024</v>
      </c>
      <c r="AC824" t="s">
        <v>16025</v>
      </c>
      <c r="AD824" t="s">
        <v>1259</v>
      </c>
      <c r="AE824" t="s">
        <v>16026</v>
      </c>
      <c r="AF824" t="s">
        <v>74</v>
      </c>
      <c r="AG824">
        <v>64</v>
      </c>
      <c r="AH824">
        <v>3</v>
      </c>
      <c r="AI824">
        <v>3</v>
      </c>
      <c r="AJ824">
        <v>8</v>
      </c>
      <c r="AK824">
        <v>19</v>
      </c>
      <c r="AL824" t="s">
        <v>16027</v>
      </c>
      <c r="AM824" t="s">
        <v>16028</v>
      </c>
      <c r="AN824" t="s">
        <v>16029</v>
      </c>
      <c r="AO824" t="s">
        <v>74</v>
      </c>
      <c r="AP824" t="s">
        <v>16030</v>
      </c>
      <c r="AQ824" t="s">
        <v>74</v>
      </c>
      <c r="AR824" t="s">
        <v>16031</v>
      </c>
      <c r="AS824" t="s">
        <v>16032</v>
      </c>
      <c r="AT824" t="s">
        <v>15333</v>
      </c>
      <c r="AU824">
        <v>2022</v>
      </c>
      <c r="AV824">
        <v>16</v>
      </c>
      <c r="AW824">
        <v>3</v>
      </c>
      <c r="AX824" t="s">
        <v>74</v>
      </c>
      <c r="AY824" t="s">
        <v>74</v>
      </c>
      <c r="AZ824" t="s">
        <v>74</v>
      </c>
      <c r="BA824" t="s">
        <v>74</v>
      </c>
      <c r="BB824" t="s">
        <v>74</v>
      </c>
      <c r="BC824" t="s">
        <v>74</v>
      </c>
      <c r="BD824">
        <v>34514</v>
      </c>
      <c r="BE824" t="s">
        <v>16033</v>
      </c>
      <c r="BF824" t="str">
        <f>HYPERLINK("http://dx.doi.org/10.1117/1.JRS.16.034514","http://dx.doi.org/10.1117/1.JRS.16.034514")</f>
        <v>http://dx.doi.org/10.1117/1.JRS.16.034514</v>
      </c>
      <c r="BG824" t="s">
        <v>74</v>
      </c>
      <c r="BH824" t="s">
        <v>74</v>
      </c>
      <c r="BI824">
        <v>21</v>
      </c>
      <c r="BJ824" t="s">
        <v>9914</v>
      </c>
      <c r="BK824" t="s">
        <v>100</v>
      </c>
      <c r="BL824" t="s">
        <v>9915</v>
      </c>
      <c r="BM824" t="s">
        <v>16034</v>
      </c>
      <c r="BN824" t="s">
        <v>74</v>
      </c>
      <c r="BO824" t="s">
        <v>831</v>
      </c>
      <c r="BP824" t="s">
        <v>74</v>
      </c>
      <c r="BQ824" t="s">
        <v>74</v>
      </c>
      <c r="BR824" t="s">
        <v>103</v>
      </c>
      <c r="BS824" t="s">
        <v>16035</v>
      </c>
      <c r="BT824" t="str">
        <f>HYPERLINK("https%3A%2F%2Fwww.webofscience.com%2Fwos%2Fwoscc%2Ffull-record%2FWOS:000867557000016","View Full Record in Web of Science")</f>
        <v>View Full Record in Web of Science</v>
      </c>
    </row>
    <row r="825" spans="1:72" x14ac:dyDescent="0.15">
      <c r="A825" t="s">
        <v>72</v>
      </c>
      <c r="B825" t="s">
        <v>16036</v>
      </c>
      <c r="C825" t="s">
        <v>74</v>
      </c>
      <c r="D825" t="s">
        <v>74</v>
      </c>
      <c r="E825" t="s">
        <v>74</v>
      </c>
      <c r="F825" t="s">
        <v>16037</v>
      </c>
      <c r="G825" t="s">
        <v>74</v>
      </c>
      <c r="H825" t="s">
        <v>74</v>
      </c>
      <c r="I825" t="s">
        <v>16038</v>
      </c>
      <c r="J825" t="s">
        <v>16039</v>
      </c>
      <c r="K825" t="s">
        <v>74</v>
      </c>
      <c r="L825" t="s">
        <v>74</v>
      </c>
      <c r="M825" t="s">
        <v>78</v>
      </c>
      <c r="N825" t="s">
        <v>165</v>
      </c>
      <c r="O825" t="s">
        <v>74</v>
      </c>
      <c r="P825" t="s">
        <v>74</v>
      </c>
      <c r="Q825" t="s">
        <v>74</v>
      </c>
      <c r="R825" t="s">
        <v>74</v>
      </c>
      <c r="S825" t="s">
        <v>74</v>
      </c>
      <c r="T825" t="s">
        <v>16040</v>
      </c>
      <c r="U825" t="s">
        <v>16041</v>
      </c>
      <c r="V825" t="s">
        <v>16042</v>
      </c>
      <c r="W825" t="s">
        <v>16043</v>
      </c>
      <c r="X825" t="s">
        <v>16044</v>
      </c>
      <c r="Y825" t="s">
        <v>16045</v>
      </c>
      <c r="Z825" t="s">
        <v>16046</v>
      </c>
      <c r="AA825" t="s">
        <v>16047</v>
      </c>
      <c r="AB825" t="s">
        <v>16048</v>
      </c>
      <c r="AC825" t="s">
        <v>16049</v>
      </c>
      <c r="AD825" t="s">
        <v>16050</v>
      </c>
      <c r="AE825" t="s">
        <v>16051</v>
      </c>
      <c r="AF825" t="s">
        <v>74</v>
      </c>
      <c r="AG825">
        <v>74</v>
      </c>
      <c r="AH825">
        <v>0</v>
      </c>
      <c r="AI825">
        <v>0</v>
      </c>
      <c r="AJ825">
        <v>1</v>
      </c>
      <c r="AK825">
        <v>6</v>
      </c>
      <c r="AL825" t="s">
        <v>231</v>
      </c>
      <c r="AM825" t="s">
        <v>232</v>
      </c>
      <c r="AN825" t="s">
        <v>233</v>
      </c>
      <c r="AO825" t="s">
        <v>16052</v>
      </c>
      <c r="AP825" t="s">
        <v>16053</v>
      </c>
      <c r="AQ825" t="s">
        <v>74</v>
      </c>
      <c r="AR825" t="s">
        <v>16054</v>
      </c>
      <c r="AS825" t="s">
        <v>16055</v>
      </c>
      <c r="AT825" t="s">
        <v>184</v>
      </c>
      <c r="AU825">
        <v>2022</v>
      </c>
      <c r="AV825">
        <v>29</v>
      </c>
      <c r="AW825">
        <v>4</v>
      </c>
      <c r="AX825" t="s">
        <v>74</v>
      </c>
      <c r="AY825" t="s">
        <v>74</v>
      </c>
      <c r="AZ825" t="s">
        <v>74</v>
      </c>
      <c r="BA825" t="s">
        <v>74</v>
      </c>
      <c r="BB825" t="s">
        <v>74</v>
      </c>
      <c r="BC825" t="s">
        <v>74</v>
      </c>
      <c r="BD825" t="s">
        <v>16056</v>
      </c>
      <c r="BE825" t="s">
        <v>16057</v>
      </c>
      <c r="BF825" t="str">
        <f>HYPERLINK("http://dx.doi.org/10.1002/met.2087","http://dx.doi.org/10.1002/met.2087")</f>
        <v>http://dx.doi.org/10.1002/met.2087</v>
      </c>
      <c r="BG825" t="s">
        <v>74</v>
      </c>
      <c r="BH825" t="s">
        <v>74</v>
      </c>
      <c r="BI825">
        <v>15</v>
      </c>
      <c r="BJ825" t="s">
        <v>457</v>
      </c>
      <c r="BK825" t="s">
        <v>100</v>
      </c>
      <c r="BL825" t="s">
        <v>457</v>
      </c>
      <c r="BM825" t="s">
        <v>16058</v>
      </c>
      <c r="BN825" t="s">
        <v>74</v>
      </c>
      <c r="BO825" t="s">
        <v>2260</v>
      </c>
      <c r="BP825" t="s">
        <v>74</v>
      </c>
      <c r="BQ825" t="s">
        <v>74</v>
      </c>
      <c r="BR825" t="s">
        <v>103</v>
      </c>
      <c r="BS825" t="s">
        <v>16059</v>
      </c>
      <c r="BT825" t="str">
        <f>HYPERLINK("https%3A%2F%2Fwww.webofscience.com%2Fwos%2Fwoscc%2Ffull-record%2FWOS:000841171900001","View Full Record in Web of Science")</f>
        <v>View Full Record in Web of Science</v>
      </c>
    </row>
    <row r="826" spans="1:72" x14ac:dyDescent="0.15">
      <c r="A826" t="s">
        <v>72</v>
      </c>
      <c r="B826" t="s">
        <v>16060</v>
      </c>
      <c r="C826" t="s">
        <v>74</v>
      </c>
      <c r="D826" t="s">
        <v>74</v>
      </c>
      <c r="E826" t="s">
        <v>74</v>
      </c>
      <c r="F826" t="s">
        <v>16061</v>
      </c>
      <c r="G826" t="s">
        <v>74</v>
      </c>
      <c r="H826" t="s">
        <v>74</v>
      </c>
      <c r="I826" t="s">
        <v>16062</v>
      </c>
      <c r="J826" t="s">
        <v>5940</v>
      </c>
      <c r="K826" t="s">
        <v>74</v>
      </c>
      <c r="L826" t="s">
        <v>74</v>
      </c>
      <c r="M826" t="s">
        <v>78</v>
      </c>
      <c r="N826" t="s">
        <v>79</v>
      </c>
      <c r="O826" t="s">
        <v>74</v>
      </c>
      <c r="P826" t="s">
        <v>74</v>
      </c>
      <c r="Q826" t="s">
        <v>74</v>
      </c>
      <c r="R826" t="s">
        <v>74</v>
      </c>
      <c r="S826" t="s">
        <v>74</v>
      </c>
      <c r="T826" t="s">
        <v>74</v>
      </c>
      <c r="U826" t="s">
        <v>16063</v>
      </c>
      <c r="V826" t="s">
        <v>16064</v>
      </c>
      <c r="W826" t="s">
        <v>16065</v>
      </c>
      <c r="X826" t="s">
        <v>16066</v>
      </c>
      <c r="Y826" t="s">
        <v>16067</v>
      </c>
      <c r="Z826" t="s">
        <v>16068</v>
      </c>
      <c r="AA826" t="s">
        <v>16069</v>
      </c>
      <c r="AB826" t="s">
        <v>16070</v>
      </c>
      <c r="AC826" t="s">
        <v>16071</v>
      </c>
      <c r="AD826" t="s">
        <v>16072</v>
      </c>
      <c r="AE826" t="s">
        <v>16073</v>
      </c>
      <c r="AF826" t="s">
        <v>74</v>
      </c>
      <c r="AG826">
        <v>95</v>
      </c>
      <c r="AH826">
        <v>2</v>
      </c>
      <c r="AI826">
        <v>2</v>
      </c>
      <c r="AJ826">
        <v>2</v>
      </c>
      <c r="AK826">
        <v>6</v>
      </c>
      <c r="AL826" t="s">
        <v>5952</v>
      </c>
      <c r="AM826" t="s">
        <v>5953</v>
      </c>
      <c r="AN826" t="s">
        <v>5954</v>
      </c>
      <c r="AO826" t="s">
        <v>5955</v>
      </c>
      <c r="AP826" t="s">
        <v>5956</v>
      </c>
      <c r="AQ826" t="s">
        <v>74</v>
      </c>
      <c r="AR826" t="s">
        <v>5957</v>
      </c>
      <c r="AS826" t="s">
        <v>5958</v>
      </c>
      <c r="AT826" t="s">
        <v>15333</v>
      </c>
      <c r="AU826">
        <v>2022</v>
      </c>
      <c r="AV826">
        <v>134</v>
      </c>
      <c r="AW826" t="s">
        <v>10743</v>
      </c>
      <c r="AX826" t="s">
        <v>74</v>
      </c>
      <c r="AY826" t="s">
        <v>74</v>
      </c>
      <c r="AZ826" t="s">
        <v>74</v>
      </c>
      <c r="BA826" t="s">
        <v>74</v>
      </c>
      <c r="BB826">
        <v>1895</v>
      </c>
      <c r="BC826">
        <v>1915</v>
      </c>
      <c r="BD826" t="s">
        <v>74</v>
      </c>
      <c r="BE826" t="s">
        <v>16074</v>
      </c>
      <c r="BF826" t="str">
        <f>HYPERLINK("http://dx.doi.org/10.1130/B36117.1","http://dx.doi.org/10.1130/B36117.1")</f>
        <v>http://dx.doi.org/10.1130/B36117.1</v>
      </c>
      <c r="BG826" t="s">
        <v>74</v>
      </c>
      <c r="BH826" t="s">
        <v>74</v>
      </c>
      <c r="BI826">
        <v>21</v>
      </c>
      <c r="BJ826" t="s">
        <v>129</v>
      </c>
      <c r="BK826" t="s">
        <v>100</v>
      </c>
      <c r="BL826" t="s">
        <v>130</v>
      </c>
      <c r="BM826" t="s">
        <v>16075</v>
      </c>
      <c r="BN826" t="s">
        <v>74</v>
      </c>
      <c r="BO826" t="s">
        <v>3327</v>
      </c>
      <c r="BP826" t="s">
        <v>74</v>
      </c>
      <c r="BQ826" t="s">
        <v>74</v>
      </c>
      <c r="BR826" t="s">
        <v>103</v>
      </c>
      <c r="BS826" t="s">
        <v>16076</v>
      </c>
      <c r="BT826" t="str">
        <f>HYPERLINK("https%3A%2F%2Fwww.webofscience.com%2Fwos%2Fwoscc%2Ffull-record%2FWOS:000832938800009","View Full Record in Web of Science")</f>
        <v>View Full Record in Web of Science</v>
      </c>
    </row>
    <row r="827" spans="1:72" x14ac:dyDescent="0.15">
      <c r="A827" t="s">
        <v>72</v>
      </c>
      <c r="B827" t="s">
        <v>16077</v>
      </c>
      <c r="C827" t="s">
        <v>74</v>
      </c>
      <c r="D827" t="s">
        <v>74</v>
      </c>
      <c r="E827" t="s">
        <v>74</v>
      </c>
      <c r="F827" t="s">
        <v>16078</v>
      </c>
      <c r="G827" t="s">
        <v>74</v>
      </c>
      <c r="H827" t="s">
        <v>74</v>
      </c>
      <c r="I827" t="s">
        <v>16079</v>
      </c>
      <c r="J827" t="s">
        <v>16080</v>
      </c>
      <c r="K827" t="s">
        <v>74</v>
      </c>
      <c r="L827" t="s">
        <v>74</v>
      </c>
      <c r="M827" t="s">
        <v>78</v>
      </c>
      <c r="N827" t="s">
        <v>79</v>
      </c>
      <c r="O827" t="s">
        <v>74</v>
      </c>
      <c r="P827" t="s">
        <v>74</v>
      </c>
      <c r="Q827" t="s">
        <v>74</v>
      </c>
      <c r="R827" t="s">
        <v>74</v>
      </c>
      <c r="S827" t="s">
        <v>74</v>
      </c>
      <c r="T827" t="s">
        <v>74</v>
      </c>
      <c r="U827" t="s">
        <v>16081</v>
      </c>
      <c r="V827" t="s">
        <v>16082</v>
      </c>
      <c r="W827" t="s">
        <v>74</v>
      </c>
      <c r="X827" t="s">
        <v>74</v>
      </c>
      <c r="Y827" t="s">
        <v>74</v>
      </c>
      <c r="Z827" t="s">
        <v>74</v>
      </c>
      <c r="AA827" t="s">
        <v>74</v>
      </c>
      <c r="AB827" t="s">
        <v>74</v>
      </c>
      <c r="AC827" t="s">
        <v>74</v>
      </c>
      <c r="AD827" t="s">
        <v>74</v>
      </c>
      <c r="AE827" t="s">
        <v>74</v>
      </c>
      <c r="AF827" t="s">
        <v>74</v>
      </c>
      <c r="AG827">
        <v>8</v>
      </c>
      <c r="AH827">
        <v>0</v>
      </c>
      <c r="AI827">
        <v>0</v>
      </c>
      <c r="AJ827">
        <v>0</v>
      </c>
      <c r="AK827">
        <v>2</v>
      </c>
      <c r="AL827" t="s">
        <v>16083</v>
      </c>
      <c r="AM827" t="s">
        <v>15890</v>
      </c>
      <c r="AN827" t="s">
        <v>16084</v>
      </c>
      <c r="AO827" t="s">
        <v>16085</v>
      </c>
      <c r="AP827" t="s">
        <v>16086</v>
      </c>
      <c r="AQ827" t="s">
        <v>74</v>
      </c>
      <c r="AR827" t="s">
        <v>16087</v>
      </c>
      <c r="AS827" t="s">
        <v>16088</v>
      </c>
      <c r="AT827" t="s">
        <v>15333</v>
      </c>
      <c r="AU827">
        <v>2022</v>
      </c>
      <c r="AV827">
        <v>75</v>
      </c>
      <c r="AW827">
        <v>7</v>
      </c>
      <c r="AX827" t="s">
        <v>74</v>
      </c>
      <c r="AY827" t="s">
        <v>74</v>
      </c>
      <c r="AZ827" t="s">
        <v>74</v>
      </c>
      <c r="BA827" t="s">
        <v>74</v>
      </c>
      <c r="BB827">
        <v>18</v>
      </c>
      <c r="BC827">
        <v>20</v>
      </c>
      <c r="BD827" t="s">
        <v>74</v>
      </c>
      <c r="BE827" t="s">
        <v>16089</v>
      </c>
      <c r="BF827" t="str">
        <f>HYPERLINK("http://dx.doi.org/10.1063/PT.3.5035","http://dx.doi.org/10.1063/PT.3.5035")</f>
        <v>http://dx.doi.org/10.1063/PT.3.5035</v>
      </c>
      <c r="BG827" t="s">
        <v>74</v>
      </c>
      <c r="BH827" t="s">
        <v>74</v>
      </c>
      <c r="BI827">
        <v>3</v>
      </c>
      <c r="BJ827" t="s">
        <v>7854</v>
      </c>
      <c r="BK827" t="s">
        <v>100</v>
      </c>
      <c r="BL827" t="s">
        <v>7855</v>
      </c>
      <c r="BM827" t="s">
        <v>16090</v>
      </c>
      <c r="BN827" t="s">
        <v>74</v>
      </c>
      <c r="BO827" t="s">
        <v>404</v>
      </c>
      <c r="BP827" t="s">
        <v>74</v>
      </c>
      <c r="BQ827" t="s">
        <v>74</v>
      </c>
      <c r="BR827" t="s">
        <v>103</v>
      </c>
      <c r="BS827" t="s">
        <v>16091</v>
      </c>
      <c r="BT827" t="str">
        <f>HYPERLINK("https%3A%2F%2Fwww.webofscience.com%2Fwos%2Fwoscc%2Ffull-record%2FWOS:000832880500007","View Full Record in Web of Science")</f>
        <v>View Full Record in Web of Science</v>
      </c>
    </row>
    <row r="828" spans="1:72" x14ac:dyDescent="0.15">
      <c r="A828" t="s">
        <v>72</v>
      </c>
      <c r="B828" t="s">
        <v>16092</v>
      </c>
      <c r="C828" t="s">
        <v>74</v>
      </c>
      <c r="D828" t="s">
        <v>74</v>
      </c>
      <c r="E828" t="s">
        <v>74</v>
      </c>
      <c r="F828" t="s">
        <v>16093</v>
      </c>
      <c r="G828" t="s">
        <v>74</v>
      </c>
      <c r="H828" t="s">
        <v>74</v>
      </c>
      <c r="I828" t="s">
        <v>16094</v>
      </c>
      <c r="J828" t="s">
        <v>16095</v>
      </c>
      <c r="K828" t="s">
        <v>74</v>
      </c>
      <c r="L828" t="s">
        <v>74</v>
      </c>
      <c r="M828" t="s">
        <v>78</v>
      </c>
      <c r="N828" t="s">
        <v>79</v>
      </c>
      <c r="O828" t="s">
        <v>74</v>
      </c>
      <c r="P828" t="s">
        <v>74</v>
      </c>
      <c r="Q828" t="s">
        <v>74</v>
      </c>
      <c r="R828" t="s">
        <v>74</v>
      </c>
      <c r="S828" t="s">
        <v>74</v>
      </c>
      <c r="T828" t="s">
        <v>16096</v>
      </c>
      <c r="U828" t="s">
        <v>16097</v>
      </c>
      <c r="V828" t="s">
        <v>16098</v>
      </c>
      <c r="W828" t="s">
        <v>16099</v>
      </c>
      <c r="X828" t="s">
        <v>16100</v>
      </c>
      <c r="Y828" t="s">
        <v>16101</v>
      </c>
      <c r="Z828" t="s">
        <v>16102</v>
      </c>
      <c r="AA828" t="s">
        <v>16103</v>
      </c>
      <c r="AB828" t="s">
        <v>16104</v>
      </c>
      <c r="AC828" t="s">
        <v>16105</v>
      </c>
      <c r="AD828" t="s">
        <v>16106</v>
      </c>
      <c r="AE828" t="s">
        <v>16107</v>
      </c>
      <c r="AF828" t="s">
        <v>74</v>
      </c>
      <c r="AG828">
        <v>47</v>
      </c>
      <c r="AH828">
        <v>3</v>
      </c>
      <c r="AI828">
        <v>3</v>
      </c>
      <c r="AJ828">
        <v>1</v>
      </c>
      <c r="AK828">
        <v>6</v>
      </c>
      <c r="AL828" t="s">
        <v>754</v>
      </c>
      <c r="AM828" t="s">
        <v>755</v>
      </c>
      <c r="AN828" t="s">
        <v>756</v>
      </c>
      <c r="AO828" t="s">
        <v>74</v>
      </c>
      <c r="AP828" t="s">
        <v>16108</v>
      </c>
      <c r="AQ828" t="s">
        <v>74</v>
      </c>
      <c r="AR828" t="s">
        <v>16095</v>
      </c>
      <c r="AS828" t="s">
        <v>16109</v>
      </c>
      <c r="AT828" t="s">
        <v>184</v>
      </c>
      <c r="AU828">
        <v>2022</v>
      </c>
      <c r="AV828">
        <v>27</v>
      </c>
      <c r="AW828">
        <v>14</v>
      </c>
      <c r="AX828" t="s">
        <v>74</v>
      </c>
      <c r="AY828" t="s">
        <v>74</v>
      </c>
      <c r="AZ828" t="s">
        <v>74</v>
      </c>
      <c r="BA828" t="s">
        <v>74</v>
      </c>
      <c r="BB828" t="s">
        <v>74</v>
      </c>
      <c r="BC828" t="s">
        <v>74</v>
      </c>
      <c r="BD828">
        <v>4554</v>
      </c>
      <c r="BE828" t="s">
        <v>16110</v>
      </c>
      <c r="BF828" t="str">
        <f>HYPERLINK("http://dx.doi.org/10.3390/molecules27144554","http://dx.doi.org/10.3390/molecules27144554")</f>
        <v>http://dx.doi.org/10.3390/molecules27144554</v>
      </c>
      <c r="BG828" t="s">
        <v>74</v>
      </c>
      <c r="BH828" t="s">
        <v>74</v>
      </c>
      <c r="BI828">
        <v>10</v>
      </c>
      <c r="BJ828" t="s">
        <v>1514</v>
      </c>
      <c r="BK828" t="s">
        <v>100</v>
      </c>
      <c r="BL828" t="s">
        <v>1515</v>
      </c>
      <c r="BM828" t="s">
        <v>16111</v>
      </c>
      <c r="BN828">
        <v>35889426</v>
      </c>
      <c r="BO828" t="s">
        <v>159</v>
      </c>
      <c r="BP828" t="s">
        <v>74</v>
      </c>
      <c r="BQ828" t="s">
        <v>74</v>
      </c>
      <c r="BR828" t="s">
        <v>103</v>
      </c>
      <c r="BS828" t="s">
        <v>16112</v>
      </c>
      <c r="BT828" t="str">
        <f>HYPERLINK("https%3A%2F%2Fwww.webofscience.com%2Fwos%2Fwoscc%2Ffull-record%2FWOS:000834372000001","View Full Record in Web of Science")</f>
        <v>View Full Record in Web of Science</v>
      </c>
    </row>
    <row r="829" spans="1:72" x14ac:dyDescent="0.15">
      <c r="A829" t="s">
        <v>72</v>
      </c>
      <c r="B829" t="s">
        <v>16113</v>
      </c>
      <c r="C829" t="s">
        <v>74</v>
      </c>
      <c r="D829" t="s">
        <v>74</v>
      </c>
      <c r="E829" t="s">
        <v>74</v>
      </c>
      <c r="F829" t="s">
        <v>16114</v>
      </c>
      <c r="G829" t="s">
        <v>74</v>
      </c>
      <c r="H829" t="s">
        <v>74</v>
      </c>
      <c r="I829" t="s">
        <v>16115</v>
      </c>
      <c r="J829" t="s">
        <v>1112</v>
      </c>
      <c r="K829" t="s">
        <v>74</v>
      </c>
      <c r="L829" t="s">
        <v>74</v>
      </c>
      <c r="M829" t="s">
        <v>78</v>
      </c>
      <c r="N829" t="s">
        <v>79</v>
      </c>
      <c r="O829" t="s">
        <v>74</v>
      </c>
      <c r="P829" t="s">
        <v>74</v>
      </c>
      <c r="Q829" t="s">
        <v>74</v>
      </c>
      <c r="R829" t="s">
        <v>74</v>
      </c>
      <c r="S829" t="s">
        <v>74</v>
      </c>
      <c r="T829" t="s">
        <v>16116</v>
      </c>
      <c r="U829" t="s">
        <v>16117</v>
      </c>
      <c r="V829" t="s">
        <v>16118</v>
      </c>
      <c r="W829" t="s">
        <v>16119</v>
      </c>
      <c r="X829" t="s">
        <v>16120</v>
      </c>
      <c r="Y829" t="s">
        <v>16121</v>
      </c>
      <c r="Z829" t="s">
        <v>16122</v>
      </c>
      <c r="AA829" t="s">
        <v>16123</v>
      </c>
      <c r="AB829" t="s">
        <v>74</v>
      </c>
      <c r="AC829" t="s">
        <v>16124</v>
      </c>
      <c r="AD829" t="s">
        <v>16125</v>
      </c>
      <c r="AE829" t="s">
        <v>16126</v>
      </c>
      <c r="AF829" t="s">
        <v>74</v>
      </c>
      <c r="AG829">
        <v>46</v>
      </c>
      <c r="AH829">
        <v>1</v>
      </c>
      <c r="AI829">
        <v>1</v>
      </c>
      <c r="AJ829">
        <v>3</v>
      </c>
      <c r="AK829">
        <v>13</v>
      </c>
      <c r="AL829" t="s">
        <v>754</v>
      </c>
      <c r="AM829" t="s">
        <v>755</v>
      </c>
      <c r="AN829" t="s">
        <v>756</v>
      </c>
      <c r="AO829" t="s">
        <v>74</v>
      </c>
      <c r="AP829" t="s">
        <v>1125</v>
      </c>
      <c r="AQ829" t="s">
        <v>74</v>
      </c>
      <c r="AR829" t="s">
        <v>1126</v>
      </c>
      <c r="AS829" t="s">
        <v>1127</v>
      </c>
      <c r="AT829" t="s">
        <v>184</v>
      </c>
      <c r="AU829">
        <v>2022</v>
      </c>
      <c r="AV829">
        <v>13</v>
      </c>
      <c r="AW829">
        <v>7</v>
      </c>
      <c r="AX829" t="s">
        <v>74</v>
      </c>
      <c r="AY829" t="s">
        <v>74</v>
      </c>
      <c r="AZ829" t="s">
        <v>74</v>
      </c>
      <c r="BA829" t="s">
        <v>74</v>
      </c>
      <c r="BB829" t="s">
        <v>74</v>
      </c>
      <c r="BC829" t="s">
        <v>74</v>
      </c>
      <c r="BD829">
        <v>1056</v>
      </c>
      <c r="BE829" t="s">
        <v>16127</v>
      </c>
      <c r="BF829" t="str">
        <f>HYPERLINK("http://dx.doi.org/10.3390/atmos13071056","http://dx.doi.org/10.3390/atmos13071056")</f>
        <v>http://dx.doi.org/10.3390/atmos13071056</v>
      </c>
      <c r="BG829" t="s">
        <v>74</v>
      </c>
      <c r="BH829" t="s">
        <v>74</v>
      </c>
      <c r="BI829">
        <v>14</v>
      </c>
      <c r="BJ829" t="s">
        <v>1129</v>
      </c>
      <c r="BK829" t="s">
        <v>100</v>
      </c>
      <c r="BL829" t="s">
        <v>1130</v>
      </c>
      <c r="BM829" t="s">
        <v>16128</v>
      </c>
      <c r="BN829" t="s">
        <v>74</v>
      </c>
      <c r="BO829" t="s">
        <v>266</v>
      </c>
      <c r="BP829" t="s">
        <v>74</v>
      </c>
      <c r="BQ829" t="s">
        <v>74</v>
      </c>
      <c r="BR829" t="s">
        <v>103</v>
      </c>
      <c r="BS829" t="s">
        <v>16129</v>
      </c>
      <c r="BT829" t="str">
        <f>HYPERLINK("https%3A%2F%2Fwww.webofscience.com%2Fwos%2Fwoscc%2Ffull-record%2FWOS:000833862100001","View Full Record in Web of Science")</f>
        <v>View Full Record in Web of Science</v>
      </c>
    </row>
    <row r="830" spans="1:72" x14ac:dyDescent="0.15">
      <c r="A830" t="s">
        <v>72</v>
      </c>
      <c r="B830" t="s">
        <v>16130</v>
      </c>
      <c r="C830" t="s">
        <v>74</v>
      </c>
      <c r="D830" t="s">
        <v>74</v>
      </c>
      <c r="E830" t="s">
        <v>74</v>
      </c>
      <c r="F830" t="s">
        <v>16131</v>
      </c>
      <c r="G830" t="s">
        <v>74</v>
      </c>
      <c r="H830" t="s">
        <v>74</v>
      </c>
      <c r="I830" t="s">
        <v>16132</v>
      </c>
      <c r="J830" t="s">
        <v>16133</v>
      </c>
      <c r="K830" t="s">
        <v>74</v>
      </c>
      <c r="L830" t="s">
        <v>74</v>
      </c>
      <c r="M830" t="s">
        <v>78</v>
      </c>
      <c r="N830" t="s">
        <v>165</v>
      </c>
      <c r="O830" t="s">
        <v>74</v>
      </c>
      <c r="P830" t="s">
        <v>74</v>
      </c>
      <c r="Q830" t="s">
        <v>74</v>
      </c>
      <c r="R830" t="s">
        <v>74</v>
      </c>
      <c r="S830" t="s">
        <v>74</v>
      </c>
      <c r="T830" t="s">
        <v>16134</v>
      </c>
      <c r="U830" t="s">
        <v>16135</v>
      </c>
      <c r="V830" t="s">
        <v>16136</v>
      </c>
      <c r="W830" t="s">
        <v>16137</v>
      </c>
      <c r="X830" t="s">
        <v>16138</v>
      </c>
      <c r="Y830" t="s">
        <v>16139</v>
      </c>
      <c r="Z830" t="s">
        <v>16140</v>
      </c>
      <c r="AA830" t="s">
        <v>16141</v>
      </c>
      <c r="AB830" t="s">
        <v>16142</v>
      </c>
      <c r="AC830" t="s">
        <v>74</v>
      </c>
      <c r="AD830" t="s">
        <v>74</v>
      </c>
      <c r="AE830" t="s">
        <v>74</v>
      </c>
      <c r="AF830" t="s">
        <v>74</v>
      </c>
      <c r="AG830">
        <v>126</v>
      </c>
      <c r="AH830">
        <v>21</v>
      </c>
      <c r="AI830">
        <v>21</v>
      </c>
      <c r="AJ830">
        <v>2</v>
      </c>
      <c r="AK830">
        <v>45</v>
      </c>
      <c r="AL830" t="s">
        <v>754</v>
      </c>
      <c r="AM830" t="s">
        <v>755</v>
      </c>
      <c r="AN830" t="s">
        <v>756</v>
      </c>
      <c r="AO830" t="s">
        <v>74</v>
      </c>
      <c r="AP830" t="s">
        <v>16143</v>
      </c>
      <c r="AQ830" t="s">
        <v>74</v>
      </c>
      <c r="AR830" t="s">
        <v>16133</v>
      </c>
      <c r="AS830" t="s">
        <v>16144</v>
      </c>
      <c r="AT830" t="s">
        <v>184</v>
      </c>
      <c r="AU830">
        <v>2022</v>
      </c>
      <c r="AV830">
        <v>9</v>
      </c>
      <c r="AW830">
        <v>7</v>
      </c>
      <c r="AX830" t="s">
        <v>74</v>
      </c>
      <c r="AY830" t="s">
        <v>74</v>
      </c>
      <c r="AZ830" t="s">
        <v>74</v>
      </c>
      <c r="BA830" t="s">
        <v>74</v>
      </c>
      <c r="BB830" t="s">
        <v>74</v>
      </c>
      <c r="BC830" t="s">
        <v>74</v>
      </c>
      <c r="BD830">
        <v>93</v>
      </c>
      <c r="BE830" t="s">
        <v>16145</v>
      </c>
      <c r="BF830" t="str">
        <f>HYPERLINK("http://dx.doi.org/10.3390/environments9070093","http://dx.doi.org/10.3390/environments9070093")</f>
        <v>http://dx.doi.org/10.3390/environments9070093</v>
      </c>
      <c r="BG830" t="s">
        <v>74</v>
      </c>
      <c r="BH830" t="s">
        <v>74</v>
      </c>
      <c r="BI830">
        <v>17</v>
      </c>
      <c r="BJ830" t="s">
        <v>2040</v>
      </c>
      <c r="BK830" t="s">
        <v>215</v>
      </c>
      <c r="BL830" t="s">
        <v>2041</v>
      </c>
      <c r="BM830" t="s">
        <v>16146</v>
      </c>
      <c r="BN830" t="s">
        <v>74</v>
      </c>
      <c r="BO830" t="s">
        <v>132</v>
      </c>
      <c r="BP830" t="s">
        <v>74</v>
      </c>
      <c r="BQ830" t="s">
        <v>74</v>
      </c>
      <c r="BR830" t="s">
        <v>103</v>
      </c>
      <c r="BS830" t="s">
        <v>16147</v>
      </c>
      <c r="BT830" t="str">
        <f>HYPERLINK("https%3A%2F%2Fwww.webofscience.com%2Fwos%2Fwoscc%2Ffull-record%2FWOS:000833842100001","View Full Record in Web of Science")</f>
        <v>View Full Record in Web of Science</v>
      </c>
    </row>
    <row r="831" spans="1:72" x14ac:dyDescent="0.15">
      <c r="A831" t="s">
        <v>72</v>
      </c>
      <c r="B831" t="s">
        <v>16148</v>
      </c>
      <c r="C831" t="s">
        <v>74</v>
      </c>
      <c r="D831" t="s">
        <v>74</v>
      </c>
      <c r="E831" t="s">
        <v>74</v>
      </c>
      <c r="F831" t="s">
        <v>16149</v>
      </c>
      <c r="G831" t="s">
        <v>74</v>
      </c>
      <c r="H831" t="s">
        <v>74</v>
      </c>
      <c r="I831" t="s">
        <v>16150</v>
      </c>
      <c r="J831" t="s">
        <v>790</v>
      </c>
      <c r="K831" t="s">
        <v>74</v>
      </c>
      <c r="L831" t="s">
        <v>74</v>
      </c>
      <c r="M831" t="s">
        <v>78</v>
      </c>
      <c r="N831" t="s">
        <v>79</v>
      </c>
      <c r="O831" t="s">
        <v>74</v>
      </c>
      <c r="P831" t="s">
        <v>74</v>
      </c>
      <c r="Q831" t="s">
        <v>74</v>
      </c>
      <c r="R831" t="s">
        <v>74</v>
      </c>
      <c r="S831" t="s">
        <v>74</v>
      </c>
      <c r="T831" t="s">
        <v>16151</v>
      </c>
      <c r="U831" t="s">
        <v>16152</v>
      </c>
      <c r="V831" t="s">
        <v>16153</v>
      </c>
      <c r="W831" t="s">
        <v>16154</v>
      </c>
      <c r="X831" t="s">
        <v>16155</v>
      </c>
      <c r="Y831" t="s">
        <v>16156</v>
      </c>
      <c r="Z831" t="s">
        <v>16157</v>
      </c>
      <c r="AA831" t="s">
        <v>16158</v>
      </c>
      <c r="AB831" t="s">
        <v>16159</v>
      </c>
      <c r="AC831" t="s">
        <v>16160</v>
      </c>
      <c r="AD831" t="s">
        <v>16161</v>
      </c>
      <c r="AE831" t="s">
        <v>16162</v>
      </c>
      <c r="AF831" t="s">
        <v>74</v>
      </c>
      <c r="AG831">
        <v>63</v>
      </c>
      <c r="AH831">
        <v>4</v>
      </c>
      <c r="AI831">
        <v>4</v>
      </c>
      <c r="AJ831">
        <v>13</v>
      </c>
      <c r="AK831">
        <v>29</v>
      </c>
      <c r="AL831" t="s">
        <v>754</v>
      </c>
      <c r="AM831" t="s">
        <v>755</v>
      </c>
      <c r="AN831" t="s">
        <v>756</v>
      </c>
      <c r="AO831" t="s">
        <v>74</v>
      </c>
      <c r="AP831" t="s">
        <v>803</v>
      </c>
      <c r="AQ831" t="s">
        <v>74</v>
      </c>
      <c r="AR831" t="s">
        <v>790</v>
      </c>
      <c r="AS831" t="s">
        <v>804</v>
      </c>
      <c r="AT831" t="s">
        <v>184</v>
      </c>
      <c r="AU831">
        <v>2022</v>
      </c>
      <c r="AV831">
        <v>10</v>
      </c>
      <c r="AW831">
        <v>7</v>
      </c>
      <c r="AX831" t="s">
        <v>74</v>
      </c>
      <c r="AY831" t="s">
        <v>74</v>
      </c>
      <c r="AZ831" t="s">
        <v>74</v>
      </c>
      <c r="BA831" t="s">
        <v>74</v>
      </c>
      <c r="BB831" t="s">
        <v>74</v>
      </c>
      <c r="BC831" t="s">
        <v>74</v>
      </c>
      <c r="BD831">
        <v>1432</v>
      </c>
      <c r="BE831" t="s">
        <v>16163</v>
      </c>
      <c r="BF831" t="str">
        <f>HYPERLINK("http://dx.doi.org/10.3390/microorganisms10071432","http://dx.doi.org/10.3390/microorganisms10071432")</f>
        <v>http://dx.doi.org/10.3390/microorganisms10071432</v>
      </c>
      <c r="BG831" t="s">
        <v>74</v>
      </c>
      <c r="BH831" t="s">
        <v>74</v>
      </c>
      <c r="BI831">
        <v>15</v>
      </c>
      <c r="BJ831" t="s">
        <v>214</v>
      </c>
      <c r="BK831" t="s">
        <v>100</v>
      </c>
      <c r="BL831" t="s">
        <v>214</v>
      </c>
      <c r="BM831" t="s">
        <v>16164</v>
      </c>
      <c r="BN831">
        <v>35889151</v>
      </c>
      <c r="BO831" t="s">
        <v>132</v>
      </c>
      <c r="BP831" t="s">
        <v>74</v>
      </c>
      <c r="BQ831" t="s">
        <v>74</v>
      </c>
      <c r="BR831" t="s">
        <v>103</v>
      </c>
      <c r="BS831" t="s">
        <v>16165</v>
      </c>
      <c r="BT831" t="str">
        <f>HYPERLINK("https%3A%2F%2Fwww.webofscience.com%2Fwos%2Fwoscc%2Ffull-record%2FWOS:000833847500001","View Full Record in Web of Science")</f>
        <v>View Full Record in Web of Science</v>
      </c>
    </row>
    <row r="832" spans="1:72" x14ac:dyDescent="0.15">
      <c r="A832" t="s">
        <v>72</v>
      </c>
      <c r="B832" t="s">
        <v>16166</v>
      </c>
      <c r="C832" t="s">
        <v>74</v>
      </c>
      <c r="D832" t="s">
        <v>74</v>
      </c>
      <c r="E832" t="s">
        <v>74</v>
      </c>
      <c r="F832" t="s">
        <v>16167</v>
      </c>
      <c r="G832" t="s">
        <v>74</v>
      </c>
      <c r="H832" t="s">
        <v>74</v>
      </c>
      <c r="I832" t="s">
        <v>16168</v>
      </c>
      <c r="J832" t="s">
        <v>16169</v>
      </c>
      <c r="K832" t="s">
        <v>74</v>
      </c>
      <c r="L832" t="s">
        <v>74</v>
      </c>
      <c r="M832" t="s">
        <v>78</v>
      </c>
      <c r="N832" t="s">
        <v>79</v>
      </c>
      <c r="O832" t="s">
        <v>74</v>
      </c>
      <c r="P832" t="s">
        <v>74</v>
      </c>
      <c r="Q832" t="s">
        <v>74</v>
      </c>
      <c r="R832" t="s">
        <v>74</v>
      </c>
      <c r="S832" t="s">
        <v>74</v>
      </c>
      <c r="T832" t="s">
        <v>16170</v>
      </c>
      <c r="U832" t="s">
        <v>16171</v>
      </c>
      <c r="V832" t="s">
        <v>16172</v>
      </c>
      <c r="W832" t="s">
        <v>16173</v>
      </c>
      <c r="X832" t="s">
        <v>16174</v>
      </c>
      <c r="Y832" t="s">
        <v>16175</v>
      </c>
      <c r="Z832" t="s">
        <v>16176</v>
      </c>
      <c r="AA832" t="s">
        <v>74</v>
      </c>
      <c r="AB832" t="s">
        <v>16177</v>
      </c>
      <c r="AC832" t="s">
        <v>16178</v>
      </c>
      <c r="AD832" t="s">
        <v>11884</v>
      </c>
      <c r="AE832" t="s">
        <v>16179</v>
      </c>
      <c r="AF832" t="s">
        <v>74</v>
      </c>
      <c r="AG832">
        <v>45</v>
      </c>
      <c r="AH832">
        <v>5</v>
      </c>
      <c r="AI832">
        <v>5</v>
      </c>
      <c r="AJ832">
        <v>2</v>
      </c>
      <c r="AK832">
        <v>42</v>
      </c>
      <c r="AL832" t="s">
        <v>754</v>
      </c>
      <c r="AM832" t="s">
        <v>755</v>
      </c>
      <c r="AN832" t="s">
        <v>756</v>
      </c>
      <c r="AO832" t="s">
        <v>74</v>
      </c>
      <c r="AP832" t="s">
        <v>16180</v>
      </c>
      <c r="AQ832" t="s">
        <v>74</v>
      </c>
      <c r="AR832" t="s">
        <v>16169</v>
      </c>
      <c r="AS832" t="s">
        <v>16181</v>
      </c>
      <c r="AT832" t="s">
        <v>184</v>
      </c>
      <c r="AU832">
        <v>2022</v>
      </c>
      <c r="AV832">
        <v>13</v>
      </c>
      <c r="AW832">
        <v>7</v>
      </c>
      <c r="AX832" t="s">
        <v>74</v>
      </c>
      <c r="AY832" t="s">
        <v>74</v>
      </c>
      <c r="AZ832" t="s">
        <v>74</v>
      </c>
      <c r="BA832" t="s">
        <v>74</v>
      </c>
      <c r="BB832" t="s">
        <v>74</v>
      </c>
      <c r="BC832" t="s">
        <v>74</v>
      </c>
      <c r="BD832">
        <v>1100</v>
      </c>
      <c r="BE832" t="s">
        <v>16182</v>
      </c>
      <c r="BF832" t="str">
        <f>HYPERLINK("http://dx.doi.org/10.3390/f13071100","http://dx.doi.org/10.3390/f13071100")</f>
        <v>http://dx.doi.org/10.3390/f13071100</v>
      </c>
      <c r="BG832" t="s">
        <v>74</v>
      </c>
      <c r="BH832" t="s">
        <v>74</v>
      </c>
      <c r="BI832">
        <v>11</v>
      </c>
      <c r="BJ832" t="s">
        <v>16183</v>
      </c>
      <c r="BK832" t="s">
        <v>100</v>
      </c>
      <c r="BL832" t="s">
        <v>16183</v>
      </c>
      <c r="BM832" t="s">
        <v>16184</v>
      </c>
      <c r="BN832" t="s">
        <v>74</v>
      </c>
      <c r="BO832" t="s">
        <v>266</v>
      </c>
      <c r="BP832" t="s">
        <v>74</v>
      </c>
      <c r="BQ832" t="s">
        <v>74</v>
      </c>
      <c r="BR832" t="s">
        <v>103</v>
      </c>
      <c r="BS832" t="s">
        <v>16185</v>
      </c>
      <c r="BT832" t="str">
        <f>HYPERLINK("https%3A%2F%2Fwww.webofscience.com%2Fwos%2Fwoscc%2Ffull-record%2FWOS:000833826900001","View Full Record in Web of Science")</f>
        <v>View Full Record in Web of Science</v>
      </c>
    </row>
    <row r="833" spans="1:72" x14ac:dyDescent="0.15">
      <c r="A833" t="s">
        <v>72</v>
      </c>
      <c r="B833" t="s">
        <v>16186</v>
      </c>
      <c r="C833" t="s">
        <v>74</v>
      </c>
      <c r="D833" t="s">
        <v>74</v>
      </c>
      <c r="E833" t="s">
        <v>74</v>
      </c>
      <c r="F833" t="s">
        <v>16187</v>
      </c>
      <c r="G833" t="s">
        <v>74</v>
      </c>
      <c r="H833" t="s">
        <v>74</v>
      </c>
      <c r="I833" t="s">
        <v>16188</v>
      </c>
      <c r="J833" t="s">
        <v>11319</v>
      </c>
      <c r="K833" t="s">
        <v>74</v>
      </c>
      <c r="L833" t="s">
        <v>74</v>
      </c>
      <c r="M833" t="s">
        <v>78</v>
      </c>
      <c r="N833" t="s">
        <v>79</v>
      </c>
      <c r="O833" t="s">
        <v>74</v>
      </c>
      <c r="P833" t="s">
        <v>74</v>
      </c>
      <c r="Q833" t="s">
        <v>74</v>
      </c>
      <c r="R833" t="s">
        <v>74</v>
      </c>
      <c r="S833" t="s">
        <v>74</v>
      </c>
      <c r="T833" t="s">
        <v>16189</v>
      </c>
      <c r="U833" t="s">
        <v>16190</v>
      </c>
      <c r="V833" t="s">
        <v>16191</v>
      </c>
      <c r="W833" t="s">
        <v>16192</v>
      </c>
      <c r="X833" t="s">
        <v>16193</v>
      </c>
      <c r="Y833" t="s">
        <v>16194</v>
      </c>
      <c r="Z833" t="s">
        <v>16195</v>
      </c>
      <c r="AA833" t="s">
        <v>74</v>
      </c>
      <c r="AB833" t="s">
        <v>16196</v>
      </c>
      <c r="AC833" t="s">
        <v>16197</v>
      </c>
      <c r="AD833" t="s">
        <v>16198</v>
      </c>
      <c r="AE833" t="s">
        <v>16199</v>
      </c>
      <c r="AF833" t="s">
        <v>74</v>
      </c>
      <c r="AG833">
        <v>96</v>
      </c>
      <c r="AH833">
        <v>6</v>
      </c>
      <c r="AI833">
        <v>6</v>
      </c>
      <c r="AJ833">
        <v>1</v>
      </c>
      <c r="AK833">
        <v>16</v>
      </c>
      <c r="AL833" t="s">
        <v>754</v>
      </c>
      <c r="AM833" t="s">
        <v>755</v>
      </c>
      <c r="AN833" t="s">
        <v>756</v>
      </c>
      <c r="AO833" t="s">
        <v>74</v>
      </c>
      <c r="AP833" t="s">
        <v>11330</v>
      </c>
      <c r="AQ833" t="s">
        <v>74</v>
      </c>
      <c r="AR833" t="s">
        <v>11331</v>
      </c>
      <c r="AS833" t="s">
        <v>11332</v>
      </c>
      <c r="AT833" t="s">
        <v>184</v>
      </c>
      <c r="AU833">
        <v>2022</v>
      </c>
      <c r="AV833">
        <v>13</v>
      </c>
      <c r="AW833">
        <v>7</v>
      </c>
      <c r="AX833" t="s">
        <v>74</v>
      </c>
      <c r="AY833" t="s">
        <v>74</v>
      </c>
      <c r="AZ833" t="s">
        <v>74</v>
      </c>
      <c r="BA833" t="s">
        <v>74</v>
      </c>
      <c r="BB833" t="s">
        <v>74</v>
      </c>
      <c r="BC833" t="s">
        <v>74</v>
      </c>
      <c r="BD833">
        <v>1264</v>
      </c>
      <c r="BE833" t="s">
        <v>16200</v>
      </c>
      <c r="BF833" t="str">
        <f>HYPERLINK("http://dx.doi.org/10.3390/genes13071264","http://dx.doi.org/10.3390/genes13071264")</f>
        <v>http://dx.doi.org/10.3390/genes13071264</v>
      </c>
      <c r="BG833" t="s">
        <v>74</v>
      </c>
      <c r="BH833" t="s">
        <v>74</v>
      </c>
      <c r="BI833">
        <v>27</v>
      </c>
      <c r="BJ833" t="s">
        <v>11334</v>
      </c>
      <c r="BK833" t="s">
        <v>100</v>
      </c>
      <c r="BL833" t="s">
        <v>11334</v>
      </c>
      <c r="BM833" t="s">
        <v>16201</v>
      </c>
      <c r="BN833">
        <v>35886047</v>
      </c>
      <c r="BO833" t="s">
        <v>159</v>
      </c>
      <c r="BP833" t="s">
        <v>74</v>
      </c>
      <c r="BQ833" t="s">
        <v>74</v>
      </c>
      <c r="BR833" t="s">
        <v>103</v>
      </c>
      <c r="BS833" t="s">
        <v>16202</v>
      </c>
      <c r="BT833" t="str">
        <f>HYPERLINK("https%3A%2F%2Fwww.webofscience.com%2Fwos%2Fwoscc%2Ffull-record%2FWOS:000831828800001","View Full Record in Web of Science")</f>
        <v>View Full Record in Web of Science</v>
      </c>
    </row>
    <row r="834" spans="1:72" x14ac:dyDescent="0.15">
      <c r="A834" t="s">
        <v>72</v>
      </c>
      <c r="B834" t="s">
        <v>16203</v>
      </c>
      <c r="C834" t="s">
        <v>74</v>
      </c>
      <c r="D834" t="s">
        <v>74</v>
      </c>
      <c r="E834" t="s">
        <v>74</v>
      </c>
      <c r="F834" t="s">
        <v>16204</v>
      </c>
      <c r="G834" t="s">
        <v>74</v>
      </c>
      <c r="H834" t="s">
        <v>74</v>
      </c>
      <c r="I834" t="s">
        <v>16205</v>
      </c>
      <c r="J834" t="s">
        <v>6632</v>
      </c>
      <c r="K834" t="s">
        <v>74</v>
      </c>
      <c r="L834" t="s">
        <v>74</v>
      </c>
      <c r="M834" t="s">
        <v>78</v>
      </c>
      <c r="N834" t="s">
        <v>79</v>
      </c>
      <c r="O834" t="s">
        <v>74</v>
      </c>
      <c r="P834" t="s">
        <v>74</v>
      </c>
      <c r="Q834" t="s">
        <v>74</v>
      </c>
      <c r="R834" t="s">
        <v>74</v>
      </c>
      <c r="S834" t="s">
        <v>74</v>
      </c>
      <c r="T834" t="s">
        <v>16206</v>
      </c>
      <c r="U834" t="s">
        <v>16207</v>
      </c>
      <c r="V834" t="s">
        <v>16208</v>
      </c>
      <c r="W834" t="s">
        <v>16209</v>
      </c>
      <c r="X834" t="s">
        <v>16210</v>
      </c>
      <c r="Y834" t="s">
        <v>16211</v>
      </c>
      <c r="Z834" t="s">
        <v>16212</v>
      </c>
      <c r="AA834" t="s">
        <v>16213</v>
      </c>
      <c r="AB834" t="s">
        <v>16214</v>
      </c>
      <c r="AC834" t="s">
        <v>16215</v>
      </c>
      <c r="AD834" t="s">
        <v>16216</v>
      </c>
      <c r="AE834" t="s">
        <v>16217</v>
      </c>
      <c r="AF834" t="s">
        <v>74</v>
      </c>
      <c r="AG834">
        <v>45</v>
      </c>
      <c r="AH834">
        <v>3</v>
      </c>
      <c r="AI834">
        <v>3</v>
      </c>
      <c r="AJ834">
        <v>0</v>
      </c>
      <c r="AK834">
        <v>1</v>
      </c>
      <c r="AL834" t="s">
        <v>754</v>
      </c>
      <c r="AM834" t="s">
        <v>755</v>
      </c>
      <c r="AN834" t="s">
        <v>756</v>
      </c>
      <c r="AO834" t="s">
        <v>74</v>
      </c>
      <c r="AP834" t="s">
        <v>6643</v>
      </c>
      <c r="AQ834" t="s">
        <v>74</v>
      </c>
      <c r="AR834" t="s">
        <v>6644</v>
      </c>
      <c r="AS834" t="s">
        <v>6645</v>
      </c>
      <c r="AT834" t="s">
        <v>184</v>
      </c>
      <c r="AU834">
        <v>2022</v>
      </c>
      <c r="AV834">
        <v>10</v>
      </c>
      <c r="AW834">
        <v>7</v>
      </c>
      <c r="AX834" t="s">
        <v>74</v>
      </c>
      <c r="AY834" t="s">
        <v>74</v>
      </c>
      <c r="AZ834" t="s">
        <v>74</v>
      </c>
      <c r="BA834" t="s">
        <v>74</v>
      </c>
      <c r="BB834" t="s">
        <v>74</v>
      </c>
      <c r="BC834" t="s">
        <v>74</v>
      </c>
      <c r="BD834">
        <v>956</v>
      </c>
      <c r="BE834" t="s">
        <v>16218</v>
      </c>
      <c r="BF834" t="str">
        <f>HYPERLINK("http://dx.doi.org/10.3390/jmse10070956","http://dx.doi.org/10.3390/jmse10070956")</f>
        <v>http://dx.doi.org/10.3390/jmse10070956</v>
      </c>
      <c r="BG834" t="s">
        <v>74</v>
      </c>
      <c r="BH834" t="s">
        <v>74</v>
      </c>
      <c r="BI834">
        <v>17</v>
      </c>
      <c r="BJ834" t="s">
        <v>6647</v>
      </c>
      <c r="BK834" t="s">
        <v>100</v>
      </c>
      <c r="BL834" t="s">
        <v>6053</v>
      </c>
      <c r="BM834" t="s">
        <v>16219</v>
      </c>
      <c r="BN834" t="s">
        <v>74</v>
      </c>
      <c r="BO834" t="s">
        <v>266</v>
      </c>
      <c r="BP834" t="s">
        <v>74</v>
      </c>
      <c r="BQ834" t="s">
        <v>74</v>
      </c>
      <c r="BR834" t="s">
        <v>103</v>
      </c>
      <c r="BS834" t="s">
        <v>16220</v>
      </c>
      <c r="BT834" t="str">
        <f>HYPERLINK("https%3A%2F%2Fwww.webofscience.com%2Fwos%2Fwoscc%2Ffull-record%2FWOS:000832415200001","View Full Record in Web of Science")</f>
        <v>View Full Record in Web of Science</v>
      </c>
    </row>
    <row r="835" spans="1:72" x14ac:dyDescent="0.15">
      <c r="A835" t="s">
        <v>72</v>
      </c>
      <c r="B835" t="s">
        <v>16221</v>
      </c>
      <c r="C835" t="s">
        <v>74</v>
      </c>
      <c r="D835" t="s">
        <v>74</v>
      </c>
      <c r="E835" t="s">
        <v>74</v>
      </c>
      <c r="F835" t="s">
        <v>16222</v>
      </c>
      <c r="G835" t="s">
        <v>74</v>
      </c>
      <c r="H835" t="s">
        <v>74</v>
      </c>
      <c r="I835" t="s">
        <v>16223</v>
      </c>
      <c r="J835" t="s">
        <v>1112</v>
      </c>
      <c r="K835" t="s">
        <v>74</v>
      </c>
      <c r="L835" t="s">
        <v>74</v>
      </c>
      <c r="M835" t="s">
        <v>78</v>
      </c>
      <c r="N835" t="s">
        <v>79</v>
      </c>
      <c r="O835" t="s">
        <v>74</v>
      </c>
      <c r="P835" t="s">
        <v>74</v>
      </c>
      <c r="Q835" t="s">
        <v>74</v>
      </c>
      <c r="R835" t="s">
        <v>74</v>
      </c>
      <c r="S835" t="s">
        <v>74</v>
      </c>
      <c r="T835" t="s">
        <v>16224</v>
      </c>
      <c r="U835" t="s">
        <v>16225</v>
      </c>
      <c r="V835" t="s">
        <v>16226</v>
      </c>
      <c r="W835" t="s">
        <v>16227</v>
      </c>
      <c r="X835" t="s">
        <v>16228</v>
      </c>
      <c r="Y835" t="s">
        <v>16229</v>
      </c>
      <c r="Z835" t="s">
        <v>16230</v>
      </c>
      <c r="AA835" t="s">
        <v>16231</v>
      </c>
      <c r="AB835" t="s">
        <v>16232</v>
      </c>
      <c r="AC835" t="s">
        <v>16233</v>
      </c>
      <c r="AD835" t="s">
        <v>3043</v>
      </c>
      <c r="AE835" t="s">
        <v>16234</v>
      </c>
      <c r="AF835" t="s">
        <v>74</v>
      </c>
      <c r="AG835">
        <v>46</v>
      </c>
      <c r="AH835">
        <v>2</v>
      </c>
      <c r="AI835">
        <v>2</v>
      </c>
      <c r="AJ835">
        <v>2</v>
      </c>
      <c r="AK835">
        <v>2</v>
      </c>
      <c r="AL835" t="s">
        <v>754</v>
      </c>
      <c r="AM835" t="s">
        <v>755</v>
      </c>
      <c r="AN835" t="s">
        <v>756</v>
      </c>
      <c r="AO835" t="s">
        <v>74</v>
      </c>
      <c r="AP835" t="s">
        <v>1125</v>
      </c>
      <c r="AQ835" t="s">
        <v>74</v>
      </c>
      <c r="AR835" t="s">
        <v>1126</v>
      </c>
      <c r="AS835" t="s">
        <v>1127</v>
      </c>
      <c r="AT835" t="s">
        <v>184</v>
      </c>
      <c r="AU835">
        <v>2022</v>
      </c>
      <c r="AV835">
        <v>13</v>
      </c>
      <c r="AW835">
        <v>7</v>
      </c>
      <c r="AX835" t="s">
        <v>74</v>
      </c>
      <c r="AY835" t="s">
        <v>74</v>
      </c>
      <c r="AZ835" t="s">
        <v>74</v>
      </c>
      <c r="BA835" t="s">
        <v>74</v>
      </c>
      <c r="BB835" t="s">
        <v>74</v>
      </c>
      <c r="BC835" t="s">
        <v>74</v>
      </c>
      <c r="BD835">
        <v>1003</v>
      </c>
      <c r="BE835" t="s">
        <v>16235</v>
      </c>
      <c r="BF835" t="str">
        <f>HYPERLINK("http://dx.doi.org/10.3390/atmos13071003","http://dx.doi.org/10.3390/atmos13071003")</f>
        <v>http://dx.doi.org/10.3390/atmos13071003</v>
      </c>
      <c r="BG835" t="s">
        <v>74</v>
      </c>
      <c r="BH835" t="s">
        <v>74</v>
      </c>
      <c r="BI835">
        <v>17</v>
      </c>
      <c r="BJ835" t="s">
        <v>1129</v>
      </c>
      <c r="BK835" t="s">
        <v>100</v>
      </c>
      <c r="BL835" t="s">
        <v>1130</v>
      </c>
      <c r="BM835" t="s">
        <v>16236</v>
      </c>
      <c r="BN835" t="s">
        <v>74</v>
      </c>
      <c r="BO835" t="s">
        <v>132</v>
      </c>
      <c r="BP835" t="s">
        <v>74</v>
      </c>
      <c r="BQ835" t="s">
        <v>74</v>
      </c>
      <c r="BR835" t="s">
        <v>103</v>
      </c>
      <c r="BS835" t="s">
        <v>16237</v>
      </c>
      <c r="BT835" t="str">
        <f>HYPERLINK("https%3A%2F%2Fwww.webofscience.com%2Fwos%2Fwoscc%2Ffull-record%2FWOS:000832250200001","View Full Record in Web of Science")</f>
        <v>View Full Record in Web of Science</v>
      </c>
    </row>
    <row r="836" spans="1:72" x14ac:dyDescent="0.15">
      <c r="A836" t="s">
        <v>72</v>
      </c>
      <c r="B836" t="s">
        <v>16238</v>
      </c>
      <c r="C836" t="s">
        <v>74</v>
      </c>
      <c r="D836" t="s">
        <v>74</v>
      </c>
      <c r="E836" t="s">
        <v>74</v>
      </c>
      <c r="F836" t="s">
        <v>16239</v>
      </c>
      <c r="G836" t="s">
        <v>74</v>
      </c>
      <c r="H836" t="s">
        <v>74</v>
      </c>
      <c r="I836" t="s">
        <v>16240</v>
      </c>
      <c r="J836" t="s">
        <v>16241</v>
      </c>
      <c r="K836" t="s">
        <v>74</v>
      </c>
      <c r="L836" t="s">
        <v>74</v>
      </c>
      <c r="M836" t="s">
        <v>78</v>
      </c>
      <c r="N836" t="s">
        <v>79</v>
      </c>
      <c r="O836" t="s">
        <v>74</v>
      </c>
      <c r="P836" t="s">
        <v>74</v>
      </c>
      <c r="Q836" t="s">
        <v>74</v>
      </c>
      <c r="R836" t="s">
        <v>74</v>
      </c>
      <c r="S836" t="s">
        <v>74</v>
      </c>
      <c r="T836" t="s">
        <v>16242</v>
      </c>
      <c r="U836" t="s">
        <v>16243</v>
      </c>
      <c r="V836" t="s">
        <v>16244</v>
      </c>
      <c r="W836" t="s">
        <v>16245</v>
      </c>
      <c r="X836" t="s">
        <v>16246</v>
      </c>
      <c r="Y836" t="s">
        <v>16247</v>
      </c>
      <c r="Z836" t="s">
        <v>16248</v>
      </c>
      <c r="AA836" t="s">
        <v>74</v>
      </c>
      <c r="AB836" t="s">
        <v>16249</v>
      </c>
      <c r="AC836" t="s">
        <v>16250</v>
      </c>
      <c r="AD836" t="s">
        <v>447</v>
      </c>
      <c r="AE836" t="s">
        <v>16251</v>
      </c>
      <c r="AF836" t="s">
        <v>74</v>
      </c>
      <c r="AG836">
        <v>42</v>
      </c>
      <c r="AH836">
        <v>3</v>
      </c>
      <c r="AI836">
        <v>3</v>
      </c>
      <c r="AJ836">
        <v>0</v>
      </c>
      <c r="AK836">
        <v>2</v>
      </c>
      <c r="AL836" t="s">
        <v>754</v>
      </c>
      <c r="AM836" t="s">
        <v>755</v>
      </c>
      <c r="AN836" t="s">
        <v>756</v>
      </c>
      <c r="AO836" t="s">
        <v>74</v>
      </c>
      <c r="AP836" t="s">
        <v>16252</v>
      </c>
      <c r="AQ836" t="s">
        <v>74</v>
      </c>
      <c r="AR836" t="s">
        <v>16241</v>
      </c>
      <c r="AS836" t="s">
        <v>16253</v>
      </c>
      <c r="AT836" t="s">
        <v>184</v>
      </c>
      <c r="AU836">
        <v>2022</v>
      </c>
      <c r="AV836">
        <v>12</v>
      </c>
      <c r="AW836">
        <v>7</v>
      </c>
      <c r="AX836" t="s">
        <v>74</v>
      </c>
      <c r="AY836" t="s">
        <v>74</v>
      </c>
      <c r="AZ836" t="s">
        <v>74</v>
      </c>
      <c r="BA836" t="s">
        <v>74</v>
      </c>
      <c r="BB836" t="s">
        <v>74</v>
      </c>
      <c r="BC836" t="s">
        <v>74</v>
      </c>
      <c r="BD836">
        <v>861</v>
      </c>
      <c r="BE836" t="s">
        <v>16254</v>
      </c>
      <c r="BF836" t="str">
        <f>HYPERLINK("http://dx.doi.org/10.3390/biom12070861","http://dx.doi.org/10.3390/biom12070861")</f>
        <v>http://dx.doi.org/10.3390/biom12070861</v>
      </c>
      <c r="BG836" t="s">
        <v>74</v>
      </c>
      <c r="BH836" t="s">
        <v>74</v>
      </c>
      <c r="BI836">
        <v>11</v>
      </c>
      <c r="BJ836" t="s">
        <v>7768</v>
      </c>
      <c r="BK836" t="s">
        <v>100</v>
      </c>
      <c r="BL836" t="s">
        <v>7768</v>
      </c>
      <c r="BM836" t="s">
        <v>16255</v>
      </c>
      <c r="BN836">
        <v>35883420</v>
      </c>
      <c r="BO836" t="s">
        <v>132</v>
      </c>
      <c r="BP836" t="s">
        <v>74</v>
      </c>
      <c r="BQ836" t="s">
        <v>74</v>
      </c>
      <c r="BR836" t="s">
        <v>103</v>
      </c>
      <c r="BS836" t="s">
        <v>16256</v>
      </c>
      <c r="BT836" t="str">
        <f>HYPERLINK("https%3A%2F%2Fwww.webofscience.com%2Fwos%2Fwoscc%2Ffull-record%2FWOS:000831828300001","View Full Record in Web of Science")</f>
        <v>View Full Record in Web of Science</v>
      </c>
    </row>
    <row r="837" spans="1:72" x14ac:dyDescent="0.15">
      <c r="A837" t="s">
        <v>72</v>
      </c>
      <c r="B837" t="s">
        <v>16257</v>
      </c>
      <c r="C837" t="s">
        <v>74</v>
      </c>
      <c r="D837" t="s">
        <v>74</v>
      </c>
      <c r="E837" t="s">
        <v>74</v>
      </c>
      <c r="F837" t="s">
        <v>16258</v>
      </c>
      <c r="G837" t="s">
        <v>74</v>
      </c>
      <c r="H837" t="s">
        <v>74</v>
      </c>
      <c r="I837" t="s">
        <v>16259</v>
      </c>
      <c r="J837" t="s">
        <v>16260</v>
      </c>
      <c r="K837" t="s">
        <v>74</v>
      </c>
      <c r="L837" t="s">
        <v>74</v>
      </c>
      <c r="M837" t="s">
        <v>78</v>
      </c>
      <c r="N837" t="s">
        <v>79</v>
      </c>
      <c r="O837" t="s">
        <v>74</v>
      </c>
      <c r="P837" t="s">
        <v>74</v>
      </c>
      <c r="Q837" t="s">
        <v>74</v>
      </c>
      <c r="R837" t="s">
        <v>74</v>
      </c>
      <c r="S837" t="s">
        <v>74</v>
      </c>
      <c r="T837" t="s">
        <v>16261</v>
      </c>
      <c r="U837" t="s">
        <v>16262</v>
      </c>
      <c r="V837" t="s">
        <v>16263</v>
      </c>
      <c r="W837" t="s">
        <v>16264</v>
      </c>
      <c r="X837" t="s">
        <v>16265</v>
      </c>
      <c r="Y837" t="s">
        <v>16266</v>
      </c>
      <c r="Z837" t="s">
        <v>16267</v>
      </c>
      <c r="AA837" t="s">
        <v>16268</v>
      </c>
      <c r="AB837" t="s">
        <v>16269</v>
      </c>
      <c r="AC837" t="s">
        <v>16270</v>
      </c>
      <c r="AD837" t="s">
        <v>16270</v>
      </c>
      <c r="AE837" t="s">
        <v>16271</v>
      </c>
      <c r="AF837" t="s">
        <v>74</v>
      </c>
      <c r="AG837">
        <v>55</v>
      </c>
      <c r="AH837">
        <v>0</v>
      </c>
      <c r="AI837">
        <v>0</v>
      </c>
      <c r="AJ837">
        <v>0</v>
      </c>
      <c r="AK837">
        <v>3</v>
      </c>
      <c r="AL837" t="s">
        <v>754</v>
      </c>
      <c r="AM837" t="s">
        <v>755</v>
      </c>
      <c r="AN837" t="s">
        <v>756</v>
      </c>
      <c r="AO837" t="s">
        <v>74</v>
      </c>
      <c r="AP837" t="s">
        <v>16272</v>
      </c>
      <c r="AQ837" t="s">
        <v>74</v>
      </c>
      <c r="AR837" t="s">
        <v>16273</v>
      </c>
      <c r="AS837" t="s">
        <v>16274</v>
      </c>
      <c r="AT837" t="s">
        <v>184</v>
      </c>
      <c r="AU837">
        <v>2022</v>
      </c>
      <c r="AV837">
        <v>19</v>
      </c>
      <c r="AW837">
        <v>14</v>
      </c>
      <c r="AX837" t="s">
        <v>74</v>
      </c>
      <c r="AY837" t="s">
        <v>74</v>
      </c>
      <c r="AZ837" t="s">
        <v>74</v>
      </c>
      <c r="BA837" t="s">
        <v>74</v>
      </c>
      <c r="BB837" t="s">
        <v>74</v>
      </c>
      <c r="BC837" t="s">
        <v>74</v>
      </c>
      <c r="BD837">
        <v>8286</v>
      </c>
      <c r="BE837" t="s">
        <v>16275</v>
      </c>
      <c r="BF837" t="str">
        <f>HYPERLINK("http://dx.doi.org/10.3390/ijerph19148286","http://dx.doi.org/10.3390/ijerph19148286")</f>
        <v>http://dx.doi.org/10.3390/ijerph19148286</v>
      </c>
      <c r="BG837" t="s">
        <v>74</v>
      </c>
      <c r="BH837" t="s">
        <v>74</v>
      </c>
      <c r="BI837">
        <v>11</v>
      </c>
      <c r="BJ837" t="s">
        <v>8092</v>
      </c>
      <c r="BK837" t="s">
        <v>2332</v>
      </c>
      <c r="BL837" t="s">
        <v>8093</v>
      </c>
      <c r="BM837" t="s">
        <v>16276</v>
      </c>
      <c r="BN837">
        <v>35886138</v>
      </c>
      <c r="BO837" t="s">
        <v>132</v>
      </c>
      <c r="BP837" t="s">
        <v>74</v>
      </c>
      <c r="BQ837" t="s">
        <v>74</v>
      </c>
      <c r="BR837" t="s">
        <v>103</v>
      </c>
      <c r="BS837" t="s">
        <v>16277</v>
      </c>
      <c r="BT837" t="str">
        <f>HYPERLINK("https%3A%2F%2Fwww.webofscience.com%2Fwos%2Fwoscc%2Ffull-record%2FWOS:000832168900001","View Full Record in Web of Science")</f>
        <v>View Full Record in Web of Science</v>
      </c>
    </row>
    <row r="838" spans="1:72" x14ac:dyDescent="0.15">
      <c r="A838" t="s">
        <v>72</v>
      </c>
      <c r="B838" t="s">
        <v>16278</v>
      </c>
      <c r="C838" t="s">
        <v>74</v>
      </c>
      <c r="D838" t="s">
        <v>74</v>
      </c>
      <c r="E838" t="s">
        <v>74</v>
      </c>
      <c r="F838" t="s">
        <v>16279</v>
      </c>
      <c r="G838" t="s">
        <v>74</v>
      </c>
      <c r="H838" t="s">
        <v>74</v>
      </c>
      <c r="I838" t="s">
        <v>16280</v>
      </c>
      <c r="J838" t="s">
        <v>1497</v>
      </c>
      <c r="K838" t="s">
        <v>74</v>
      </c>
      <c r="L838" t="s">
        <v>74</v>
      </c>
      <c r="M838" t="s">
        <v>78</v>
      </c>
      <c r="N838" t="s">
        <v>79</v>
      </c>
      <c r="O838" t="s">
        <v>74</v>
      </c>
      <c r="P838" t="s">
        <v>74</v>
      </c>
      <c r="Q838" t="s">
        <v>74</v>
      </c>
      <c r="R838" t="s">
        <v>74</v>
      </c>
      <c r="S838" t="s">
        <v>74</v>
      </c>
      <c r="T838" t="s">
        <v>16281</v>
      </c>
      <c r="U838" t="s">
        <v>16282</v>
      </c>
      <c r="V838" t="s">
        <v>16283</v>
      </c>
      <c r="W838" t="s">
        <v>16284</v>
      </c>
      <c r="X838" t="s">
        <v>16285</v>
      </c>
      <c r="Y838" t="s">
        <v>16286</v>
      </c>
      <c r="Z838" t="s">
        <v>16287</v>
      </c>
      <c r="AA838" t="s">
        <v>16288</v>
      </c>
      <c r="AB838" t="s">
        <v>16289</v>
      </c>
      <c r="AC838" t="s">
        <v>16290</v>
      </c>
      <c r="AD838" t="s">
        <v>16291</v>
      </c>
      <c r="AE838" t="s">
        <v>16292</v>
      </c>
      <c r="AF838" t="s">
        <v>74</v>
      </c>
      <c r="AG838">
        <v>88</v>
      </c>
      <c r="AH838">
        <v>1</v>
      </c>
      <c r="AI838">
        <v>1</v>
      </c>
      <c r="AJ838">
        <v>1</v>
      </c>
      <c r="AK838">
        <v>7</v>
      </c>
      <c r="AL838" t="s">
        <v>754</v>
      </c>
      <c r="AM838" t="s">
        <v>755</v>
      </c>
      <c r="AN838" t="s">
        <v>756</v>
      </c>
      <c r="AO838" t="s">
        <v>74</v>
      </c>
      <c r="AP838" t="s">
        <v>1510</v>
      </c>
      <c r="AQ838" t="s">
        <v>74</v>
      </c>
      <c r="AR838" t="s">
        <v>1511</v>
      </c>
      <c r="AS838" t="s">
        <v>1512</v>
      </c>
      <c r="AT838" t="s">
        <v>184</v>
      </c>
      <c r="AU838">
        <v>2022</v>
      </c>
      <c r="AV838">
        <v>23</v>
      </c>
      <c r="AW838">
        <v>14</v>
      </c>
      <c r="AX838" t="s">
        <v>74</v>
      </c>
      <c r="AY838" t="s">
        <v>74</v>
      </c>
      <c r="AZ838" t="s">
        <v>74</v>
      </c>
      <c r="BA838" t="s">
        <v>74</v>
      </c>
      <c r="BB838" t="s">
        <v>74</v>
      </c>
      <c r="BC838" t="s">
        <v>74</v>
      </c>
      <c r="BD838">
        <v>7783</v>
      </c>
      <c r="BE838" t="s">
        <v>16293</v>
      </c>
      <c r="BF838" t="str">
        <f>HYPERLINK("http://dx.doi.org/10.3390/ijms23147783","http://dx.doi.org/10.3390/ijms23147783")</f>
        <v>http://dx.doi.org/10.3390/ijms23147783</v>
      </c>
      <c r="BG838" t="s">
        <v>74</v>
      </c>
      <c r="BH838" t="s">
        <v>74</v>
      </c>
      <c r="BI838">
        <v>23</v>
      </c>
      <c r="BJ838" t="s">
        <v>1514</v>
      </c>
      <c r="BK838" t="s">
        <v>100</v>
      </c>
      <c r="BL838" t="s">
        <v>1515</v>
      </c>
      <c r="BM838" t="s">
        <v>16294</v>
      </c>
      <c r="BN838">
        <v>35887127</v>
      </c>
      <c r="BO838" t="s">
        <v>5348</v>
      </c>
      <c r="BP838" t="s">
        <v>74</v>
      </c>
      <c r="BQ838" t="s">
        <v>74</v>
      </c>
      <c r="BR838" t="s">
        <v>103</v>
      </c>
      <c r="BS838" t="s">
        <v>16295</v>
      </c>
      <c r="BT838" t="str">
        <f>HYPERLINK("https%3A%2F%2Fwww.webofscience.com%2Fwos%2Fwoscc%2Ffull-record%2FWOS:000831789800001","View Full Record in Web of Science")</f>
        <v>View Full Record in Web of Science</v>
      </c>
    </row>
    <row r="839" spans="1:72" x14ac:dyDescent="0.15">
      <c r="A839" t="s">
        <v>72</v>
      </c>
      <c r="B839" t="s">
        <v>16296</v>
      </c>
      <c r="C839" t="s">
        <v>74</v>
      </c>
      <c r="D839" t="s">
        <v>74</v>
      </c>
      <c r="E839" t="s">
        <v>74</v>
      </c>
      <c r="F839" t="s">
        <v>16297</v>
      </c>
      <c r="G839" t="s">
        <v>74</v>
      </c>
      <c r="H839" t="s">
        <v>74</v>
      </c>
      <c r="I839" t="s">
        <v>16298</v>
      </c>
      <c r="J839" t="s">
        <v>790</v>
      </c>
      <c r="K839" t="s">
        <v>74</v>
      </c>
      <c r="L839" t="s">
        <v>74</v>
      </c>
      <c r="M839" t="s">
        <v>78</v>
      </c>
      <c r="N839" t="s">
        <v>79</v>
      </c>
      <c r="O839" t="s">
        <v>74</v>
      </c>
      <c r="P839" t="s">
        <v>74</v>
      </c>
      <c r="Q839" t="s">
        <v>74</v>
      </c>
      <c r="R839" t="s">
        <v>74</v>
      </c>
      <c r="S839" t="s">
        <v>74</v>
      </c>
      <c r="T839" t="s">
        <v>16299</v>
      </c>
      <c r="U839" t="s">
        <v>16300</v>
      </c>
      <c r="V839" t="s">
        <v>16301</v>
      </c>
      <c r="W839" t="s">
        <v>16302</v>
      </c>
      <c r="X839" t="s">
        <v>16303</v>
      </c>
      <c r="Y839" t="s">
        <v>16304</v>
      </c>
      <c r="Z839" t="s">
        <v>16305</v>
      </c>
      <c r="AA839" t="s">
        <v>74</v>
      </c>
      <c r="AB839" t="s">
        <v>74</v>
      </c>
      <c r="AC839" t="s">
        <v>16306</v>
      </c>
      <c r="AD839" t="s">
        <v>16307</v>
      </c>
      <c r="AE839" t="s">
        <v>16308</v>
      </c>
      <c r="AF839" t="s">
        <v>74</v>
      </c>
      <c r="AG839">
        <v>51</v>
      </c>
      <c r="AH839">
        <v>5</v>
      </c>
      <c r="AI839">
        <v>5</v>
      </c>
      <c r="AJ839">
        <v>0</v>
      </c>
      <c r="AK839">
        <v>9</v>
      </c>
      <c r="AL839" t="s">
        <v>754</v>
      </c>
      <c r="AM839" t="s">
        <v>755</v>
      </c>
      <c r="AN839" t="s">
        <v>756</v>
      </c>
      <c r="AO839" t="s">
        <v>74</v>
      </c>
      <c r="AP839" t="s">
        <v>803</v>
      </c>
      <c r="AQ839" t="s">
        <v>74</v>
      </c>
      <c r="AR839" t="s">
        <v>790</v>
      </c>
      <c r="AS839" t="s">
        <v>804</v>
      </c>
      <c r="AT839" t="s">
        <v>184</v>
      </c>
      <c r="AU839">
        <v>2022</v>
      </c>
      <c r="AV839">
        <v>10</v>
      </c>
      <c r="AW839">
        <v>7</v>
      </c>
      <c r="AX839" t="s">
        <v>74</v>
      </c>
      <c r="AY839" t="s">
        <v>74</v>
      </c>
      <c r="AZ839" t="s">
        <v>74</v>
      </c>
      <c r="BA839" t="s">
        <v>74</v>
      </c>
      <c r="BB839" t="s">
        <v>74</v>
      </c>
      <c r="BC839" t="s">
        <v>74</v>
      </c>
      <c r="BD839">
        <v>1340</v>
      </c>
      <c r="BE839" t="s">
        <v>16309</v>
      </c>
      <c r="BF839" t="str">
        <f>HYPERLINK("http://dx.doi.org/10.3390/microorganisms10071340","http://dx.doi.org/10.3390/microorganisms10071340")</f>
        <v>http://dx.doi.org/10.3390/microorganisms10071340</v>
      </c>
      <c r="BG839" t="s">
        <v>74</v>
      </c>
      <c r="BH839" t="s">
        <v>74</v>
      </c>
      <c r="BI839">
        <v>10</v>
      </c>
      <c r="BJ839" t="s">
        <v>214</v>
      </c>
      <c r="BK839" t="s">
        <v>100</v>
      </c>
      <c r="BL839" t="s">
        <v>214</v>
      </c>
      <c r="BM839" t="s">
        <v>16310</v>
      </c>
      <c r="BN839">
        <v>35889059</v>
      </c>
      <c r="BO839" t="s">
        <v>132</v>
      </c>
      <c r="BP839" t="s">
        <v>74</v>
      </c>
      <c r="BQ839" t="s">
        <v>74</v>
      </c>
      <c r="BR839" t="s">
        <v>103</v>
      </c>
      <c r="BS839" t="s">
        <v>16311</v>
      </c>
      <c r="BT839" t="str">
        <f>HYPERLINK("https%3A%2F%2Fwww.webofscience.com%2Fwos%2Fwoscc%2Ffull-record%2FWOS:000832405800001","View Full Record in Web of Science")</f>
        <v>View Full Record in Web of Science</v>
      </c>
    </row>
    <row r="840" spans="1:72" x14ac:dyDescent="0.15">
      <c r="A840" t="s">
        <v>72</v>
      </c>
      <c r="B840" t="s">
        <v>16312</v>
      </c>
      <c r="C840" t="s">
        <v>74</v>
      </c>
      <c r="D840" t="s">
        <v>74</v>
      </c>
      <c r="E840" t="s">
        <v>74</v>
      </c>
      <c r="F840" t="s">
        <v>16313</v>
      </c>
      <c r="G840" t="s">
        <v>74</v>
      </c>
      <c r="H840" t="s">
        <v>74</v>
      </c>
      <c r="I840" t="s">
        <v>16314</v>
      </c>
      <c r="J840" t="s">
        <v>1053</v>
      </c>
      <c r="K840" t="s">
        <v>74</v>
      </c>
      <c r="L840" t="s">
        <v>74</v>
      </c>
      <c r="M840" t="s">
        <v>78</v>
      </c>
      <c r="N840" t="s">
        <v>79</v>
      </c>
      <c r="O840" t="s">
        <v>74</v>
      </c>
      <c r="P840" t="s">
        <v>74</v>
      </c>
      <c r="Q840" t="s">
        <v>74</v>
      </c>
      <c r="R840" t="s">
        <v>74</v>
      </c>
      <c r="S840" t="s">
        <v>74</v>
      </c>
      <c r="T840" t="s">
        <v>16315</v>
      </c>
      <c r="U840" t="s">
        <v>16316</v>
      </c>
      <c r="V840" t="s">
        <v>16317</v>
      </c>
      <c r="W840" t="s">
        <v>16318</v>
      </c>
      <c r="X840" t="s">
        <v>16319</v>
      </c>
      <c r="Y840" t="s">
        <v>16320</v>
      </c>
      <c r="Z840" t="s">
        <v>16321</v>
      </c>
      <c r="AA840" t="s">
        <v>16322</v>
      </c>
      <c r="AB840" t="s">
        <v>74</v>
      </c>
      <c r="AC840" t="s">
        <v>16323</v>
      </c>
      <c r="AD840" t="s">
        <v>16324</v>
      </c>
      <c r="AE840" t="s">
        <v>16325</v>
      </c>
      <c r="AF840" t="s">
        <v>74</v>
      </c>
      <c r="AG840">
        <v>84</v>
      </c>
      <c r="AH840">
        <v>0</v>
      </c>
      <c r="AI840">
        <v>0</v>
      </c>
      <c r="AJ840">
        <v>6</v>
      </c>
      <c r="AK840">
        <v>21</v>
      </c>
      <c r="AL840" t="s">
        <v>1065</v>
      </c>
      <c r="AM840" t="s">
        <v>1066</v>
      </c>
      <c r="AN840" t="s">
        <v>1067</v>
      </c>
      <c r="AO840" t="s">
        <v>1068</v>
      </c>
      <c r="AP840" t="s">
        <v>1069</v>
      </c>
      <c r="AQ840" t="s">
        <v>74</v>
      </c>
      <c r="AR840" t="s">
        <v>1070</v>
      </c>
      <c r="AS840" t="s">
        <v>1071</v>
      </c>
      <c r="AT840" t="s">
        <v>184</v>
      </c>
      <c r="AU840">
        <v>2022</v>
      </c>
      <c r="AV840">
        <v>52</v>
      </c>
      <c r="AW840">
        <v>7</v>
      </c>
      <c r="AX840" t="s">
        <v>74</v>
      </c>
      <c r="AY840" t="s">
        <v>74</v>
      </c>
      <c r="AZ840" t="s">
        <v>74</v>
      </c>
      <c r="BA840" t="s">
        <v>74</v>
      </c>
      <c r="BB840">
        <v>1363</v>
      </c>
      <c r="BC840">
        <v>1381</v>
      </c>
      <c r="BD840" t="s">
        <v>74</v>
      </c>
      <c r="BE840" t="s">
        <v>16326</v>
      </c>
      <c r="BF840" t="str">
        <f>HYPERLINK("http://dx.doi.org/10.1175/JPO-D-21-0197.1","http://dx.doi.org/10.1175/JPO-D-21-0197.1")</f>
        <v>http://dx.doi.org/10.1175/JPO-D-21-0197.1</v>
      </c>
      <c r="BG840" t="s">
        <v>74</v>
      </c>
      <c r="BH840" t="s">
        <v>74</v>
      </c>
      <c r="BI840">
        <v>19</v>
      </c>
      <c r="BJ840" t="s">
        <v>674</v>
      </c>
      <c r="BK840" t="s">
        <v>100</v>
      </c>
      <c r="BL840" t="s">
        <v>674</v>
      </c>
      <c r="BM840" t="s">
        <v>16327</v>
      </c>
      <c r="BN840" t="s">
        <v>74</v>
      </c>
      <c r="BO840" t="s">
        <v>404</v>
      </c>
      <c r="BP840" t="s">
        <v>74</v>
      </c>
      <c r="BQ840" t="s">
        <v>74</v>
      </c>
      <c r="BR840" t="s">
        <v>103</v>
      </c>
      <c r="BS840" t="s">
        <v>16328</v>
      </c>
      <c r="BT840" t="str">
        <f>HYPERLINK("https%3A%2F%2Fwww.webofscience.com%2Fwos%2Fwoscc%2Ffull-record%2FWOS:000830574200003","View Full Record in Web of Science")</f>
        <v>View Full Record in Web of Science</v>
      </c>
    </row>
    <row r="841" spans="1:72" x14ac:dyDescent="0.15">
      <c r="A841" t="s">
        <v>72</v>
      </c>
      <c r="B841" t="s">
        <v>16329</v>
      </c>
      <c r="C841" t="s">
        <v>74</v>
      </c>
      <c r="D841" t="s">
        <v>74</v>
      </c>
      <c r="E841" t="s">
        <v>74</v>
      </c>
      <c r="F841" t="s">
        <v>16330</v>
      </c>
      <c r="G841" t="s">
        <v>74</v>
      </c>
      <c r="H841" t="s">
        <v>74</v>
      </c>
      <c r="I841" t="s">
        <v>16331</v>
      </c>
      <c r="J841" t="s">
        <v>1053</v>
      </c>
      <c r="K841" t="s">
        <v>74</v>
      </c>
      <c r="L841" t="s">
        <v>74</v>
      </c>
      <c r="M841" t="s">
        <v>78</v>
      </c>
      <c r="N841" t="s">
        <v>79</v>
      </c>
      <c r="O841" t="s">
        <v>74</v>
      </c>
      <c r="P841" t="s">
        <v>74</v>
      </c>
      <c r="Q841" t="s">
        <v>74</v>
      </c>
      <c r="R841" t="s">
        <v>74</v>
      </c>
      <c r="S841" t="s">
        <v>74</v>
      </c>
      <c r="T841" t="s">
        <v>16332</v>
      </c>
      <c r="U841" t="s">
        <v>16333</v>
      </c>
      <c r="V841" t="s">
        <v>16334</v>
      </c>
      <c r="W841" t="s">
        <v>16335</v>
      </c>
      <c r="X841" t="s">
        <v>16336</v>
      </c>
      <c r="Y841" t="s">
        <v>16337</v>
      </c>
      <c r="Z841" t="s">
        <v>16338</v>
      </c>
      <c r="AA841" t="s">
        <v>16339</v>
      </c>
      <c r="AB841" t="s">
        <v>16340</v>
      </c>
      <c r="AC841" t="s">
        <v>16341</v>
      </c>
      <c r="AD841" t="s">
        <v>16342</v>
      </c>
      <c r="AE841" t="s">
        <v>16343</v>
      </c>
      <c r="AF841" t="s">
        <v>74</v>
      </c>
      <c r="AG841">
        <v>85</v>
      </c>
      <c r="AH841">
        <v>11</v>
      </c>
      <c r="AI841">
        <v>11</v>
      </c>
      <c r="AJ841">
        <v>4</v>
      </c>
      <c r="AK841">
        <v>15</v>
      </c>
      <c r="AL841" t="s">
        <v>1065</v>
      </c>
      <c r="AM841" t="s">
        <v>1066</v>
      </c>
      <c r="AN841" t="s">
        <v>1067</v>
      </c>
      <c r="AO841" t="s">
        <v>1068</v>
      </c>
      <c r="AP841" t="s">
        <v>1069</v>
      </c>
      <c r="AQ841" t="s">
        <v>74</v>
      </c>
      <c r="AR841" t="s">
        <v>1070</v>
      </c>
      <c r="AS841" t="s">
        <v>1071</v>
      </c>
      <c r="AT841" t="s">
        <v>184</v>
      </c>
      <c r="AU841">
        <v>2022</v>
      </c>
      <c r="AV841">
        <v>52</v>
      </c>
      <c r="AW841">
        <v>7</v>
      </c>
      <c r="AX841" t="s">
        <v>74</v>
      </c>
      <c r="AY841" t="s">
        <v>74</v>
      </c>
      <c r="AZ841" t="s">
        <v>74</v>
      </c>
      <c r="BA841" t="s">
        <v>74</v>
      </c>
      <c r="BB841">
        <v>1431</v>
      </c>
      <c r="BC841">
        <v>1446</v>
      </c>
      <c r="BD841" t="s">
        <v>74</v>
      </c>
      <c r="BE841" t="s">
        <v>16344</v>
      </c>
      <c r="BF841" t="str">
        <f>HYPERLINK("http://dx.doi.org/10.1175/JPO-D-21-0238.1","http://dx.doi.org/10.1175/JPO-D-21-0238.1")</f>
        <v>http://dx.doi.org/10.1175/JPO-D-21-0238.1</v>
      </c>
      <c r="BG841" t="s">
        <v>74</v>
      </c>
      <c r="BH841" t="s">
        <v>74</v>
      </c>
      <c r="BI841">
        <v>16</v>
      </c>
      <c r="BJ841" t="s">
        <v>674</v>
      </c>
      <c r="BK841" t="s">
        <v>100</v>
      </c>
      <c r="BL841" t="s">
        <v>674</v>
      </c>
      <c r="BM841" t="s">
        <v>16327</v>
      </c>
      <c r="BN841" t="s">
        <v>74</v>
      </c>
      <c r="BO841" t="s">
        <v>2350</v>
      </c>
      <c r="BP841" t="s">
        <v>74</v>
      </c>
      <c r="BQ841" t="s">
        <v>74</v>
      </c>
      <c r="BR841" t="s">
        <v>103</v>
      </c>
      <c r="BS841" t="s">
        <v>16345</v>
      </c>
      <c r="BT841" t="str">
        <f>HYPERLINK("https%3A%2F%2Fwww.webofscience.com%2Fwos%2Fwoscc%2Ffull-record%2FWOS:000830574200007","View Full Record in Web of Science")</f>
        <v>View Full Record in Web of Science</v>
      </c>
    </row>
    <row r="842" spans="1:72" x14ac:dyDescent="0.15">
      <c r="A842" t="s">
        <v>72</v>
      </c>
      <c r="B842" t="s">
        <v>16346</v>
      </c>
      <c r="C842" t="s">
        <v>74</v>
      </c>
      <c r="D842" t="s">
        <v>74</v>
      </c>
      <c r="E842" t="s">
        <v>74</v>
      </c>
      <c r="F842" t="s">
        <v>16347</v>
      </c>
      <c r="G842" t="s">
        <v>74</v>
      </c>
      <c r="H842" t="s">
        <v>74</v>
      </c>
      <c r="I842" t="s">
        <v>16348</v>
      </c>
      <c r="J842" t="s">
        <v>1053</v>
      </c>
      <c r="K842" t="s">
        <v>74</v>
      </c>
      <c r="L842" t="s">
        <v>74</v>
      </c>
      <c r="M842" t="s">
        <v>78</v>
      </c>
      <c r="N842" t="s">
        <v>79</v>
      </c>
      <c r="O842" t="s">
        <v>74</v>
      </c>
      <c r="P842" t="s">
        <v>74</v>
      </c>
      <c r="Q842" t="s">
        <v>74</v>
      </c>
      <c r="R842" t="s">
        <v>74</v>
      </c>
      <c r="S842" t="s">
        <v>74</v>
      </c>
      <c r="T842" t="s">
        <v>16349</v>
      </c>
      <c r="U842" t="s">
        <v>16350</v>
      </c>
      <c r="V842" t="s">
        <v>16351</v>
      </c>
      <c r="W842" t="s">
        <v>16352</v>
      </c>
      <c r="X842" t="s">
        <v>16353</v>
      </c>
      <c r="Y842" t="s">
        <v>16354</v>
      </c>
      <c r="Z842" t="s">
        <v>16355</v>
      </c>
      <c r="AA842" t="s">
        <v>5909</v>
      </c>
      <c r="AB842" t="s">
        <v>5910</v>
      </c>
      <c r="AC842" t="s">
        <v>16356</v>
      </c>
      <c r="AD842" t="s">
        <v>16357</v>
      </c>
      <c r="AE842" t="s">
        <v>16358</v>
      </c>
      <c r="AF842" t="s">
        <v>74</v>
      </c>
      <c r="AG842">
        <v>35</v>
      </c>
      <c r="AH842">
        <v>0</v>
      </c>
      <c r="AI842">
        <v>0</v>
      </c>
      <c r="AJ842">
        <v>3</v>
      </c>
      <c r="AK842">
        <v>6</v>
      </c>
      <c r="AL842" t="s">
        <v>1065</v>
      </c>
      <c r="AM842" t="s">
        <v>1066</v>
      </c>
      <c r="AN842" t="s">
        <v>1067</v>
      </c>
      <c r="AO842" t="s">
        <v>1068</v>
      </c>
      <c r="AP842" t="s">
        <v>1069</v>
      </c>
      <c r="AQ842" t="s">
        <v>74</v>
      </c>
      <c r="AR842" t="s">
        <v>1070</v>
      </c>
      <c r="AS842" t="s">
        <v>1071</v>
      </c>
      <c r="AT842" t="s">
        <v>184</v>
      </c>
      <c r="AU842">
        <v>2022</v>
      </c>
      <c r="AV842">
        <v>52</v>
      </c>
      <c r="AW842">
        <v>7</v>
      </c>
      <c r="AX842" t="s">
        <v>74</v>
      </c>
      <c r="AY842" t="s">
        <v>74</v>
      </c>
      <c r="AZ842" t="s">
        <v>74</v>
      </c>
      <c r="BA842" t="s">
        <v>74</v>
      </c>
      <c r="BB842">
        <v>1531</v>
      </c>
      <c r="BC842">
        <v>1548</v>
      </c>
      <c r="BD842" t="s">
        <v>74</v>
      </c>
      <c r="BE842" t="s">
        <v>16359</v>
      </c>
      <c r="BF842" t="str">
        <f>HYPERLINK("http://dx.doi.org/10.1175/JPO-D-21-0070.1","http://dx.doi.org/10.1175/JPO-D-21-0070.1")</f>
        <v>http://dx.doi.org/10.1175/JPO-D-21-0070.1</v>
      </c>
      <c r="BG842" t="s">
        <v>74</v>
      </c>
      <c r="BH842" t="s">
        <v>74</v>
      </c>
      <c r="BI842">
        <v>18</v>
      </c>
      <c r="BJ842" t="s">
        <v>674</v>
      </c>
      <c r="BK842" t="s">
        <v>100</v>
      </c>
      <c r="BL842" t="s">
        <v>674</v>
      </c>
      <c r="BM842" t="s">
        <v>16327</v>
      </c>
      <c r="BN842" t="s">
        <v>74</v>
      </c>
      <c r="BO842" t="s">
        <v>404</v>
      </c>
      <c r="BP842" t="s">
        <v>74</v>
      </c>
      <c r="BQ842" t="s">
        <v>74</v>
      </c>
      <c r="BR842" t="s">
        <v>103</v>
      </c>
      <c r="BS842" t="s">
        <v>16360</v>
      </c>
      <c r="BT842" t="str">
        <f>HYPERLINK("https%3A%2F%2Fwww.webofscience.com%2Fwos%2Fwoscc%2Ffull-record%2FWOS:000830574200013","View Full Record in Web of Science")</f>
        <v>View Full Record in Web of Science</v>
      </c>
    </row>
    <row r="843" spans="1:72" x14ac:dyDescent="0.15">
      <c r="A843" t="s">
        <v>72</v>
      </c>
      <c r="B843" t="s">
        <v>16361</v>
      </c>
      <c r="C843" t="s">
        <v>74</v>
      </c>
      <c r="D843" t="s">
        <v>74</v>
      </c>
      <c r="E843" t="s">
        <v>74</v>
      </c>
      <c r="F843" t="s">
        <v>16362</v>
      </c>
      <c r="G843" t="s">
        <v>74</v>
      </c>
      <c r="H843" t="s">
        <v>74</v>
      </c>
      <c r="I843" t="s">
        <v>16363</v>
      </c>
      <c r="J843" t="s">
        <v>1053</v>
      </c>
      <c r="K843" t="s">
        <v>74</v>
      </c>
      <c r="L843" t="s">
        <v>74</v>
      </c>
      <c r="M843" t="s">
        <v>78</v>
      </c>
      <c r="N843" t="s">
        <v>79</v>
      </c>
      <c r="O843" t="s">
        <v>74</v>
      </c>
      <c r="P843" t="s">
        <v>74</v>
      </c>
      <c r="Q843" t="s">
        <v>74</v>
      </c>
      <c r="R843" t="s">
        <v>74</v>
      </c>
      <c r="S843" t="s">
        <v>74</v>
      </c>
      <c r="T843" t="s">
        <v>16364</v>
      </c>
      <c r="U843" t="s">
        <v>16365</v>
      </c>
      <c r="V843" t="s">
        <v>16366</v>
      </c>
      <c r="W843" t="s">
        <v>16367</v>
      </c>
      <c r="X843" t="s">
        <v>16368</v>
      </c>
      <c r="Y843" t="s">
        <v>16369</v>
      </c>
      <c r="Z843" t="s">
        <v>16370</v>
      </c>
      <c r="AA843" t="s">
        <v>16371</v>
      </c>
      <c r="AB843" t="s">
        <v>16372</v>
      </c>
      <c r="AC843" t="s">
        <v>16373</v>
      </c>
      <c r="AD843" t="s">
        <v>16374</v>
      </c>
      <c r="AE843" t="s">
        <v>16375</v>
      </c>
      <c r="AF843" t="s">
        <v>74</v>
      </c>
      <c r="AG843">
        <v>98</v>
      </c>
      <c r="AH843">
        <v>7</v>
      </c>
      <c r="AI843">
        <v>8</v>
      </c>
      <c r="AJ843">
        <v>0</v>
      </c>
      <c r="AK843">
        <v>3</v>
      </c>
      <c r="AL843" t="s">
        <v>1065</v>
      </c>
      <c r="AM843" t="s">
        <v>1066</v>
      </c>
      <c r="AN843" t="s">
        <v>1067</v>
      </c>
      <c r="AO843" t="s">
        <v>1068</v>
      </c>
      <c r="AP843" t="s">
        <v>1069</v>
      </c>
      <c r="AQ843" t="s">
        <v>74</v>
      </c>
      <c r="AR843" t="s">
        <v>1070</v>
      </c>
      <c r="AS843" t="s">
        <v>1071</v>
      </c>
      <c r="AT843" t="s">
        <v>184</v>
      </c>
      <c r="AU843">
        <v>2022</v>
      </c>
      <c r="AV843">
        <v>52</v>
      </c>
      <c r="AW843">
        <v>7</v>
      </c>
      <c r="AX843" t="s">
        <v>74</v>
      </c>
      <c r="AY843" t="s">
        <v>74</v>
      </c>
      <c r="AZ843" t="s">
        <v>74</v>
      </c>
      <c r="BA843" t="s">
        <v>74</v>
      </c>
      <c r="BB843">
        <v>1563</v>
      </c>
      <c r="BC843">
        <v>1589</v>
      </c>
      <c r="BD843" t="s">
        <v>74</v>
      </c>
      <c r="BE843" t="s">
        <v>16376</v>
      </c>
      <c r="BF843" t="str">
        <f>HYPERLINK("http://dx.doi.org/10.1175/JPO-D-21-0142.1","http://dx.doi.org/10.1175/JPO-D-21-0142.1")</f>
        <v>http://dx.doi.org/10.1175/JPO-D-21-0142.1</v>
      </c>
      <c r="BG843" t="s">
        <v>74</v>
      </c>
      <c r="BH843" t="s">
        <v>74</v>
      </c>
      <c r="BI843">
        <v>27</v>
      </c>
      <c r="BJ843" t="s">
        <v>674</v>
      </c>
      <c r="BK843" t="s">
        <v>100</v>
      </c>
      <c r="BL843" t="s">
        <v>674</v>
      </c>
      <c r="BM843" t="s">
        <v>16327</v>
      </c>
      <c r="BN843" t="s">
        <v>74</v>
      </c>
      <c r="BO843" t="s">
        <v>3327</v>
      </c>
      <c r="BP843" t="s">
        <v>74</v>
      </c>
      <c r="BQ843" t="s">
        <v>74</v>
      </c>
      <c r="BR843" t="s">
        <v>103</v>
      </c>
      <c r="BS843" t="s">
        <v>16377</v>
      </c>
      <c r="BT843" t="str">
        <f>HYPERLINK("https%3A%2F%2Fwww.webofscience.com%2Fwos%2Fwoscc%2Ffull-record%2FWOS:000830574200015","View Full Record in Web of Science")</f>
        <v>View Full Record in Web of Science</v>
      </c>
    </row>
    <row r="844" spans="1:72" x14ac:dyDescent="0.15">
      <c r="A844" t="s">
        <v>72</v>
      </c>
      <c r="B844" t="s">
        <v>16378</v>
      </c>
      <c r="C844" t="s">
        <v>74</v>
      </c>
      <c r="D844" t="s">
        <v>74</v>
      </c>
      <c r="E844" t="s">
        <v>74</v>
      </c>
      <c r="F844" t="s">
        <v>16379</v>
      </c>
      <c r="G844" t="s">
        <v>74</v>
      </c>
      <c r="H844" t="s">
        <v>74</v>
      </c>
      <c r="I844" t="s">
        <v>16380</v>
      </c>
      <c r="J844" t="s">
        <v>889</v>
      </c>
      <c r="K844" t="s">
        <v>74</v>
      </c>
      <c r="L844" t="s">
        <v>74</v>
      </c>
      <c r="M844" t="s">
        <v>78</v>
      </c>
      <c r="N844" t="s">
        <v>165</v>
      </c>
      <c r="O844" t="s">
        <v>74</v>
      </c>
      <c r="P844" t="s">
        <v>74</v>
      </c>
      <c r="Q844" t="s">
        <v>74</v>
      </c>
      <c r="R844" t="s">
        <v>74</v>
      </c>
      <c r="S844" t="s">
        <v>74</v>
      </c>
      <c r="T844" t="s">
        <v>16381</v>
      </c>
      <c r="U844" t="s">
        <v>16382</v>
      </c>
      <c r="V844" t="s">
        <v>16383</v>
      </c>
      <c r="W844" t="s">
        <v>16384</v>
      </c>
      <c r="X844" t="s">
        <v>16385</v>
      </c>
      <c r="Y844" t="s">
        <v>16386</v>
      </c>
      <c r="Z844" t="s">
        <v>16387</v>
      </c>
      <c r="AA844" t="s">
        <v>16388</v>
      </c>
      <c r="AB844" t="s">
        <v>16389</v>
      </c>
      <c r="AC844" t="s">
        <v>16390</v>
      </c>
      <c r="AD844" t="s">
        <v>16390</v>
      </c>
      <c r="AE844" t="s">
        <v>16391</v>
      </c>
      <c r="AF844" t="s">
        <v>74</v>
      </c>
      <c r="AG844">
        <v>249</v>
      </c>
      <c r="AH844">
        <v>10</v>
      </c>
      <c r="AI844">
        <v>10</v>
      </c>
      <c r="AJ844">
        <v>7</v>
      </c>
      <c r="AK844">
        <v>36</v>
      </c>
      <c r="AL844" t="s">
        <v>754</v>
      </c>
      <c r="AM844" t="s">
        <v>755</v>
      </c>
      <c r="AN844" t="s">
        <v>756</v>
      </c>
      <c r="AO844" t="s">
        <v>74</v>
      </c>
      <c r="AP844" t="s">
        <v>899</v>
      </c>
      <c r="AQ844" t="s">
        <v>74</v>
      </c>
      <c r="AR844" t="s">
        <v>900</v>
      </c>
      <c r="AS844" t="s">
        <v>901</v>
      </c>
      <c r="AT844" t="s">
        <v>184</v>
      </c>
      <c r="AU844">
        <v>2022</v>
      </c>
      <c r="AV844">
        <v>20</v>
      </c>
      <c r="AW844">
        <v>7</v>
      </c>
      <c r="AX844" t="s">
        <v>74</v>
      </c>
      <c r="AY844" t="s">
        <v>74</v>
      </c>
      <c r="AZ844" t="s">
        <v>74</v>
      </c>
      <c r="BA844" t="s">
        <v>74</v>
      </c>
      <c r="BB844" t="s">
        <v>74</v>
      </c>
      <c r="BC844" t="s">
        <v>74</v>
      </c>
      <c r="BD844">
        <v>430</v>
      </c>
      <c r="BE844" t="s">
        <v>16392</v>
      </c>
      <c r="BF844" t="str">
        <f>HYPERLINK("http://dx.doi.org/10.3390/md20070430","http://dx.doi.org/10.3390/md20070430")</f>
        <v>http://dx.doi.org/10.3390/md20070430</v>
      </c>
      <c r="BG844" t="s">
        <v>74</v>
      </c>
      <c r="BH844" t="s">
        <v>74</v>
      </c>
      <c r="BI844">
        <v>40</v>
      </c>
      <c r="BJ844" t="s">
        <v>903</v>
      </c>
      <c r="BK844" t="s">
        <v>100</v>
      </c>
      <c r="BL844" t="s">
        <v>904</v>
      </c>
      <c r="BM844" t="s">
        <v>16393</v>
      </c>
      <c r="BN844">
        <v>35877723</v>
      </c>
      <c r="BO844" t="s">
        <v>132</v>
      </c>
      <c r="BP844" t="s">
        <v>74</v>
      </c>
      <c r="BQ844" t="s">
        <v>74</v>
      </c>
      <c r="BR844" t="s">
        <v>103</v>
      </c>
      <c r="BS844" t="s">
        <v>16394</v>
      </c>
      <c r="BT844" t="str">
        <f>HYPERLINK("https%3A%2F%2Fwww.webofscience.com%2Fwos%2Fwoscc%2Ffull-record%2FWOS:000831469900001","View Full Record in Web of Science")</f>
        <v>View Full Record in Web of Science</v>
      </c>
    </row>
    <row r="845" spans="1:72" x14ac:dyDescent="0.15">
      <c r="A845" t="s">
        <v>72</v>
      </c>
      <c r="B845" t="s">
        <v>16395</v>
      </c>
      <c r="C845" t="s">
        <v>74</v>
      </c>
      <c r="D845" t="s">
        <v>74</v>
      </c>
      <c r="E845" t="s">
        <v>74</v>
      </c>
      <c r="F845" t="s">
        <v>16396</v>
      </c>
      <c r="G845" t="s">
        <v>74</v>
      </c>
      <c r="H845" t="s">
        <v>74</v>
      </c>
      <c r="I845" t="s">
        <v>16397</v>
      </c>
      <c r="J845" t="s">
        <v>16398</v>
      </c>
      <c r="K845" t="s">
        <v>74</v>
      </c>
      <c r="L845" t="s">
        <v>74</v>
      </c>
      <c r="M845" t="s">
        <v>78</v>
      </c>
      <c r="N845" t="s">
        <v>79</v>
      </c>
      <c r="O845" t="s">
        <v>74</v>
      </c>
      <c r="P845" t="s">
        <v>74</v>
      </c>
      <c r="Q845" t="s">
        <v>74</v>
      </c>
      <c r="R845" t="s">
        <v>74</v>
      </c>
      <c r="S845" t="s">
        <v>74</v>
      </c>
      <c r="T845" t="s">
        <v>74</v>
      </c>
      <c r="U845" t="s">
        <v>16399</v>
      </c>
      <c r="V845" t="s">
        <v>16400</v>
      </c>
      <c r="W845" t="s">
        <v>16401</v>
      </c>
      <c r="X845" t="s">
        <v>16402</v>
      </c>
      <c r="Y845" t="s">
        <v>16403</v>
      </c>
      <c r="Z845" t="s">
        <v>16404</v>
      </c>
      <c r="AA845" t="s">
        <v>16405</v>
      </c>
      <c r="AB845" t="s">
        <v>16406</v>
      </c>
      <c r="AC845" t="s">
        <v>16407</v>
      </c>
      <c r="AD845" t="s">
        <v>16407</v>
      </c>
      <c r="AE845" t="s">
        <v>16408</v>
      </c>
      <c r="AF845" t="s">
        <v>74</v>
      </c>
      <c r="AG845">
        <v>31</v>
      </c>
      <c r="AH845">
        <v>2</v>
      </c>
      <c r="AI845">
        <v>2</v>
      </c>
      <c r="AJ845">
        <v>4</v>
      </c>
      <c r="AK845">
        <v>5</v>
      </c>
      <c r="AL845" t="s">
        <v>16409</v>
      </c>
      <c r="AM845" t="s">
        <v>16410</v>
      </c>
      <c r="AN845" t="s">
        <v>16411</v>
      </c>
      <c r="AO845" t="s">
        <v>16412</v>
      </c>
      <c r="AP845" t="s">
        <v>16413</v>
      </c>
      <c r="AQ845" t="s">
        <v>74</v>
      </c>
      <c r="AR845" t="s">
        <v>16414</v>
      </c>
      <c r="AS845" t="s">
        <v>16415</v>
      </c>
      <c r="AT845" t="s">
        <v>184</v>
      </c>
      <c r="AU845">
        <v>2022</v>
      </c>
      <c r="AV845">
        <v>98</v>
      </c>
      <c r="AW845">
        <v>7</v>
      </c>
      <c r="AX845" t="s">
        <v>74</v>
      </c>
      <c r="AY845" t="s">
        <v>74</v>
      </c>
      <c r="AZ845" t="s">
        <v>74</v>
      </c>
      <c r="BA845" t="s">
        <v>74</v>
      </c>
      <c r="BB845">
        <v>911</v>
      </c>
      <c r="BC845">
        <v>916</v>
      </c>
      <c r="BD845" t="s">
        <v>74</v>
      </c>
      <c r="BE845" t="s">
        <v>16416</v>
      </c>
      <c r="BF845" t="str">
        <f>HYPERLINK("http://dx.doi.org/10.1007/s12594-022-2094-y","http://dx.doi.org/10.1007/s12594-022-2094-y")</f>
        <v>http://dx.doi.org/10.1007/s12594-022-2094-y</v>
      </c>
      <c r="BG845" t="s">
        <v>74</v>
      </c>
      <c r="BH845" t="s">
        <v>74</v>
      </c>
      <c r="BI845">
        <v>6</v>
      </c>
      <c r="BJ845" t="s">
        <v>129</v>
      </c>
      <c r="BK845" t="s">
        <v>100</v>
      </c>
      <c r="BL845" t="s">
        <v>130</v>
      </c>
      <c r="BM845" t="s">
        <v>16417</v>
      </c>
      <c r="BN845" t="s">
        <v>74</v>
      </c>
      <c r="BO845" t="s">
        <v>74</v>
      </c>
      <c r="BP845" t="s">
        <v>74</v>
      </c>
      <c r="BQ845" t="s">
        <v>74</v>
      </c>
      <c r="BR845" t="s">
        <v>103</v>
      </c>
      <c r="BS845" t="s">
        <v>16418</v>
      </c>
      <c r="BT845" t="str">
        <f>HYPERLINK("https%3A%2F%2Fwww.webofscience.com%2Fwos%2Fwoscc%2Ffull-record%2FWOS:000825994000005","View Full Record in Web of Science")</f>
        <v>View Full Record in Web of Science</v>
      </c>
    </row>
    <row r="846" spans="1:72" x14ac:dyDescent="0.15">
      <c r="A846" t="s">
        <v>72</v>
      </c>
      <c r="B846" t="s">
        <v>16419</v>
      </c>
      <c r="C846" t="s">
        <v>74</v>
      </c>
      <c r="D846" t="s">
        <v>74</v>
      </c>
      <c r="E846" t="s">
        <v>74</v>
      </c>
      <c r="F846" t="s">
        <v>16420</v>
      </c>
      <c r="G846" t="s">
        <v>74</v>
      </c>
      <c r="H846" t="s">
        <v>74</v>
      </c>
      <c r="I846" t="s">
        <v>16421</v>
      </c>
      <c r="J846" t="s">
        <v>6808</v>
      </c>
      <c r="K846" t="s">
        <v>74</v>
      </c>
      <c r="L846" t="s">
        <v>74</v>
      </c>
      <c r="M846" t="s">
        <v>78</v>
      </c>
      <c r="N846" t="s">
        <v>79</v>
      </c>
      <c r="O846" t="s">
        <v>74</v>
      </c>
      <c r="P846" t="s">
        <v>74</v>
      </c>
      <c r="Q846" t="s">
        <v>74</v>
      </c>
      <c r="R846" t="s">
        <v>74</v>
      </c>
      <c r="S846" t="s">
        <v>74</v>
      </c>
      <c r="T846" t="s">
        <v>74</v>
      </c>
      <c r="U846" t="s">
        <v>16422</v>
      </c>
      <c r="V846" t="s">
        <v>16423</v>
      </c>
      <c r="W846" t="s">
        <v>16424</v>
      </c>
      <c r="X846" t="s">
        <v>16425</v>
      </c>
      <c r="Y846" t="s">
        <v>16426</v>
      </c>
      <c r="Z846" t="s">
        <v>16427</v>
      </c>
      <c r="AA846" t="s">
        <v>16428</v>
      </c>
      <c r="AB846" t="s">
        <v>16429</v>
      </c>
      <c r="AC846" t="s">
        <v>16430</v>
      </c>
      <c r="AD846" t="s">
        <v>16431</v>
      </c>
      <c r="AE846" t="s">
        <v>16432</v>
      </c>
      <c r="AF846" t="s">
        <v>74</v>
      </c>
      <c r="AG846">
        <v>84</v>
      </c>
      <c r="AH846">
        <v>1</v>
      </c>
      <c r="AI846">
        <v>1</v>
      </c>
      <c r="AJ846">
        <v>3</v>
      </c>
      <c r="AK846">
        <v>9</v>
      </c>
      <c r="AL846" t="s">
        <v>231</v>
      </c>
      <c r="AM846" t="s">
        <v>232</v>
      </c>
      <c r="AN846" t="s">
        <v>233</v>
      </c>
      <c r="AO846" t="s">
        <v>6811</v>
      </c>
      <c r="AP846" t="s">
        <v>6812</v>
      </c>
      <c r="AQ846" t="s">
        <v>74</v>
      </c>
      <c r="AR846" t="s">
        <v>6813</v>
      </c>
      <c r="AS846" t="s">
        <v>6814</v>
      </c>
      <c r="AT846" t="s">
        <v>184</v>
      </c>
      <c r="AU846">
        <v>2022</v>
      </c>
      <c r="AV846">
        <v>24</v>
      </c>
      <c r="AW846">
        <v>7</v>
      </c>
      <c r="AX846" t="s">
        <v>74</v>
      </c>
      <c r="AY846" t="s">
        <v>74</v>
      </c>
      <c r="AZ846" t="s">
        <v>74</v>
      </c>
      <c r="BA846" t="s">
        <v>74</v>
      </c>
      <c r="BB846">
        <v>3164</v>
      </c>
      <c r="BC846">
        <v>3180</v>
      </c>
      <c r="BD846" t="s">
        <v>74</v>
      </c>
      <c r="BE846" t="s">
        <v>16433</v>
      </c>
      <c r="BF846" t="str">
        <f>HYPERLINK("http://dx.doi.org/10.1111/1462-2920.16073","http://dx.doi.org/10.1111/1462-2920.16073")</f>
        <v>http://dx.doi.org/10.1111/1462-2920.16073</v>
      </c>
      <c r="BG846" t="s">
        <v>74</v>
      </c>
      <c r="BH846" t="s">
        <v>74</v>
      </c>
      <c r="BI846">
        <v>17</v>
      </c>
      <c r="BJ846" t="s">
        <v>214</v>
      </c>
      <c r="BK846" t="s">
        <v>100</v>
      </c>
      <c r="BL846" t="s">
        <v>214</v>
      </c>
      <c r="BM846" t="s">
        <v>16434</v>
      </c>
      <c r="BN846">
        <v>35621047</v>
      </c>
      <c r="BO846" t="s">
        <v>74</v>
      </c>
      <c r="BP846" t="s">
        <v>74</v>
      </c>
      <c r="BQ846" t="s">
        <v>74</v>
      </c>
      <c r="BR846" t="s">
        <v>103</v>
      </c>
      <c r="BS846" t="s">
        <v>16435</v>
      </c>
      <c r="BT846" t="str">
        <f>HYPERLINK("https%3A%2F%2Fwww.webofscience.com%2Fwos%2Fwoscc%2Ffull-record%2FWOS:000827609300023","View Full Record in Web of Science")</f>
        <v>View Full Record in Web of Science</v>
      </c>
    </row>
    <row r="847" spans="1:72" x14ac:dyDescent="0.15">
      <c r="A847" t="s">
        <v>72</v>
      </c>
      <c r="B847" t="s">
        <v>16436</v>
      </c>
      <c r="C847" t="s">
        <v>74</v>
      </c>
      <c r="D847" t="s">
        <v>74</v>
      </c>
      <c r="E847" t="s">
        <v>74</v>
      </c>
      <c r="F847" t="s">
        <v>16437</v>
      </c>
      <c r="G847" t="s">
        <v>74</v>
      </c>
      <c r="H847" t="s">
        <v>74</v>
      </c>
      <c r="I847" t="s">
        <v>16438</v>
      </c>
      <c r="J847" t="s">
        <v>1200</v>
      </c>
      <c r="K847" t="s">
        <v>74</v>
      </c>
      <c r="L847" t="s">
        <v>74</v>
      </c>
      <c r="M847" t="s">
        <v>78</v>
      </c>
      <c r="N847" t="s">
        <v>79</v>
      </c>
      <c r="O847" t="s">
        <v>74</v>
      </c>
      <c r="P847" t="s">
        <v>74</v>
      </c>
      <c r="Q847" t="s">
        <v>74</v>
      </c>
      <c r="R847" t="s">
        <v>74</v>
      </c>
      <c r="S847" t="s">
        <v>74</v>
      </c>
      <c r="T847" t="s">
        <v>16439</v>
      </c>
      <c r="U847" t="s">
        <v>16440</v>
      </c>
      <c r="V847" t="s">
        <v>16441</v>
      </c>
      <c r="W847" t="s">
        <v>16442</v>
      </c>
      <c r="X847" t="s">
        <v>16443</v>
      </c>
      <c r="Y847" t="s">
        <v>16444</v>
      </c>
      <c r="Z847" t="s">
        <v>16445</v>
      </c>
      <c r="AA847" t="s">
        <v>16446</v>
      </c>
      <c r="AB847" t="s">
        <v>16447</v>
      </c>
      <c r="AC847" t="s">
        <v>16448</v>
      </c>
      <c r="AD847" t="s">
        <v>2200</v>
      </c>
      <c r="AE847" t="s">
        <v>16449</v>
      </c>
      <c r="AF847" t="s">
        <v>74</v>
      </c>
      <c r="AG847">
        <v>79</v>
      </c>
      <c r="AH847">
        <v>0</v>
      </c>
      <c r="AI847">
        <v>1</v>
      </c>
      <c r="AJ847">
        <v>1</v>
      </c>
      <c r="AK847">
        <v>15</v>
      </c>
      <c r="AL847" t="s">
        <v>946</v>
      </c>
      <c r="AM847" t="s">
        <v>207</v>
      </c>
      <c r="AN847" t="s">
        <v>947</v>
      </c>
      <c r="AO847" t="s">
        <v>1212</v>
      </c>
      <c r="AP847" t="s">
        <v>1213</v>
      </c>
      <c r="AQ847" t="s">
        <v>74</v>
      </c>
      <c r="AR847" t="s">
        <v>1214</v>
      </c>
      <c r="AS847" t="s">
        <v>1215</v>
      </c>
      <c r="AT847" t="s">
        <v>184</v>
      </c>
      <c r="AU847">
        <v>2022</v>
      </c>
      <c r="AV847">
        <v>127</v>
      </c>
      <c r="AW847">
        <v>7</v>
      </c>
      <c r="AX847" t="s">
        <v>74</v>
      </c>
      <c r="AY847" t="s">
        <v>74</v>
      </c>
      <c r="AZ847" t="s">
        <v>74</v>
      </c>
      <c r="BA847" t="s">
        <v>74</v>
      </c>
      <c r="BB847" t="s">
        <v>74</v>
      </c>
      <c r="BC847" t="s">
        <v>74</v>
      </c>
      <c r="BD847" t="s">
        <v>16450</v>
      </c>
      <c r="BE847" t="s">
        <v>16451</v>
      </c>
      <c r="BF847" t="str">
        <f>HYPERLINK("http://dx.doi.org/10.1029/2021JG006649","http://dx.doi.org/10.1029/2021JG006649")</f>
        <v>http://dx.doi.org/10.1029/2021JG006649</v>
      </c>
      <c r="BG847" t="s">
        <v>74</v>
      </c>
      <c r="BH847" t="s">
        <v>74</v>
      </c>
      <c r="BI847">
        <v>17</v>
      </c>
      <c r="BJ847" t="s">
        <v>1218</v>
      </c>
      <c r="BK847" t="s">
        <v>100</v>
      </c>
      <c r="BL847" t="s">
        <v>1219</v>
      </c>
      <c r="BM847" t="s">
        <v>16452</v>
      </c>
      <c r="BN847" t="s">
        <v>74</v>
      </c>
      <c r="BO847" t="s">
        <v>404</v>
      </c>
      <c r="BP847" t="s">
        <v>74</v>
      </c>
      <c r="BQ847" t="s">
        <v>74</v>
      </c>
      <c r="BR847" t="s">
        <v>103</v>
      </c>
      <c r="BS847" t="s">
        <v>16453</v>
      </c>
      <c r="BT847" t="str">
        <f>HYPERLINK("https%3A%2F%2Fwww.webofscience.com%2Fwos%2Fwoscc%2Ffull-record%2FWOS:000825349500001","View Full Record in Web of Science")</f>
        <v>View Full Record in Web of Science</v>
      </c>
    </row>
    <row r="848" spans="1:72" x14ac:dyDescent="0.15">
      <c r="A848" t="s">
        <v>72</v>
      </c>
      <c r="B848" t="s">
        <v>16454</v>
      </c>
      <c r="C848" t="s">
        <v>74</v>
      </c>
      <c r="D848" t="s">
        <v>74</v>
      </c>
      <c r="E848" t="s">
        <v>74</v>
      </c>
      <c r="F848" t="s">
        <v>16455</v>
      </c>
      <c r="G848" t="s">
        <v>74</v>
      </c>
      <c r="H848" t="s">
        <v>74</v>
      </c>
      <c r="I848" t="s">
        <v>16456</v>
      </c>
      <c r="J848" t="s">
        <v>6569</v>
      </c>
      <c r="K848" t="s">
        <v>74</v>
      </c>
      <c r="L848" t="s">
        <v>74</v>
      </c>
      <c r="M848" t="s">
        <v>78</v>
      </c>
      <c r="N848" t="s">
        <v>79</v>
      </c>
      <c r="O848" t="s">
        <v>74</v>
      </c>
      <c r="P848" t="s">
        <v>74</v>
      </c>
      <c r="Q848" t="s">
        <v>74</v>
      </c>
      <c r="R848" t="s">
        <v>74</v>
      </c>
      <c r="S848" t="s">
        <v>74</v>
      </c>
      <c r="T848" t="s">
        <v>16457</v>
      </c>
      <c r="U848" t="s">
        <v>16458</v>
      </c>
      <c r="V848" t="s">
        <v>16459</v>
      </c>
      <c r="W848" t="s">
        <v>16460</v>
      </c>
      <c r="X848" t="s">
        <v>16461</v>
      </c>
      <c r="Y848" t="s">
        <v>16462</v>
      </c>
      <c r="Z848" t="s">
        <v>16463</v>
      </c>
      <c r="AA848" t="s">
        <v>74</v>
      </c>
      <c r="AB848" t="s">
        <v>16464</v>
      </c>
      <c r="AC848" t="s">
        <v>16465</v>
      </c>
      <c r="AD848" t="s">
        <v>16466</v>
      </c>
      <c r="AE848" t="s">
        <v>16467</v>
      </c>
      <c r="AF848" t="s">
        <v>74</v>
      </c>
      <c r="AG848">
        <v>115</v>
      </c>
      <c r="AH848">
        <v>1</v>
      </c>
      <c r="AI848">
        <v>2</v>
      </c>
      <c r="AJ848">
        <v>3</v>
      </c>
      <c r="AK848">
        <v>19</v>
      </c>
      <c r="AL848" t="s">
        <v>231</v>
      </c>
      <c r="AM848" t="s">
        <v>232</v>
      </c>
      <c r="AN848" t="s">
        <v>233</v>
      </c>
      <c r="AO848" t="s">
        <v>6582</v>
      </c>
      <c r="AP848" t="s">
        <v>74</v>
      </c>
      <c r="AQ848" t="s">
        <v>74</v>
      </c>
      <c r="AR848" t="s">
        <v>6583</v>
      </c>
      <c r="AS848" t="s">
        <v>6584</v>
      </c>
      <c r="AT848" t="s">
        <v>184</v>
      </c>
      <c r="AU848">
        <v>2022</v>
      </c>
      <c r="AV848">
        <v>12</v>
      </c>
      <c r="AW848">
        <v>7</v>
      </c>
      <c r="AX848" t="s">
        <v>74</v>
      </c>
      <c r="AY848" t="s">
        <v>74</v>
      </c>
      <c r="AZ848" t="s">
        <v>74</v>
      </c>
      <c r="BA848" t="s">
        <v>74</v>
      </c>
      <c r="BB848" t="s">
        <v>74</v>
      </c>
      <c r="BC848" t="s">
        <v>74</v>
      </c>
      <c r="BD848" t="s">
        <v>16468</v>
      </c>
      <c r="BE848" t="s">
        <v>16469</v>
      </c>
      <c r="BF848" t="str">
        <f>HYPERLINK("http://dx.doi.org/10.1002/ece3.9093","http://dx.doi.org/10.1002/ece3.9093")</f>
        <v>http://dx.doi.org/10.1002/ece3.9093</v>
      </c>
      <c r="BG848" t="s">
        <v>74</v>
      </c>
      <c r="BH848" t="s">
        <v>74</v>
      </c>
      <c r="BI848">
        <v>17</v>
      </c>
      <c r="BJ848" t="s">
        <v>327</v>
      </c>
      <c r="BK848" t="s">
        <v>100</v>
      </c>
      <c r="BL848" t="s">
        <v>328</v>
      </c>
      <c r="BM848" t="s">
        <v>16470</v>
      </c>
      <c r="BN848">
        <v>35866013</v>
      </c>
      <c r="BO848" t="s">
        <v>132</v>
      </c>
      <c r="BP848" t="s">
        <v>74</v>
      </c>
      <c r="BQ848" t="s">
        <v>74</v>
      </c>
      <c r="BR848" t="s">
        <v>103</v>
      </c>
      <c r="BS848" t="s">
        <v>16471</v>
      </c>
      <c r="BT848" t="str">
        <f>HYPERLINK("https%3A%2F%2Fwww.webofscience.com%2Fwos%2Fwoscc%2Ffull-record%2FWOS:000826194400001","View Full Record in Web of Science")</f>
        <v>View Full Record in Web of Science</v>
      </c>
    </row>
    <row r="849" spans="1:72" x14ac:dyDescent="0.15">
      <c r="A849" t="s">
        <v>72</v>
      </c>
      <c r="B849" t="s">
        <v>16472</v>
      </c>
      <c r="C849" t="s">
        <v>74</v>
      </c>
      <c r="D849" t="s">
        <v>74</v>
      </c>
      <c r="E849" t="s">
        <v>74</v>
      </c>
      <c r="F849" t="s">
        <v>16473</v>
      </c>
      <c r="G849" t="s">
        <v>74</v>
      </c>
      <c r="H849" t="s">
        <v>74</v>
      </c>
      <c r="I849" t="s">
        <v>16474</v>
      </c>
      <c r="J849" t="s">
        <v>1385</v>
      </c>
      <c r="K849" t="s">
        <v>74</v>
      </c>
      <c r="L849" t="s">
        <v>74</v>
      </c>
      <c r="M849" t="s">
        <v>78</v>
      </c>
      <c r="N849" t="s">
        <v>79</v>
      </c>
      <c r="O849" t="s">
        <v>74</v>
      </c>
      <c r="P849" t="s">
        <v>74</v>
      </c>
      <c r="Q849" t="s">
        <v>74</v>
      </c>
      <c r="R849" t="s">
        <v>74</v>
      </c>
      <c r="S849" t="s">
        <v>74</v>
      </c>
      <c r="T849" t="s">
        <v>16475</v>
      </c>
      <c r="U849" t="s">
        <v>16476</v>
      </c>
      <c r="V849" t="s">
        <v>16477</v>
      </c>
      <c r="W849" t="s">
        <v>16478</v>
      </c>
      <c r="X849" t="s">
        <v>16479</v>
      </c>
      <c r="Y849" t="s">
        <v>16480</v>
      </c>
      <c r="Z849" t="s">
        <v>16481</v>
      </c>
      <c r="AA849" t="s">
        <v>16482</v>
      </c>
      <c r="AB849" t="s">
        <v>16483</v>
      </c>
      <c r="AC849" t="s">
        <v>16484</v>
      </c>
      <c r="AD849" t="s">
        <v>16485</v>
      </c>
      <c r="AE849" t="s">
        <v>16486</v>
      </c>
      <c r="AF849" t="s">
        <v>74</v>
      </c>
      <c r="AG849">
        <v>52</v>
      </c>
      <c r="AH849">
        <v>2</v>
      </c>
      <c r="AI849">
        <v>2</v>
      </c>
      <c r="AJ849">
        <v>3</v>
      </c>
      <c r="AK849">
        <v>6</v>
      </c>
      <c r="AL849" t="s">
        <v>946</v>
      </c>
      <c r="AM849" t="s">
        <v>207</v>
      </c>
      <c r="AN849" t="s">
        <v>947</v>
      </c>
      <c r="AO849" t="s">
        <v>1398</v>
      </c>
      <c r="AP849" t="s">
        <v>1399</v>
      </c>
      <c r="AQ849" t="s">
        <v>74</v>
      </c>
      <c r="AR849" t="s">
        <v>1400</v>
      </c>
      <c r="AS849" t="s">
        <v>1401</v>
      </c>
      <c r="AT849" t="s">
        <v>184</v>
      </c>
      <c r="AU849">
        <v>2022</v>
      </c>
      <c r="AV849">
        <v>127</v>
      </c>
      <c r="AW849">
        <v>7</v>
      </c>
      <c r="AX849" t="s">
        <v>74</v>
      </c>
      <c r="AY849" t="s">
        <v>74</v>
      </c>
      <c r="AZ849" t="s">
        <v>74</v>
      </c>
      <c r="BA849" t="s">
        <v>74</v>
      </c>
      <c r="BB849" t="s">
        <v>74</v>
      </c>
      <c r="BC849" t="s">
        <v>74</v>
      </c>
      <c r="BD849" t="s">
        <v>16487</v>
      </c>
      <c r="BE849" t="s">
        <v>16488</v>
      </c>
      <c r="BF849" t="str">
        <f>HYPERLINK("http://dx.doi.org/10.1029/2021JC018371","http://dx.doi.org/10.1029/2021JC018371")</f>
        <v>http://dx.doi.org/10.1029/2021JC018371</v>
      </c>
      <c r="BG849" t="s">
        <v>74</v>
      </c>
      <c r="BH849" t="s">
        <v>74</v>
      </c>
      <c r="BI849">
        <v>15</v>
      </c>
      <c r="BJ849" t="s">
        <v>674</v>
      </c>
      <c r="BK849" t="s">
        <v>100</v>
      </c>
      <c r="BL849" t="s">
        <v>674</v>
      </c>
      <c r="BM849" t="s">
        <v>16489</v>
      </c>
      <c r="BN849" t="s">
        <v>74</v>
      </c>
      <c r="BO849" t="s">
        <v>2512</v>
      </c>
      <c r="BP849" t="s">
        <v>74</v>
      </c>
      <c r="BQ849" t="s">
        <v>74</v>
      </c>
      <c r="BR849" t="s">
        <v>103</v>
      </c>
      <c r="BS849" t="s">
        <v>16490</v>
      </c>
      <c r="BT849" t="str">
        <f>HYPERLINK("https%3A%2F%2Fwww.webofscience.com%2Fwos%2Fwoscc%2Ffull-record%2FWOS:000826311300001","View Full Record in Web of Science")</f>
        <v>View Full Record in Web of Science</v>
      </c>
    </row>
    <row r="850" spans="1:72" x14ac:dyDescent="0.15">
      <c r="A850" t="s">
        <v>72</v>
      </c>
      <c r="B850" t="s">
        <v>16491</v>
      </c>
      <c r="C850" t="s">
        <v>74</v>
      </c>
      <c r="D850" t="s">
        <v>74</v>
      </c>
      <c r="E850" t="s">
        <v>74</v>
      </c>
      <c r="F850" t="s">
        <v>16492</v>
      </c>
      <c r="G850" t="s">
        <v>74</v>
      </c>
      <c r="H850" t="s">
        <v>74</v>
      </c>
      <c r="I850" t="s">
        <v>16493</v>
      </c>
      <c r="J850" t="s">
        <v>16494</v>
      </c>
      <c r="K850" t="s">
        <v>74</v>
      </c>
      <c r="L850" t="s">
        <v>74</v>
      </c>
      <c r="M850" t="s">
        <v>78</v>
      </c>
      <c r="N850" t="s">
        <v>79</v>
      </c>
      <c r="O850" t="s">
        <v>74</v>
      </c>
      <c r="P850" t="s">
        <v>74</v>
      </c>
      <c r="Q850" t="s">
        <v>74</v>
      </c>
      <c r="R850" t="s">
        <v>74</v>
      </c>
      <c r="S850" t="s">
        <v>74</v>
      </c>
      <c r="T850" t="s">
        <v>16495</v>
      </c>
      <c r="U850" t="s">
        <v>16496</v>
      </c>
      <c r="V850" t="s">
        <v>16497</v>
      </c>
      <c r="W850" t="s">
        <v>16498</v>
      </c>
      <c r="X850" t="s">
        <v>16499</v>
      </c>
      <c r="Y850" t="s">
        <v>16500</v>
      </c>
      <c r="Z850" t="s">
        <v>16501</v>
      </c>
      <c r="AA850" t="s">
        <v>16502</v>
      </c>
      <c r="AB850" t="s">
        <v>16503</v>
      </c>
      <c r="AC850" t="s">
        <v>16504</v>
      </c>
      <c r="AD850" t="s">
        <v>16505</v>
      </c>
      <c r="AE850" t="s">
        <v>16506</v>
      </c>
      <c r="AF850" t="s">
        <v>74</v>
      </c>
      <c r="AG850">
        <v>191</v>
      </c>
      <c r="AH850">
        <v>2</v>
      </c>
      <c r="AI850">
        <v>2</v>
      </c>
      <c r="AJ850">
        <v>2</v>
      </c>
      <c r="AK850">
        <v>14</v>
      </c>
      <c r="AL850" t="s">
        <v>231</v>
      </c>
      <c r="AM850" t="s">
        <v>232</v>
      </c>
      <c r="AN850" t="s">
        <v>233</v>
      </c>
      <c r="AO850" t="s">
        <v>16507</v>
      </c>
      <c r="AP850" t="s">
        <v>16508</v>
      </c>
      <c r="AQ850" t="s">
        <v>74</v>
      </c>
      <c r="AR850" t="s">
        <v>16494</v>
      </c>
      <c r="AS850" t="s">
        <v>2066</v>
      </c>
      <c r="AT850" t="s">
        <v>184</v>
      </c>
      <c r="AU850">
        <v>2022</v>
      </c>
      <c r="AV850">
        <v>65</v>
      </c>
      <c r="AW850">
        <v>4</v>
      </c>
      <c r="AX850" t="s">
        <v>74</v>
      </c>
      <c r="AY850" t="s">
        <v>74</v>
      </c>
      <c r="AZ850" t="s">
        <v>74</v>
      </c>
      <c r="BA850" t="s">
        <v>74</v>
      </c>
      <c r="BB850" t="s">
        <v>74</v>
      </c>
      <c r="BC850" t="s">
        <v>74</v>
      </c>
      <c r="BD850" t="s">
        <v>16509</v>
      </c>
      <c r="BE850" t="s">
        <v>16510</v>
      </c>
      <c r="BF850" t="str">
        <f>HYPERLINK("http://dx.doi.org/10.1111/pala.12615","http://dx.doi.org/10.1111/pala.12615")</f>
        <v>http://dx.doi.org/10.1111/pala.12615</v>
      </c>
      <c r="BG850" t="s">
        <v>74</v>
      </c>
      <c r="BH850" t="s">
        <v>74</v>
      </c>
      <c r="BI850">
        <v>24</v>
      </c>
      <c r="BJ850" t="s">
        <v>2066</v>
      </c>
      <c r="BK850" t="s">
        <v>100</v>
      </c>
      <c r="BL850" t="s">
        <v>2066</v>
      </c>
      <c r="BM850" t="s">
        <v>16511</v>
      </c>
      <c r="BN850">
        <v>36248238</v>
      </c>
      <c r="BO850" t="s">
        <v>2512</v>
      </c>
      <c r="BP850" t="s">
        <v>74</v>
      </c>
      <c r="BQ850" t="s">
        <v>74</v>
      </c>
      <c r="BR850" t="s">
        <v>103</v>
      </c>
      <c r="BS850" t="s">
        <v>16512</v>
      </c>
      <c r="BT850" t="str">
        <f>HYPERLINK("https%3A%2F%2Fwww.webofscience.com%2Fwos%2Fwoscc%2Ffull-record%2FWOS:000825833900001","View Full Record in Web of Science")</f>
        <v>View Full Record in Web of Science</v>
      </c>
    </row>
    <row r="851" spans="1:72" x14ac:dyDescent="0.15">
      <c r="A851" t="s">
        <v>72</v>
      </c>
      <c r="B851" t="s">
        <v>16513</v>
      </c>
      <c r="C851" t="s">
        <v>74</v>
      </c>
      <c r="D851" t="s">
        <v>74</v>
      </c>
      <c r="E851" t="s">
        <v>74</v>
      </c>
      <c r="F851" t="s">
        <v>16514</v>
      </c>
      <c r="G851" t="s">
        <v>74</v>
      </c>
      <c r="H851" t="s">
        <v>74</v>
      </c>
      <c r="I851" t="s">
        <v>16515</v>
      </c>
      <c r="J851" t="s">
        <v>1590</v>
      </c>
      <c r="K851" t="s">
        <v>74</v>
      </c>
      <c r="L851" t="s">
        <v>74</v>
      </c>
      <c r="M851" t="s">
        <v>78</v>
      </c>
      <c r="N851" t="s">
        <v>79</v>
      </c>
      <c r="O851" t="s">
        <v>74</v>
      </c>
      <c r="P851" t="s">
        <v>74</v>
      </c>
      <c r="Q851" t="s">
        <v>74</v>
      </c>
      <c r="R851" t="s">
        <v>74</v>
      </c>
      <c r="S851" t="s">
        <v>74</v>
      </c>
      <c r="T851" t="s">
        <v>16516</v>
      </c>
      <c r="U851" t="s">
        <v>16517</v>
      </c>
      <c r="V851" t="s">
        <v>16518</v>
      </c>
      <c r="W851" t="s">
        <v>16519</v>
      </c>
      <c r="X851" t="s">
        <v>1595</v>
      </c>
      <c r="Y851" t="s">
        <v>1596</v>
      </c>
      <c r="Z851" t="s">
        <v>16520</v>
      </c>
      <c r="AA851" t="s">
        <v>74</v>
      </c>
      <c r="AB851" t="s">
        <v>16521</v>
      </c>
      <c r="AC851" t="s">
        <v>16522</v>
      </c>
      <c r="AD851" t="s">
        <v>16523</v>
      </c>
      <c r="AE851" t="s">
        <v>16524</v>
      </c>
      <c r="AF851" t="s">
        <v>74</v>
      </c>
      <c r="AG851">
        <v>36</v>
      </c>
      <c r="AH851">
        <v>1</v>
      </c>
      <c r="AI851">
        <v>1</v>
      </c>
      <c r="AJ851">
        <v>1</v>
      </c>
      <c r="AK851">
        <v>9</v>
      </c>
      <c r="AL851" t="s">
        <v>754</v>
      </c>
      <c r="AM851" t="s">
        <v>755</v>
      </c>
      <c r="AN851" t="s">
        <v>756</v>
      </c>
      <c r="AO851" t="s">
        <v>1603</v>
      </c>
      <c r="AP851" t="s">
        <v>74</v>
      </c>
      <c r="AQ851" t="s">
        <v>74</v>
      </c>
      <c r="AR851" t="s">
        <v>1604</v>
      </c>
      <c r="AS851" t="s">
        <v>1605</v>
      </c>
      <c r="AT851" t="s">
        <v>184</v>
      </c>
      <c r="AU851">
        <v>2022</v>
      </c>
      <c r="AV851">
        <v>12</v>
      </c>
      <c r="AW851">
        <v>13</v>
      </c>
      <c r="AX851" t="s">
        <v>74</v>
      </c>
      <c r="AY851" t="s">
        <v>74</v>
      </c>
      <c r="AZ851" t="s">
        <v>74</v>
      </c>
      <c r="BA851" t="s">
        <v>74</v>
      </c>
      <c r="BB851" t="s">
        <v>74</v>
      </c>
      <c r="BC851" t="s">
        <v>74</v>
      </c>
      <c r="BD851">
        <v>1608</v>
      </c>
      <c r="BE851" t="s">
        <v>16525</v>
      </c>
      <c r="BF851" t="str">
        <f>HYPERLINK("http://dx.doi.org/10.3390/ani12131608","http://dx.doi.org/10.3390/ani12131608")</f>
        <v>http://dx.doi.org/10.3390/ani12131608</v>
      </c>
      <c r="BG851" t="s">
        <v>74</v>
      </c>
      <c r="BH851" t="s">
        <v>74</v>
      </c>
      <c r="BI851">
        <v>9</v>
      </c>
      <c r="BJ851" t="s">
        <v>1607</v>
      </c>
      <c r="BK851" t="s">
        <v>100</v>
      </c>
      <c r="BL851" t="s">
        <v>1608</v>
      </c>
      <c r="BM851" t="s">
        <v>16526</v>
      </c>
      <c r="BN851">
        <v>35804506</v>
      </c>
      <c r="BO851" t="s">
        <v>159</v>
      </c>
      <c r="BP851" t="s">
        <v>74</v>
      </c>
      <c r="BQ851" t="s">
        <v>74</v>
      </c>
      <c r="BR851" t="s">
        <v>103</v>
      </c>
      <c r="BS851" t="s">
        <v>16527</v>
      </c>
      <c r="BT851" t="str">
        <f>HYPERLINK("https%3A%2F%2Fwww.webofscience.com%2Fwos%2Fwoscc%2Ffull-record%2FWOS:000825675300001","View Full Record in Web of Science")</f>
        <v>View Full Record in Web of Science</v>
      </c>
    </row>
    <row r="852" spans="1:72" x14ac:dyDescent="0.15">
      <c r="A852" t="s">
        <v>72</v>
      </c>
      <c r="B852" t="s">
        <v>16528</v>
      </c>
      <c r="C852" t="s">
        <v>74</v>
      </c>
      <c r="D852" t="s">
        <v>74</v>
      </c>
      <c r="E852" t="s">
        <v>74</v>
      </c>
      <c r="F852" t="s">
        <v>16529</v>
      </c>
      <c r="G852" t="s">
        <v>74</v>
      </c>
      <c r="H852" t="s">
        <v>74</v>
      </c>
      <c r="I852" t="s">
        <v>16530</v>
      </c>
      <c r="J852" t="s">
        <v>16531</v>
      </c>
      <c r="K852" t="s">
        <v>74</v>
      </c>
      <c r="L852" t="s">
        <v>74</v>
      </c>
      <c r="M852" t="s">
        <v>78</v>
      </c>
      <c r="N852" t="s">
        <v>79</v>
      </c>
      <c r="O852" t="s">
        <v>74</v>
      </c>
      <c r="P852" t="s">
        <v>74</v>
      </c>
      <c r="Q852" t="s">
        <v>74</v>
      </c>
      <c r="R852" t="s">
        <v>74</v>
      </c>
      <c r="S852" t="s">
        <v>74</v>
      </c>
      <c r="T852" t="s">
        <v>16532</v>
      </c>
      <c r="U852" t="s">
        <v>16533</v>
      </c>
      <c r="V852" t="s">
        <v>16534</v>
      </c>
      <c r="W852" t="s">
        <v>16535</v>
      </c>
      <c r="X852" t="s">
        <v>16536</v>
      </c>
      <c r="Y852" t="s">
        <v>16537</v>
      </c>
      <c r="Z852" t="s">
        <v>16538</v>
      </c>
      <c r="AA852" t="s">
        <v>16539</v>
      </c>
      <c r="AB852" t="s">
        <v>16540</v>
      </c>
      <c r="AC852" t="s">
        <v>16541</v>
      </c>
      <c r="AD852" t="s">
        <v>16542</v>
      </c>
      <c r="AE852" t="s">
        <v>16543</v>
      </c>
      <c r="AF852" t="s">
        <v>74</v>
      </c>
      <c r="AG852">
        <v>49</v>
      </c>
      <c r="AH852">
        <v>4</v>
      </c>
      <c r="AI852">
        <v>4</v>
      </c>
      <c r="AJ852">
        <v>3</v>
      </c>
      <c r="AK852">
        <v>16</v>
      </c>
      <c r="AL852" t="s">
        <v>501</v>
      </c>
      <c r="AM852" t="s">
        <v>502</v>
      </c>
      <c r="AN852" t="s">
        <v>503</v>
      </c>
      <c r="AO852" t="s">
        <v>74</v>
      </c>
      <c r="AP852" t="s">
        <v>16544</v>
      </c>
      <c r="AQ852" t="s">
        <v>74</v>
      </c>
      <c r="AR852" t="s">
        <v>16545</v>
      </c>
      <c r="AS852" t="s">
        <v>16546</v>
      </c>
      <c r="AT852" t="s">
        <v>3605</v>
      </c>
      <c r="AU852">
        <v>2022</v>
      </c>
      <c r="AV852">
        <v>23</v>
      </c>
      <c r="AW852" t="s">
        <v>74</v>
      </c>
      <c r="AX852" t="s">
        <v>74</v>
      </c>
      <c r="AY852" t="s">
        <v>74</v>
      </c>
      <c r="AZ852" t="s">
        <v>74</v>
      </c>
      <c r="BA852" t="s">
        <v>74</v>
      </c>
      <c r="BB852" t="s">
        <v>74</v>
      </c>
      <c r="BC852" t="s">
        <v>74</v>
      </c>
      <c r="BD852">
        <v>100569</v>
      </c>
      <c r="BE852" t="s">
        <v>16547</v>
      </c>
      <c r="BF852" t="str">
        <f>HYPERLINK("http://dx.doi.org/10.1016/j.rhisph.2022.100569","http://dx.doi.org/10.1016/j.rhisph.2022.100569")</f>
        <v>http://dx.doi.org/10.1016/j.rhisph.2022.100569</v>
      </c>
      <c r="BG852" t="s">
        <v>74</v>
      </c>
      <c r="BH852" t="s">
        <v>12326</v>
      </c>
      <c r="BI852">
        <v>9</v>
      </c>
      <c r="BJ852" t="s">
        <v>16548</v>
      </c>
      <c r="BK852" t="s">
        <v>100</v>
      </c>
      <c r="BL852" t="s">
        <v>16549</v>
      </c>
      <c r="BM852" t="s">
        <v>16550</v>
      </c>
      <c r="BN852" t="s">
        <v>74</v>
      </c>
      <c r="BO852" t="s">
        <v>74</v>
      </c>
      <c r="BP852" t="s">
        <v>74</v>
      </c>
      <c r="BQ852" t="s">
        <v>74</v>
      </c>
      <c r="BR852" t="s">
        <v>103</v>
      </c>
      <c r="BS852" t="s">
        <v>16551</v>
      </c>
      <c r="BT852" t="str">
        <f>HYPERLINK("https%3A%2F%2Fwww.webofscience.com%2Fwos%2Fwoscc%2Ffull-record%2FWOS:000825080600001","View Full Record in Web of Science")</f>
        <v>View Full Record in Web of Science</v>
      </c>
    </row>
    <row r="853" spans="1:72" x14ac:dyDescent="0.15">
      <c r="A853" t="s">
        <v>72</v>
      </c>
      <c r="B853" t="s">
        <v>16552</v>
      </c>
      <c r="C853" t="s">
        <v>74</v>
      </c>
      <c r="D853" t="s">
        <v>74</v>
      </c>
      <c r="E853" t="s">
        <v>74</v>
      </c>
      <c r="F853" t="s">
        <v>16553</v>
      </c>
      <c r="G853" t="s">
        <v>74</v>
      </c>
      <c r="H853" t="s">
        <v>74</v>
      </c>
      <c r="I853" t="s">
        <v>16554</v>
      </c>
      <c r="J853" t="s">
        <v>11540</v>
      </c>
      <c r="K853" t="s">
        <v>74</v>
      </c>
      <c r="L853" t="s">
        <v>74</v>
      </c>
      <c r="M853" t="s">
        <v>78</v>
      </c>
      <c r="N853" t="s">
        <v>79</v>
      </c>
      <c r="O853" t="s">
        <v>74</v>
      </c>
      <c r="P853" t="s">
        <v>74</v>
      </c>
      <c r="Q853" t="s">
        <v>74</v>
      </c>
      <c r="R853" t="s">
        <v>74</v>
      </c>
      <c r="S853" t="s">
        <v>74</v>
      </c>
      <c r="T853" t="s">
        <v>16555</v>
      </c>
      <c r="U853" t="s">
        <v>16556</v>
      </c>
      <c r="V853" t="s">
        <v>16557</v>
      </c>
      <c r="W853" t="s">
        <v>16558</v>
      </c>
      <c r="X853" t="s">
        <v>16559</v>
      </c>
      <c r="Y853" t="s">
        <v>11546</v>
      </c>
      <c r="Z853" t="s">
        <v>11547</v>
      </c>
      <c r="AA853" t="s">
        <v>16560</v>
      </c>
      <c r="AB853" t="s">
        <v>16561</v>
      </c>
      <c r="AC853" t="s">
        <v>16562</v>
      </c>
      <c r="AD853" t="s">
        <v>16563</v>
      </c>
      <c r="AE853" t="s">
        <v>16564</v>
      </c>
      <c r="AF853" t="s">
        <v>74</v>
      </c>
      <c r="AG853">
        <v>114</v>
      </c>
      <c r="AH853">
        <v>5</v>
      </c>
      <c r="AI853">
        <v>5</v>
      </c>
      <c r="AJ853">
        <v>1</v>
      </c>
      <c r="AK853">
        <v>5</v>
      </c>
      <c r="AL853" t="s">
        <v>946</v>
      </c>
      <c r="AM853" t="s">
        <v>207</v>
      </c>
      <c r="AN853" t="s">
        <v>947</v>
      </c>
      <c r="AO853" t="s">
        <v>74</v>
      </c>
      <c r="AP853" t="s">
        <v>11553</v>
      </c>
      <c r="AQ853" t="s">
        <v>74</v>
      </c>
      <c r="AR853" t="s">
        <v>11554</v>
      </c>
      <c r="AS853" t="s">
        <v>11555</v>
      </c>
      <c r="AT853" t="s">
        <v>184</v>
      </c>
      <c r="AU853">
        <v>2022</v>
      </c>
      <c r="AV853">
        <v>20</v>
      </c>
      <c r="AW853">
        <v>7</v>
      </c>
      <c r="AX853" t="s">
        <v>74</v>
      </c>
      <c r="AY853" t="s">
        <v>74</v>
      </c>
      <c r="AZ853" t="s">
        <v>74</v>
      </c>
      <c r="BA853" t="s">
        <v>74</v>
      </c>
      <c r="BB853" t="s">
        <v>74</v>
      </c>
      <c r="BC853" t="s">
        <v>74</v>
      </c>
      <c r="BD853" t="s">
        <v>16565</v>
      </c>
      <c r="BE853" t="s">
        <v>16566</v>
      </c>
      <c r="BF853" t="str">
        <f>HYPERLINK("http://dx.doi.org/10.1029/2022SW003098","http://dx.doi.org/10.1029/2022SW003098")</f>
        <v>http://dx.doi.org/10.1029/2022SW003098</v>
      </c>
      <c r="BG853" t="s">
        <v>74</v>
      </c>
      <c r="BH853" t="s">
        <v>74</v>
      </c>
      <c r="BI853">
        <v>20</v>
      </c>
      <c r="BJ853" t="s">
        <v>11558</v>
      </c>
      <c r="BK853" t="s">
        <v>100</v>
      </c>
      <c r="BL853" t="s">
        <v>11558</v>
      </c>
      <c r="BM853" t="s">
        <v>16567</v>
      </c>
      <c r="BN853" t="s">
        <v>74</v>
      </c>
      <c r="BO853" t="s">
        <v>9603</v>
      </c>
      <c r="BP853" t="s">
        <v>74</v>
      </c>
      <c r="BQ853" t="s">
        <v>74</v>
      </c>
      <c r="BR853" t="s">
        <v>103</v>
      </c>
      <c r="BS853" t="s">
        <v>16568</v>
      </c>
      <c r="BT853" t="str">
        <f>HYPERLINK("https%3A%2F%2Fwww.webofscience.com%2Fwos%2Fwoscc%2Ffull-record%2FWOS:000825347400001","View Full Record in Web of Science")</f>
        <v>View Full Record in Web of Science</v>
      </c>
    </row>
    <row r="854" spans="1:72" x14ac:dyDescent="0.15">
      <c r="A854" t="s">
        <v>72</v>
      </c>
      <c r="B854" t="s">
        <v>16569</v>
      </c>
      <c r="C854" t="s">
        <v>74</v>
      </c>
      <c r="D854" t="s">
        <v>74</v>
      </c>
      <c r="E854" t="s">
        <v>74</v>
      </c>
      <c r="F854" t="s">
        <v>16570</v>
      </c>
      <c r="G854" t="s">
        <v>74</v>
      </c>
      <c r="H854" t="s">
        <v>74</v>
      </c>
      <c r="I854" t="s">
        <v>16571</v>
      </c>
      <c r="J854" t="s">
        <v>6346</v>
      </c>
      <c r="K854" t="s">
        <v>74</v>
      </c>
      <c r="L854" t="s">
        <v>74</v>
      </c>
      <c r="M854" t="s">
        <v>78</v>
      </c>
      <c r="N854" t="s">
        <v>79</v>
      </c>
      <c r="O854" t="s">
        <v>74</v>
      </c>
      <c r="P854" t="s">
        <v>74</v>
      </c>
      <c r="Q854" t="s">
        <v>74</v>
      </c>
      <c r="R854" t="s">
        <v>74</v>
      </c>
      <c r="S854" t="s">
        <v>74</v>
      </c>
      <c r="T854" t="s">
        <v>16572</v>
      </c>
      <c r="U854" t="s">
        <v>16573</v>
      </c>
      <c r="V854" t="s">
        <v>16574</v>
      </c>
      <c r="W854" t="s">
        <v>16575</v>
      </c>
      <c r="X854" t="s">
        <v>16576</v>
      </c>
      <c r="Y854" t="s">
        <v>16577</v>
      </c>
      <c r="Z854" t="s">
        <v>16578</v>
      </c>
      <c r="AA854" t="s">
        <v>16579</v>
      </c>
      <c r="AB854" t="s">
        <v>16580</v>
      </c>
      <c r="AC854" t="s">
        <v>16581</v>
      </c>
      <c r="AD854" t="s">
        <v>16582</v>
      </c>
      <c r="AE854" t="s">
        <v>16583</v>
      </c>
      <c r="AF854" t="s">
        <v>74</v>
      </c>
      <c r="AG854">
        <v>104</v>
      </c>
      <c r="AH854">
        <v>3</v>
      </c>
      <c r="AI854">
        <v>3</v>
      </c>
      <c r="AJ854">
        <v>3</v>
      </c>
      <c r="AK854">
        <v>17</v>
      </c>
      <c r="AL854" t="s">
        <v>946</v>
      </c>
      <c r="AM854" t="s">
        <v>207</v>
      </c>
      <c r="AN854" t="s">
        <v>947</v>
      </c>
      <c r="AO854" t="s">
        <v>6358</v>
      </c>
      <c r="AP854" t="s">
        <v>6359</v>
      </c>
      <c r="AQ854" t="s">
        <v>74</v>
      </c>
      <c r="AR854" t="s">
        <v>6360</v>
      </c>
      <c r="AS854" t="s">
        <v>6361</v>
      </c>
      <c r="AT854" t="s">
        <v>184</v>
      </c>
      <c r="AU854">
        <v>2022</v>
      </c>
      <c r="AV854">
        <v>37</v>
      </c>
      <c r="AW854">
        <v>7</v>
      </c>
      <c r="AX854" t="s">
        <v>74</v>
      </c>
      <c r="AY854" t="s">
        <v>74</v>
      </c>
      <c r="AZ854" t="s">
        <v>74</v>
      </c>
      <c r="BA854" t="s">
        <v>74</v>
      </c>
      <c r="BB854" t="s">
        <v>74</v>
      </c>
      <c r="BC854" t="s">
        <v>74</v>
      </c>
      <c r="BD854" t="s">
        <v>16584</v>
      </c>
      <c r="BE854" t="s">
        <v>16585</v>
      </c>
      <c r="BF854" t="str">
        <f>HYPERLINK("http://dx.doi.org/10.1029/2022PA004433","http://dx.doi.org/10.1029/2022PA004433")</f>
        <v>http://dx.doi.org/10.1029/2022PA004433</v>
      </c>
      <c r="BG854" t="s">
        <v>74</v>
      </c>
      <c r="BH854" t="s">
        <v>74</v>
      </c>
      <c r="BI854">
        <v>26</v>
      </c>
      <c r="BJ854" t="s">
        <v>6364</v>
      </c>
      <c r="BK854" t="s">
        <v>100</v>
      </c>
      <c r="BL854" t="s">
        <v>6365</v>
      </c>
      <c r="BM854" t="s">
        <v>16586</v>
      </c>
      <c r="BN854">
        <v>36247355</v>
      </c>
      <c r="BO854" t="s">
        <v>9603</v>
      </c>
      <c r="BP854" t="s">
        <v>74</v>
      </c>
      <c r="BQ854" t="s">
        <v>74</v>
      </c>
      <c r="BR854" t="s">
        <v>103</v>
      </c>
      <c r="BS854" t="s">
        <v>16587</v>
      </c>
      <c r="BT854" t="str">
        <f>HYPERLINK("https%3A%2F%2Fwww.webofscience.com%2Fwos%2Fwoscc%2Ffull-record%2FWOS:000825357000001","View Full Record in Web of Science")</f>
        <v>View Full Record in Web of Science</v>
      </c>
    </row>
    <row r="855" spans="1:72" x14ac:dyDescent="0.15">
      <c r="A855" t="s">
        <v>72</v>
      </c>
      <c r="B855" t="s">
        <v>16588</v>
      </c>
      <c r="C855" t="s">
        <v>74</v>
      </c>
      <c r="D855" t="s">
        <v>74</v>
      </c>
      <c r="E855" t="s">
        <v>74</v>
      </c>
      <c r="F855" t="s">
        <v>16589</v>
      </c>
      <c r="G855" t="s">
        <v>74</v>
      </c>
      <c r="H855" t="s">
        <v>74</v>
      </c>
      <c r="I855" t="s">
        <v>16590</v>
      </c>
      <c r="J855" t="s">
        <v>1590</v>
      </c>
      <c r="K855" t="s">
        <v>74</v>
      </c>
      <c r="L855" t="s">
        <v>74</v>
      </c>
      <c r="M855" t="s">
        <v>78</v>
      </c>
      <c r="N855" t="s">
        <v>79</v>
      </c>
      <c r="O855" t="s">
        <v>74</v>
      </c>
      <c r="P855" t="s">
        <v>74</v>
      </c>
      <c r="Q855" t="s">
        <v>74</v>
      </c>
      <c r="R855" t="s">
        <v>74</v>
      </c>
      <c r="S855" t="s">
        <v>74</v>
      </c>
      <c r="T855" t="s">
        <v>16591</v>
      </c>
      <c r="U855" t="s">
        <v>16592</v>
      </c>
      <c r="V855" t="s">
        <v>16593</v>
      </c>
      <c r="W855" t="s">
        <v>16594</v>
      </c>
      <c r="X855" t="s">
        <v>16595</v>
      </c>
      <c r="Y855" t="s">
        <v>16596</v>
      </c>
      <c r="Z855" t="s">
        <v>16597</v>
      </c>
      <c r="AA855" t="s">
        <v>16598</v>
      </c>
      <c r="AB855" t="s">
        <v>16599</v>
      </c>
      <c r="AC855" t="s">
        <v>74</v>
      </c>
      <c r="AD855" t="s">
        <v>74</v>
      </c>
      <c r="AE855" t="s">
        <v>74</v>
      </c>
      <c r="AF855" t="s">
        <v>74</v>
      </c>
      <c r="AG855">
        <v>32</v>
      </c>
      <c r="AH855">
        <v>2</v>
      </c>
      <c r="AI855">
        <v>2</v>
      </c>
      <c r="AJ855">
        <v>3</v>
      </c>
      <c r="AK855">
        <v>12</v>
      </c>
      <c r="AL855" t="s">
        <v>754</v>
      </c>
      <c r="AM855" t="s">
        <v>755</v>
      </c>
      <c r="AN855" t="s">
        <v>756</v>
      </c>
      <c r="AO855" t="s">
        <v>1603</v>
      </c>
      <c r="AP855" t="s">
        <v>74</v>
      </c>
      <c r="AQ855" t="s">
        <v>74</v>
      </c>
      <c r="AR855" t="s">
        <v>1604</v>
      </c>
      <c r="AS855" t="s">
        <v>1605</v>
      </c>
      <c r="AT855" t="s">
        <v>184</v>
      </c>
      <c r="AU855">
        <v>2022</v>
      </c>
      <c r="AV855">
        <v>12</v>
      </c>
      <c r="AW855">
        <v>13</v>
      </c>
      <c r="AX855" t="s">
        <v>74</v>
      </c>
      <c r="AY855" t="s">
        <v>74</v>
      </c>
      <c r="AZ855" t="s">
        <v>74</v>
      </c>
      <c r="BA855" t="s">
        <v>74</v>
      </c>
      <c r="BB855" t="s">
        <v>74</v>
      </c>
      <c r="BC855" t="s">
        <v>74</v>
      </c>
      <c r="BD855">
        <v>1634</v>
      </c>
      <c r="BE855" t="s">
        <v>16600</v>
      </c>
      <c r="BF855" t="str">
        <f>HYPERLINK("http://dx.doi.org/10.3390/ani12131634","http://dx.doi.org/10.3390/ani12131634")</f>
        <v>http://dx.doi.org/10.3390/ani12131634</v>
      </c>
      <c r="BG855" t="s">
        <v>74</v>
      </c>
      <c r="BH855" t="s">
        <v>74</v>
      </c>
      <c r="BI855">
        <v>25</v>
      </c>
      <c r="BJ855" t="s">
        <v>1607</v>
      </c>
      <c r="BK855" t="s">
        <v>100</v>
      </c>
      <c r="BL855" t="s">
        <v>1608</v>
      </c>
      <c r="BM855" t="s">
        <v>16601</v>
      </c>
      <c r="BN855">
        <v>35804533</v>
      </c>
      <c r="BO855" t="s">
        <v>132</v>
      </c>
      <c r="BP855" t="s">
        <v>74</v>
      </c>
      <c r="BQ855" t="s">
        <v>74</v>
      </c>
      <c r="BR855" t="s">
        <v>103</v>
      </c>
      <c r="BS855" t="s">
        <v>16602</v>
      </c>
      <c r="BT855" t="str">
        <f>HYPERLINK("https%3A%2F%2Fwww.webofscience.com%2Fwos%2Fwoscc%2Ffull-record%2FWOS:000824162400001","View Full Record in Web of Science")</f>
        <v>View Full Record in Web of Science</v>
      </c>
    </row>
    <row r="856" spans="1:72" x14ac:dyDescent="0.15">
      <c r="A856" t="s">
        <v>72</v>
      </c>
      <c r="B856" t="s">
        <v>16603</v>
      </c>
      <c r="C856" t="s">
        <v>74</v>
      </c>
      <c r="D856" t="s">
        <v>74</v>
      </c>
      <c r="E856" t="s">
        <v>74</v>
      </c>
      <c r="F856" t="s">
        <v>16604</v>
      </c>
      <c r="G856" t="s">
        <v>74</v>
      </c>
      <c r="H856" t="s">
        <v>74</v>
      </c>
      <c r="I856" t="s">
        <v>16605</v>
      </c>
      <c r="J856" t="s">
        <v>1497</v>
      </c>
      <c r="K856" t="s">
        <v>74</v>
      </c>
      <c r="L856" t="s">
        <v>74</v>
      </c>
      <c r="M856" t="s">
        <v>78</v>
      </c>
      <c r="N856" t="s">
        <v>79</v>
      </c>
      <c r="O856" t="s">
        <v>74</v>
      </c>
      <c r="P856" t="s">
        <v>74</v>
      </c>
      <c r="Q856" t="s">
        <v>74</v>
      </c>
      <c r="R856" t="s">
        <v>74</v>
      </c>
      <c r="S856" t="s">
        <v>74</v>
      </c>
      <c r="T856" t="s">
        <v>16606</v>
      </c>
      <c r="U856" t="s">
        <v>16607</v>
      </c>
      <c r="V856" t="s">
        <v>16608</v>
      </c>
      <c r="W856" t="s">
        <v>16609</v>
      </c>
      <c r="X856" t="s">
        <v>16610</v>
      </c>
      <c r="Y856" t="s">
        <v>16611</v>
      </c>
      <c r="Z856" t="s">
        <v>16612</v>
      </c>
      <c r="AA856" t="s">
        <v>16613</v>
      </c>
      <c r="AB856" t="s">
        <v>16614</v>
      </c>
      <c r="AC856" t="s">
        <v>16615</v>
      </c>
      <c r="AD856" t="s">
        <v>16616</v>
      </c>
      <c r="AE856" t="s">
        <v>16617</v>
      </c>
      <c r="AF856" t="s">
        <v>74</v>
      </c>
      <c r="AG856">
        <v>63</v>
      </c>
      <c r="AH856">
        <v>5</v>
      </c>
      <c r="AI856">
        <v>5</v>
      </c>
      <c r="AJ856">
        <v>1</v>
      </c>
      <c r="AK856">
        <v>3</v>
      </c>
      <c r="AL856" t="s">
        <v>754</v>
      </c>
      <c r="AM856" t="s">
        <v>755</v>
      </c>
      <c r="AN856" t="s">
        <v>756</v>
      </c>
      <c r="AO856" t="s">
        <v>74</v>
      </c>
      <c r="AP856" t="s">
        <v>1510</v>
      </c>
      <c r="AQ856" t="s">
        <v>74</v>
      </c>
      <c r="AR856" t="s">
        <v>1511</v>
      </c>
      <c r="AS856" t="s">
        <v>1512</v>
      </c>
      <c r="AT856" t="s">
        <v>184</v>
      </c>
      <c r="AU856">
        <v>2022</v>
      </c>
      <c r="AV856">
        <v>23</v>
      </c>
      <c r="AW856">
        <v>13</v>
      </c>
      <c r="AX856" t="s">
        <v>74</v>
      </c>
      <c r="AY856" t="s">
        <v>74</v>
      </c>
      <c r="AZ856" t="s">
        <v>74</v>
      </c>
      <c r="BA856" t="s">
        <v>74</v>
      </c>
      <c r="BB856" t="s">
        <v>74</v>
      </c>
      <c r="BC856" t="s">
        <v>74</v>
      </c>
      <c r="BD856">
        <v>7069</v>
      </c>
      <c r="BE856" t="s">
        <v>16618</v>
      </c>
      <c r="BF856" t="str">
        <f>HYPERLINK("http://dx.doi.org/10.3390/ijms23137069","http://dx.doi.org/10.3390/ijms23137069")</f>
        <v>http://dx.doi.org/10.3390/ijms23137069</v>
      </c>
      <c r="BG856" t="s">
        <v>74</v>
      </c>
      <c r="BH856" t="s">
        <v>74</v>
      </c>
      <c r="BI856">
        <v>18</v>
      </c>
      <c r="BJ856" t="s">
        <v>1514</v>
      </c>
      <c r="BK856" t="s">
        <v>100</v>
      </c>
      <c r="BL856" t="s">
        <v>1515</v>
      </c>
      <c r="BM856" t="s">
        <v>16619</v>
      </c>
      <c r="BN856">
        <v>35806071</v>
      </c>
      <c r="BO856" t="s">
        <v>132</v>
      </c>
      <c r="BP856" t="s">
        <v>74</v>
      </c>
      <c r="BQ856" t="s">
        <v>74</v>
      </c>
      <c r="BR856" t="s">
        <v>103</v>
      </c>
      <c r="BS856" t="s">
        <v>16620</v>
      </c>
      <c r="BT856" t="str">
        <f>HYPERLINK("https%3A%2F%2Fwww.webofscience.com%2Fwos%2Fwoscc%2Ffull-record%2FWOS:000824297100001","View Full Record in Web of Science")</f>
        <v>View Full Record in Web of Science</v>
      </c>
    </row>
    <row r="857" spans="1:72" x14ac:dyDescent="0.15">
      <c r="A857" t="s">
        <v>72</v>
      </c>
      <c r="B857" t="s">
        <v>16621</v>
      </c>
      <c r="C857" t="s">
        <v>74</v>
      </c>
      <c r="D857" t="s">
        <v>74</v>
      </c>
      <c r="E857" t="s">
        <v>74</v>
      </c>
      <c r="F857" t="s">
        <v>16622</v>
      </c>
      <c r="G857" t="s">
        <v>74</v>
      </c>
      <c r="H857" t="s">
        <v>74</v>
      </c>
      <c r="I857" t="s">
        <v>16623</v>
      </c>
      <c r="J857" t="s">
        <v>16095</v>
      </c>
      <c r="K857" t="s">
        <v>74</v>
      </c>
      <c r="L857" t="s">
        <v>74</v>
      </c>
      <c r="M857" t="s">
        <v>78</v>
      </c>
      <c r="N857" t="s">
        <v>79</v>
      </c>
      <c r="O857" t="s">
        <v>74</v>
      </c>
      <c r="P857" t="s">
        <v>74</v>
      </c>
      <c r="Q857" t="s">
        <v>74</v>
      </c>
      <c r="R857" t="s">
        <v>74</v>
      </c>
      <c r="S857" t="s">
        <v>74</v>
      </c>
      <c r="T857" t="s">
        <v>16624</v>
      </c>
      <c r="U857" t="s">
        <v>16625</v>
      </c>
      <c r="V857" t="s">
        <v>16626</v>
      </c>
      <c r="W857" t="s">
        <v>16627</v>
      </c>
      <c r="X857" t="s">
        <v>16628</v>
      </c>
      <c r="Y857" t="s">
        <v>16629</v>
      </c>
      <c r="Z857" t="s">
        <v>16630</v>
      </c>
      <c r="AA857" t="s">
        <v>74</v>
      </c>
      <c r="AB857" t="s">
        <v>16631</v>
      </c>
      <c r="AC857" t="s">
        <v>16632</v>
      </c>
      <c r="AD857" t="s">
        <v>16633</v>
      </c>
      <c r="AE857" t="s">
        <v>16634</v>
      </c>
      <c r="AF857" t="s">
        <v>74</v>
      </c>
      <c r="AG857">
        <v>79</v>
      </c>
      <c r="AH857">
        <v>1</v>
      </c>
      <c r="AI857">
        <v>1</v>
      </c>
      <c r="AJ857">
        <v>1</v>
      </c>
      <c r="AK857">
        <v>6</v>
      </c>
      <c r="AL857" t="s">
        <v>754</v>
      </c>
      <c r="AM857" t="s">
        <v>755</v>
      </c>
      <c r="AN857" t="s">
        <v>756</v>
      </c>
      <c r="AO857" t="s">
        <v>74</v>
      </c>
      <c r="AP857" t="s">
        <v>16108</v>
      </c>
      <c r="AQ857" t="s">
        <v>74</v>
      </c>
      <c r="AR857" t="s">
        <v>16095</v>
      </c>
      <c r="AS857" t="s">
        <v>16109</v>
      </c>
      <c r="AT857" t="s">
        <v>184</v>
      </c>
      <c r="AU857">
        <v>2022</v>
      </c>
      <c r="AV857">
        <v>27</v>
      </c>
      <c r="AW857">
        <v>13</v>
      </c>
      <c r="AX857" t="s">
        <v>74</v>
      </c>
      <c r="AY857" t="s">
        <v>74</v>
      </c>
      <c r="AZ857" t="s">
        <v>74</v>
      </c>
      <c r="BA857" t="s">
        <v>74</v>
      </c>
      <c r="BB857" t="s">
        <v>74</v>
      </c>
      <c r="BC857" t="s">
        <v>74</v>
      </c>
      <c r="BD857">
        <v>4208</v>
      </c>
      <c r="BE857" t="s">
        <v>16635</v>
      </c>
      <c r="BF857" t="str">
        <f>HYPERLINK("http://dx.doi.org/10.3390/molecules27134208","http://dx.doi.org/10.3390/molecules27134208")</f>
        <v>http://dx.doi.org/10.3390/molecules27134208</v>
      </c>
      <c r="BG857" t="s">
        <v>74</v>
      </c>
      <c r="BH857" t="s">
        <v>74</v>
      </c>
      <c r="BI857">
        <v>17</v>
      </c>
      <c r="BJ857" t="s">
        <v>1514</v>
      </c>
      <c r="BK857" t="s">
        <v>100</v>
      </c>
      <c r="BL857" t="s">
        <v>1515</v>
      </c>
      <c r="BM857" t="s">
        <v>16636</v>
      </c>
      <c r="BN857">
        <v>35807454</v>
      </c>
      <c r="BO857" t="s">
        <v>159</v>
      </c>
      <c r="BP857" t="s">
        <v>74</v>
      </c>
      <c r="BQ857" t="s">
        <v>74</v>
      </c>
      <c r="BR857" t="s">
        <v>103</v>
      </c>
      <c r="BS857" t="s">
        <v>16637</v>
      </c>
      <c r="BT857" t="str">
        <f>HYPERLINK("https%3A%2F%2Fwww.webofscience.com%2Fwos%2Fwoscc%2Ffull-record%2FWOS:000824157900001","View Full Record in Web of Science")</f>
        <v>View Full Record in Web of Science</v>
      </c>
    </row>
    <row r="858" spans="1:72" x14ac:dyDescent="0.15">
      <c r="A858" t="s">
        <v>72</v>
      </c>
      <c r="B858" t="s">
        <v>16638</v>
      </c>
      <c r="C858" t="s">
        <v>74</v>
      </c>
      <c r="D858" t="s">
        <v>74</v>
      </c>
      <c r="E858" t="s">
        <v>74</v>
      </c>
      <c r="F858" t="s">
        <v>16639</v>
      </c>
      <c r="G858" t="s">
        <v>74</v>
      </c>
      <c r="H858" t="s">
        <v>74</v>
      </c>
      <c r="I858" t="s">
        <v>16640</v>
      </c>
      <c r="J858" t="s">
        <v>1226</v>
      </c>
      <c r="K858" t="s">
        <v>74</v>
      </c>
      <c r="L858" t="s">
        <v>74</v>
      </c>
      <c r="M858" t="s">
        <v>78</v>
      </c>
      <c r="N858" t="s">
        <v>79</v>
      </c>
      <c r="O858" t="s">
        <v>74</v>
      </c>
      <c r="P858" t="s">
        <v>74</v>
      </c>
      <c r="Q858" t="s">
        <v>74</v>
      </c>
      <c r="R858" t="s">
        <v>74</v>
      </c>
      <c r="S858" t="s">
        <v>74</v>
      </c>
      <c r="T858" t="s">
        <v>16641</v>
      </c>
      <c r="U858" t="s">
        <v>16642</v>
      </c>
      <c r="V858" t="s">
        <v>16643</v>
      </c>
      <c r="W858" t="s">
        <v>16644</v>
      </c>
      <c r="X858" t="s">
        <v>16645</v>
      </c>
      <c r="Y858" t="s">
        <v>16646</v>
      </c>
      <c r="Z858" t="s">
        <v>16647</v>
      </c>
      <c r="AA858" t="s">
        <v>16648</v>
      </c>
      <c r="AB858" t="s">
        <v>16649</v>
      </c>
      <c r="AC858" t="s">
        <v>16650</v>
      </c>
      <c r="AD858" t="s">
        <v>16650</v>
      </c>
      <c r="AE858" t="s">
        <v>16651</v>
      </c>
      <c r="AF858" t="s">
        <v>74</v>
      </c>
      <c r="AG858">
        <v>46</v>
      </c>
      <c r="AH858">
        <v>3</v>
      </c>
      <c r="AI858">
        <v>4</v>
      </c>
      <c r="AJ858">
        <v>10</v>
      </c>
      <c r="AK858">
        <v>27</v>
      </c>
      <c r="AL858" t="s">
        <v>754</v>
      </c>
      <c r="AM858" t="s">
        <v>755</v>
      </c>
      <c r="AN858" t="s">
        <v>756</v>
      </c>
      <c r="AO858" t="s">
        <v>74</v>
      </c>
      <c r="AP858" t="s">
        <v>1238</v>
      </c>
      <c r="AQ858" t="s">
        <v>74</v>
      </c>
      <c r="AR858" t="s">
        <v>1239</v>
      </c>
      <c r="AS858" t="s">
        <v>1240</v>
      </c>
      <c r="AT858" t="s">
        <v>184</v>
      </c>
      <c r="AU858">
        <v>2022</v>
      </c>
      <c r="AV858">
        <v>14</v>
      </c>
      <c r="AW858">
        <v>13</v>
      </c>
      <c r="AX858" t="s">
        <v>74</v>
      </c>
      <c r="AY858" t="s">
        <v>74</v>
      </c>
      <c r="AZ858" t="s">
        <v>74</v>
      </c>
      <c r="BA858" t="s">
        <v>74</v>
      </c>
      <c r="BB858" t="s">
        <v>74</v>
      </c>
      <c r="BC858" t="s">
        <v>74</v>
      </c>
      <c r="BD858">
        <v>3105</v>
      </c>
      <c r="BE858" t="s">
        <v>16652</v>
      </c>
      <c r="BF858" t="str">
        <f>HYPERLINK("http://dx.doi.org/10.3390/rs14133105","http://dx.doi.org/10.3390/rs14133105")</f>
        <v>http://dx.doi.org/10.3390/rs14133105</v>
      </c>
      <c r="BG858" t="s">
        <v>74</v>
      </c>
      <c r="BH858" t="s">
        <v>74</v>
      </c>
      <c r="BI858">
        <v>24</v>
      </c>
      <c r="BJ858" t="s">
        <v>1242</v>
      </c>
      <c r="BK858" t="s">
        <v>100</v>
      </c>
      <c r="BL858" t="s">
        <v>1243</v>
      </c>
      <c r="BM858" t="s">
        <v>16653</v>
      </c>
      <c r="BN858" t="s">
        <v>74</v>
      </c>
      <c r="BO858" t="s">
        <v>266</v>
      </c>
      <c r="BP858" t="s">
        <v>74</v>
      </c>
      <c r="BQ858" t="s">
        <v>74</v>
      </c>
      <c r="BR858" t="s">
        <v>103</v>
      </c>
      <c r="BS858" t="s">
        <v>16654</v>
      </c>
      <c r="BT858" t="str">
        <f>HYPERLINK("https%3A%2F%2Fwww.webofscience.com%2Fwos%2Fwoscc%2Ffull-record%2FWOS:000824008200001","View Full Record in Web of Science")</f>
        <v>View Full Record in Web of Science</v>
      </c>
    </row>
    <row r="859" spans="1:72" x14ac:dyDescent="0.15">
      <c r="A859" t="s">
        <v>72</v>
      </c>
      <c r="B859" t="s">
        <v>16655</v>
      </c>
      <c r="C859" t="s">
        <v>74</v>
      </c>
      <c r="D859" t="s">
        <v>74</v>
      </c>
      <c r="E859" t="s">
        <v>74</v>
      </c>
      <c r="F859" t="s">
        <v>16656</v>
      </c>
      <c r="G859" t="s">
        <v>74</v>
      </c>
      <c r="H859" t="s">
        <v>74</v>
      </c>
      <c r="I859" t="s">
        <v>16657</v>
      </c>
      <c r="J859" t="s">
        <v>16658</v>
      </c>
      <c r="K859" t="s">
        <v>74</v>
      </c>
      <c r="L859" t="s">
        <v>74</v>
      </c>
      <c r="M859" t="s">
        <v>78</v>
      </c>
      <c r="N859" t="s">
        <v>79</v>
      </c>
      <c r="O859" t="s">
        <v>74</v>
      </c>
      <c r="P859" t="s">
        <v>74</v>
      </c>
      <c r="Q859" t="s">
        <v>74</v>
      </c>
      <c r="R859" t="s">
        <v>74</v>
      </c>
      <c r="S859" t="s">
        <v>74</v>
      </c>
      <c r="T859" t="s">
        <v>74</v>
      </c>
      <c r="U859" t="s">
        <v>16659</v>
      </c>
      <c r="V859" t="s">
        <v>16660</v>
      </c>
      <c r="W859" t="s">
        <v>16661</v>
      </c>
      <c r="X859" t="s">
        <v>16662</v>
      </c>
      <c r="Y859" t="s">
        <v>16663</v>
      </c>
      <c r="Z859" t="s">
        <v>16664</v>
      </c>
      <c r="AA859" t="s">
        <v>16665</v>
      </c>
      <c r="AB859" t="s">
        <v>16666</v>
      </c>
      <c r="AC859" t="s">
        <v>16667</v>
      </c>
      <c r="AD859" t="s">
        <v>2200</v>
      </c>
      <c r="AE859" t="s">
        <v>16668</v>
      </c>
      <c r="AF859" t="s">
        <v>74</v>
      </c>
      <c r="AG859">
        <v>63</v>
      </c>
      <c r="AH859">
        <v>2</v>
      </c>
      <c r="AI859">
        <v>2</v>
      </c>
      <c r="AJ859">
        <v>1</v>
      </c>
      <c r="AK859">
        <v>6</v>
      </c>
      <c r="AL859" t="s">
        <v>16669</v>
      </c>
      <c r="AM859" t="s">
        <v>16670</v>
      </c>
      <c r="AN859" t="s">
        <v>16671</v>
      </c>
      <c r="AO859" t="s">
        <v>16672</v>
      </c>
      <c r="AP859" t="s">
        <v>16673</v>
      </c>
      <c r="AQ859" t="s">
        <v>74</v>
      </c>
      <c r="AR859" t="s">
        <v>16674</v>
      </c>
      <c r="AS859" t="s">
        <v>16675</v>
      </c>
      <c r="AT859" t="s">
        <v>184</v>
      </c>
      <c r="AU859">
        <v>2022</v>
      </c>
      <c r="AV859">
        <v>93</v>
      </c>
      <c r="AW859">
        <v>4</v>
      </c>
      <c r="AX859" t="s">
        <v>74</v>
      </c>
      <c r="AY859" t="s">
        <v>74</v>
      </c>
      <c r="AZ859" t="s">
        <v>74</v>
      </c>
      <c r="BA859" t="s">
        <v>74</v>
      </c>
      <c r="BB859">
        <v>2201</v>
      </c>
      <c r="BC859">
        <v>2217</v>
      </c>
      <c r="BD859" t="s">
        <v>74</v>
      </c>
      <c r="BE859" t="s">
        <v>16676</v>
      </c>
      <c r="BF859" t="str">
        <f>HYPERLINK("http://dx.doi.org/10.1785/0220210026","http://dx.doi.org/10.1785/0220210026")</f>
        <v>http://dx.doi.org/10.1785/0220210026</v>
      </c>
      <c r="BG859" t="s">
        <v>74</v>
      </c>
      <c r="BH859" t="s">
        <v>74</v>
      </c>
      <c r="BI859">
        <v>17</v>
      </c>
      <c r="BJ859" t="s">
        <v>1379</v>
      </c>
      <c r="BK859" t="s">
        <v>100</v>
      </c>
      <c r="BL859" t="s">
        <v>1379</v>
      </c>
      <c r="BM859" t="s">
        <v>16677</v>
      </c>
      <c r="BN859" t="s">
        <v>74</v>
      </c>
      <c r="BO859" t="s">
        <v>74</v>
      </c>
      <c r="BP859" t="s">
        <v>74</v>
      </c>
      <c r="BQ859" t="s">
        <v>74</v>
      </c>
      <c r="BR859" t="s">
        <v>103</v>
      </c>
      <c r="BS859" t="s">
        <v>16678</v>
      </c>
      <c r="BT859" t="str">
        <f>HYPERLINK("https%3A%2F%2Fwww.webofscience.com%2Fwos%2Fwoscc%2Ffull-record%2FWOS:000823501000001","View Full Record in Web of Science")</f>
        <v>View Full Record in Web of Science</v>
      </c>
    </row>
    <row r="860" spans="1:72" x14ac:dyDescent="0.15">
      <c r="A860" t="s">
        <v>72</v>
      </c>
      <c r="B860" t="s">
        <v>16679</v>
      </c>
      <c r="C860" t="s">
        <v>74</v>
      </c>
      <c r="D860" t="s">
        <v>74</v>
      </c>
      <c r="E860" t="s">
        <v>74</v>
      </c>
      <c r="F860" t="s">
        <v>16680</v>
      </c>
      <c r="G860" t="s">
        <v>74</v>
      </c>
      <c r="H860" t="s">
        <v>74</v>
      </c>
      <c r="I860" t="s">
        <v>16681</v>
      </c>
      <c r="J860" t="s">
        <v>12277</v>
      </c>
      <c r="K860" t="s">
        <v>74</v>
      </c>
      <c r="L860" t="s">
        <v>74</v>
      </c>
      <c r="M860" t="s">
        <v>78</v>
      </c>
      <c r="N860" t="s">
        <v>79</v>
      </c>
      <c r="O860" t="s">
        <v>74</v>
      </c>
      <c r="P860" t="s">
        <v>74</v>
      </c>
      <c r="Q860" t="s">
        <v>74</v>
      </c>
      <c r="R860" t="s">
        <v>74</v>
      </c>
      <c r="S860" t="s">
        <v>74</v>
      </c>
      <c r="T860" t="s">
        <v>74</v>
      </c>
      <c r="U860" t="s">
        <v>16682</v>
      </c>
      <c r="V860" t="s">
        <v>16683</v>
      </c>
      <c r="W860" t="s">
        <v>16684</v>
      </c>
      <c r="X860" t="s">
        <v>16685</v>
      </c>
      <c r="Y860" t="s">
        <v>16686</v>
      </c>
      <c r="Z860" t="s">
        <v>74</v>
      </c>
      <c r="AA860" t="s">
        <v>16687</v>
      </c>
      <c r="AB860" t="s">
        <v>16688</v>
      </c>
      <c r="AC860" t="s">
        <v>16689</v>
      </c>
      <c r="AD860" t="s">
        <v>5950</v>
      </c>
      <c r="AE860" t="s">
        <v>16690</v>
      </c>
      <c r="AF860" t="s">
        <v>74</v>
      </c>
      <c r="AG860">
        <v>35</v>
      </c>
      <c r="AH860">
        <v>6</v>
      </c>
      <c r="AI860">
        <v>6</v>
      </c>
      <c r="AJ860">
        <v>4</v>
      </c>
      <c r="AK860">
        <v>15</v>
      </c>
      <c r="AL860" t="s">
        <v>5952</v>
      </c>
      <c r="AM860" t="s">
        <v>5953</v>
      </c>
      <c r="AN860" t="s">
        <v>5954</v>
      </c>
      <c r="AO860" t="s">
        <v>12289</v>
      </c>
      <c r="AP860" t="s">
        <v>12290</v>
      </c>
      <c r="AQ860" t="s">
        <v>74</v>
      </c>
      <c r="AR860" t="s">
        <v>12277</v>
      </c>
      <c r="AS860" t="s">
        <v>130</v>
      </c>
      <c r="AT860" t="s">
        <v>15333</v>
      </c>
      <c r="AU860">
        <v>2022</v>
      </c>
      <c r="AV860">
        <v>50</v>
      </c>
      <c r="AW860">
        <v>7</v>
      </c>
      <c r="AX860" t="s">
        <v>74</v>
      </c>
      <c r="AY860" t="s">
        <v>74</v>
      </c>
      <c r="AZ860" t="s">
        <v>74</v>
      </c>
      <c r="BA860" t="s">
        <v>74</v>
      </c>
      <c r="BB860">
        <v>755</v>
      </c>
      <c r="BC860">
        <v>759</v>
      </c>
      <c r="BD860" t="s">
        <v>74</v>
      </c>
      <c r="BE860" t="s">
        <v>16691</v>
      </c>
      <c r="BF860" t="str">
        <f>HYPERLINK("http://dx.doi.org/10.1130/G49634.1","http://dx.doi.org/10.1130/G49634.1")</f>
        <v>http://dx.doi.org/10.1130/G49634.1</v>
      </c>
      <c r="BG860" t="s">
        <v>74</v>
      </c>
      <c r="BH860" t="s">
        <v>74</v>
      </c>
      <c r="BI860">
        <v>5</v>
      </c>
      <c r="BJ860" t="s">
        <v>130</v>
      </c>
      <c r="BK860" t="s">
        <v>100</v>
      </c>
      <c r="BL860" t="s">
        <v>130</v>
      </c>
      <c r="BM860" t="s">
        <v>16692</v>
      </c>
      <c r="BN860" t="s">
        <v>74</v>
      </c>
      <c r="BO860" t="s">
        <v>3327</v>
      </c>
      <c r="BP860" t="s">
        <v>74</v>
      </c>
      <c r="BQ860" t="s">
        <v>74</v>
      </c>
      <c r="BR860" t="s">
        <v>103</v>
      </c>
      <c r="BS860" t="s">
        <v>16693</v>
      </c>
      <c r="BT860" t="str">
        <f>HYPERLINK("https%3A%2F%2Fwww.webofscience.com%2Fwos%2Fwoscc%2Ffull-record%2FWOS:000822506400001","View Full Record in Web of Science")</f>
        <v>View Full Record in Web of Science</v>
      </c>
    </row>
    <row r="861" spans="1:72" x14ac:dyDescent="0.15">
      <c r="A861" t="s">
        <v>72</v>
      </c>
      <c r="B861" t="s">
        <v>16694</v>
      </c>
      <c r="C861" t="s">
        <v>74</v>
      </c>
      <c r="D861" t="s">
        <v>74</v>
      </c>
      <c r="E861" t="s">
        <v>74</v>
      </c>
      <c r="F861" t="s">
        <v>16695</v>
      </c>
      <c r="G861" t="s">
        <v>74</v>
      </c>
      <c r="H861" t="s">
        <v>74</v>
      </c>
      <c r="I861" t="s">
        <v>16696</v>
      </c>
      <c r="J861" t="s">
        <v>1614</v>
      </c>
      <c r="K861" t="s">
        <v>74</v>
      </c>
      <c r="L861" t="s">
        <v>74</v>
      </c>
      <c r="M861" t="s">
        <v>78</v>
      </c>
      <c r="N861" t="s">
        <v>79</v>
      </c>
      <c r="O861" t="s">
        <v>74</v>
      </c>
      <c r="P861" t="s">
        <v>74</v>
      </c>
      <c r="Q861" t="s">
        <v>74</v>
      </c>
      <c r="R861" t="s">
        <v>74</v>
      </c>
      <c r="S861" t="s">
        <v>74</v>
      </c>
      <c r="T861" t="s">
        <v>74</v>
      </c>
      <c r="U861" t="s">
        <v>16697</v>
      </c>
      <c r="V861" t="s">
        <v>16698</v>
      </c>
      <c r="W861" t="s">
        <v>16699</v>
      </c>
      <c r="X861" t="s">
        <v>16700</v>
      </c>
      <c r="Y861" t="s">
        <v>16701</v>
      </c>
      <c r="Z861" t="s">
        <v>16702</v>
      </c>
      <c r="AA861" t="s">
        <v>16703</v>
      </c>
      <c r="AB861" t="s">
        <v>16704</v>
      </c>
      <c r="AC861" t="s">
        <v>16705</v>
      </c>
      <c r="AD861" t="s">
        <v>1693</v>
      </c>
      <c r="AE861" t="s">
        <v>16706</v>
      </c>
      <c r="AF861" t="s">
        <v>74</v>
      </c>
      <c r="AG861">
        <v>54</v>
      </c>
      <c r="AH861">
        <v>0</v>
      </c>
      <c r="AI861">
        <v>0</v>
      </c>
      <c r="AJ861">
        <v>1</v>
      </c>
      <c r="AK861">
        <v>3</v>
      </c>
      <c r="AL861" t="s">
        <v>1626</v>
      </c>
      <c r="AM861" t="s">
        <v>1627</v>
      </c>
      <c r="AN861" t="s">
        <v>1628</v>
      </c>
      <c r="AO861" t="s">
        <v>1629</v>
      </c>
      <c r="AP861" t="s">
        <v>1630</v>
      </c>
      <c r="AQ861" t="s">
        <v>74</v>
      </c>
      <c r="AR861" t="s">
        <v>1631</v>
      </c>
      <c r="AS861" t="s">
        <v>1632</v>
      </c>
      <c r="AT861" t="s">
        <v>15333</v>
      </c>
      <c r="AU861">
        <v>2022</v>
      </c>
      <c r="AV861">
        <v>933</v>
      </c>
      <c r="AW861">
        <v>2</v>
      </c>
      <c r="AX861" t="s">
        <v>74</v>
      </c>
      <c r="AY861" t="s">
        <v>74</v>
      </c>
      <c r="AZ861" t="s">
        <v>74</v>
      </c>
      <c r="BA861" t="s">
        <v>74</v>
      </c>
      <c r="BB861" t="s">
        <v>74</v>
      </c>
      <c r="BC861" t="s">
        <v>74</v>
      </c>
      <c r="BD861">
        <v>152</v>
      </c>
      <c r="BE861" t="s">
        <v>16707</v>
      </c>
      <c r="BF861" t="str">
        <f>HYPERLINK("http://dx.doi.org/10.3847/1538-4357/ac7221","http://dx.doi.org/10.3847/1538-4357/ac7221")</f>
        <v>http://dx.doi.org/10.3847/1538-4357/ac7221</v>
      </c>
      <c r="BG861" t="s">
        <v>74</v>
      </c>
      <c r="BH861" t="s">
        <v>74</v>
      </c>
      <c r="BI861">
        <v>17</v>
      </c>
      <c r="BJ861" t="s">
        <v>954</v>
      </c>
      <c r="BK861" t="s">
        <v>100</v>
      </c>
      <c r="BL861" t="s">
        <v>954</v>
      </c>
      <c r="BM861" t="s">
        <v>16708</v>
      </c>
      <c r="BN861" t="s">
        <v>74</v>
      </c>
      <c r="BO861" t="s">
        <v>3262</v>
      </c>
      <c r="BP861" t="s">
        <v>74</v>
      </c>
      <c r="BQ861" t="s">
        <v>74</v>
      </c>
      <c r="BR861" t="s">
        <v>103</v>
      </c>
      <c r="BS861" t="s">
        <v>16709</v>
      </c>
      <c r="BT861" t="str">
        <f>HYPERLINK("https%3A%2F%2Fwww.webofscience.com%2Fwos%2Fwoscc%2Ffull-record%2FWOS:000822916400001","View Full Record in Web of Science")</f>
        <v>View Full Record in Web of Science</v>
      </c>
    </row>
    <row r="862" spans="1:72" x14ac:dyDescent="0.15">
      <c r="A862" t="s">
        <v>72</v>
      </c>
      <c r="B862" t="s">
        <v>16710</v>
      </c>
      <c r="C862" t="s">
        <v>74</v>
      </c>
      <c r="D862" t="s">
        <v>74</v>
      </c>
      <c r="E862" t="s">
        <v>74</v>
      </c>
      <c r="F862" t="s">
        <v>16711</v>
      </c>
      <c r="G862" t="s">
        <v>74</v>
      </c>
      <c r="H862" t="s">
        <v>74</v>
      </c>
      <c r="I862" t="s">
        <v>16712</v>
      </c>
      <c r="J862" t="s">
        <v>6396</v>
      </c>
      <c r="K862" t="s">
        <v>74</v>
      </c>
      <c r="L862" t="s">
        <v>74</v>
      </c>
      <c r="M862" t="s">
        <v>78</v>
      </c>
      <c r="N862" t="s">
        <v>79</v>
      </c>
      <c r="O862" t="s">
        <v>74</v>
      </c>
      <c r="P862" t="s">
        <v>74</v>
      </c>
      <c r="Q862" t="s">
        <v>74</v>
      </c>
      <c r="R862" t="s">
        <v>74</v>
      </c>
      <c r="S862" t="s">
        <v>74</v>
      </c>
      <c r="T862" t="s">
        <v>16713</v>
      </c>
      <c r="U862" t="s">
        <v>16714</v>
      </c>
      <c r="V862" t="s">
        <v>16715</v>
      </c>
      <c r="W862" t="s">
        <v>16716</v>
      </c>
      <c r="X862" t="s">
        <v>16717</v>
      </c>
      <c r="Y862" t="s">
        <v>16718</v>
      </c>
      <c r="Z862" t="s">
        <v>16719</v>
      </c>
      <c r="AA862" t="s">
        <v>13349</v>
      </c>
      <c r="AB862" t="s">
        <v>16720</v>
      </c>
      <c r="AC862" t="s">
        <v>16721</v>
      </c>
      <c r="AD862" t="s">
        <v>16722</v>
      </c>
      <c r="AE862" t="s">
        <v>16723</v>
      </c>
      <c r="AF862" t="s">
        <v>74</v>
      </c>
      <c r="AG862">
        <v>129</v>
      </c>
      <c r="AH862">
        <v>4</v>
      </c>
      <c r="AI862">
        <v>4</v>
      </c>
      <c r="AJ862">
        <v>3</v>
      </c>
      <c r="AK862">
        <v>26</v>
      </c>
      <c r="AL862" t="s">
        <v>946</v>
      </c>
      <c r="AM862" t="s">
        <v>207</v>
      </c>
      <c r="AN862" t="s">
        <v>947</v>
      </c>
      <c r="AO862" t="s">
        <v>6408</v>
      </c>
      <c r="AP862" t="s">
        <v>6409</v>
      </c>
      <c r="AQ862" t="s">
        <v>74</v>
      </c>
      <c r="AR862" t="s">
        <v>6410</v>
      </c>
      <c r="AS862" t="s">
        <v>6411</v>
      </c>
      <c r="AT862" t="s">
        <v>184</v>
      </c>
      <c r="AU862">
        <v>2022</v>
      </c>
      <c r="AV862">
        <v>36</v>
      </c>
      <c r="AW862">
        <v>7</v>
      </c>
      <c r="AX862" t="s">
        <v>74</v>
      </c>
      <c r="AY862" t="s">
        <v>74</v>
      </c>
      <c r="AZ862" t="s">
        <v>74</v>
      </c>
      <c r="BA862" t="s">
        <v>74</v>
      </c>
      <c r="BB862" t="s">
        <v>74</v>
      </c>
      <c r="BC862" t="s">
        <v>74</v>
      </c>
      <c r="BD862" t="s">
        <v>16724</v>
      </c>
      <c r="BE862" t="s">
        <v>16725</v>
      </c>
      <c r="BF862" t="str">
        <f>HYPERLINK("http://dx.doi.org/10.1029/2021GB007187","http://dx.doi.org/10.1029/2021GB007187")</f>
        <v>http://dx.doi.org/10.1029/2021GB007187</v>
      </c>
      <c r="BG862" t="s">
        <v>74</v>
      </c>
      <c r="BH862" t="s">
        <v>74</v>
      </c>
      <c r="BI862">
        <v>26</v>
      </c>
      <c r="BJ862" t="s">
        <v>1010</v>
      </c>
      <c r="BK862" t="s">
        <v>100</v>
      </c>
      <c r="BL862" t="s">
        <v>1011</v>
      </c>
      <c r="BM862" t="s">
        <v>16726</v>
      </c>
      <c r="BN862" t="s">
        <v>74</v>
      </c>
      <c r="BO862" t="s">
        <v>9603</v>
      </c>
      <c r="BP862" t="s">
        <v>74</v>
      </c>
      <c r="BQ862" t="s">
        <v>74</v>
      </c>
      <c r="BR862" t="s">
        <v>103</v>
      </c>
      <c r="BS862" t="s">
        <v>16727</v>
      </c>
      <c r="BT862" t="str">
        <f>HYPERLINK("https%3A%2F%2Fwww.webofscience.com%2Fwos%2Fwoscc%2Ffull-record%2FWOS:000823067800001","View Full Record in Web of Science")</f>
        <v>View Full Record in Web of Science</v>
      </c>
    </row>
    <row r="863" spans="1:72" x14ac:dyDescent="0.15">
      <c r="A863" t="s">
        <v>72</v>
      </c>
      <c r="B863" t="s">
        <v>16728</v>
      </c>
      <c r="C863" t="s">
        <v>74</v>
      </c>
      <c r="D863" t="s">
        <v>74</v>
      </c>
      <c r="E863" t="s">
        <v>74</v>
      </c>
      <c r="F863" t="s">
        <v>16729</v>
      </c>
      <c r="G863" t="s">
        <v>74</v>
      </c>
      <c r="H863" t="s">
        <v>74</v>
      </c>
      <c r="I863" t="s">
        <v>16730</v>
      </c>
      <c r="J863" t="s">
        <v>6396</v>
      </c>
      <c r="K863" t="s">
        <v>74</v>
      </c>
      <c r="L863" t="s">
        <v>74</v>
      </c>
      <c r="M863" t="s">
        <v>78</v>
      </c>
      <c r="N863" t="s">
        <v>79</v>
      </c>
      <c r="O863" t="s">
        <v>74</v>
      </c>
      <c r="P863" t="s">
        <v>74</v>
      </c>
      <c r="Q863" t="s">
        <v>74</v>
      </c>
      <c r="R863" t="s">
        <v>74</v>
      </c>
      <c r="S863" t="s">
        <v>74</v>
      </c>
      <c r="T863" t="s">
        <v>16731</v>
      </c>
      <c r="U863" t="s">
        <v>16732</v>
      </c>
      <c r="V863" t="s">
        <v>16733</v>
      </c>
      <c r="W863" t="s">
        <v>16734</v>
      </c>
      <c r="X863" t="s">
        <v>16735</v>
      </c>
      <c r="Y863" t="s">
        <v>16736</v>
      </c>
      <c r="Z863" t="s">
        <v>16737</v>
      </c>
      <c r="AA863" t="s">
        <v>16738</v>
      </c>
      <c r="AB863" t="s">
        <v>16739</v>
      </c>
      <c r="AC863" t="s">
        <v>16740</v>
      </c>
      <c r="AD863" t="s">
        <v>16741</v>
      </c>
      <c r="AE863" t="s">
        <v>16742</v>
      </c>
      <c r="AF863" t="s">
        <v>74</v>
      </c>
      <c r="AG863">
        <v>81</v>
      </c>
      <c r="AH863">
        <v>12</v>
      </c>
      <c r="AI863">
        <v>13</v>
      </c>
      <c r="AJ863">
        <v>3</v>
      </c>
      <c r="AK863">
        <v>21</v>
      </c>
      <c r="AL863" t="s">
        <v>946</v>
      </c>
      <c r="AM863" t="s">
        <v>207</v>
      </c>
      <c r="AN863" t="s">
        <v>947</v>
      </c>
      <c r="AO863" t="s">
        <v>6408</v>
      </c>
      <c r="AP863" t="s">
        <v>6409</v>
      </c>
      <c r="AQ863" t="s">
        <v>74</v>
      </c>
      <c r="AR863" t="s">
        <v>6410</v>
      </c>
      <c r="AS863" t="s">
        <v>6411</v>
      </c>
      <c r="AT863" t="s">
        <v>184</v>
      </c>
      <c r="AU863">
        <v>2022</v>
      </c>
      <c r="AV863">
        <v>36</v>
      </c>
      <c r="AW863">
        <v>7</v>
      </c>
      <c r="AX863" t="s">
        <v>74</v>
      </c>
      <c r="AY863" t="s">
        <v>74</v>
      </c>
      <c r="AZ863" t="s">
        <v>74</v>
      </c>
      <c r="BA863" t="s">
        <v>74</v>
      </c>
      <c r="BB863" t="s">
        <v>74</v>
      </c>
      <c r="BC863" t="s">
        <v>74</v>
      </c>
      <c r="BD863" t="s">
        <v>16743</v>
      </c>
      <c r="BE863" t="s">
        <v>16744</v>
      </c>
      <c r="BF863" t="str">
        <f>HYPERLINK("http://dx.doi.org/10.1029/2021GB007226","http://dx.doi.org/10.1029/2021GB007226")</f>
        <v>http://dx.doi.org/10.1029/2021GB007226</v>
      </c>
      <c r="BG863" t="s">
        <v>74</v>
      </c>
      <c r="BH863" t="s">
        <v>74</v>
      </c>
      <c r="BI863">
        <v>13</v>
      </c>
      <c r="BJ863" t="s">
        <v>1010</v>
      </c>
      <c r="BK863" t="s">
        <v>100</v>
      </c>
      <c r="BL863" t="s">
        <v>1011</v>
      </c>
      <c r="BM863" t="s">
        <v>16745</v>
      </c>
      <c r="BN863" t="s">
        <v>74</v>
      </c>
      <c r="BO863" t="s">
        <v>2512</v>
      </c>
      <c r="BP863" t="s">
        <v>74</v>
      </c>
      <c r="BQ863" t="s">
        <v>74</v>
      </c>
      <c r="BR863" t="s">
        <v>103</v>
      </c>
      <c r="BS863" t="s">
        <v>16746</v>
      </c>
      <c r="BT863" t="str">
        <f>HYPERLINK("https%3A%2F%2Fwww.webofscience.com%2Fwos%2Fwoscc%2Ffull-record%2FWOS:000822737800001","View Full Record in Web of Science")</f>
        <v>View Full Record in Web of Science</v>
      </c>
    </row>
    <row r="864" spans="1:72" x14ac:dyDescent="0.15">
      <c r="A864" t="s">
        <v>72</v>
      </c>
      <c r="B864" t="s">
        <v>16747</v>
      </c>
      <c r="C864" t="s">
        <v>74</v>
      </c>
      <c r="D864" t="s">
        <v>74</v>
      </c>
      <c r="E864" t="s">
        <v>74</v>
      </c>
      <c r="F864" t="s">
        <v>16748</v>
      </c>
      <c r="G864" t="s">
        <v>74</v>
      </c>
      <c r="H864" t="s">
        <v>74</v>
      </c>
      <c r="I864" t="s">
        <v>16749</v>
      </c>
      <c r="J864" t="s">
        <v>933</v>
      </c>
      <c r="K864" t="s">
        <v>74</v>
      </c>
      <c r="L864" t="s">
        <v>74</v>
      </c>
      <c r="M864" t="s">
        <v>78</v>
      </c>
      <c r="N864" t="s">
        <v>79</v>
      </c>
      <c r="O864" t="s">
        <v>74</v>
      </c>
      <c r="P864" t="s">
        <v>74</v>
      </c>
      <c r="Q864" t="s">
        <v>74</v>
      </c>
      <c r="R864" t="s">
        <v>74</v>
      </c>
      <c r="S864" t="s">
        <v>74</v>
      </c>
      <c r="T864" t="s">
        <v>16750</v>
      </c>
      <c r="U864" t="s">
        <v>16751</v>
      </c>
      <c r="V864" t="s">
        <v>16752</v>
      </c>
      <c r="W864" t="s">
        <v>16753</v>
      </c>
      <c r="X864" t="s">
        <v>16754</v>
      </c>
      <c r="Y864" t="s">
        <v>16755</v>
      </c>
      <c r="Z864" t="s">
        <v>16756</v>
      </c>
      <c r="AA864" t="s">
        <v>16757</v>
      </c>
      <c r="AB864" t="s">
        <v>16758</v>
      </c>
      <c r="AC864" t="s">
        <v>16759</v>
      </c>
      <c r="AD864" t="s">
        <v>16760</v>
      </c>
      <c r="AE864" t="s">
        <v>16761</v>
      </c>
      <c r="AF864" t="s">
        <v>74</v>
      </c>
      <c r="AG864">
        <v>60</v>
      </c>
      <c r="AH864">
        <v>4</v>
      </c>
      <c r="AI864">
        <v>4</v>
      </c>
      <c r="AJ864">
        <v>0</v>
      </c>
      <c r="AK864">
        <v>3</v>
      </c>
      <c r="AL864" t="s">
        <v>946</v>
      </c>
      <c r="AM864" t="s">
        <v>207</v>
      </c>
      <c r="AN864" t="s">
        <v>947</v>
      </c>
      <c r="AO864" t="s">
        <v>948</v>
      </c>
      <c r="AP864" t="s">
        <v>949</v>
      </c>
      <c r="AQ864" t="s">
        <v>74</v>
      </c>
      <c r="AR864" t="s">
        <v>950</v>
      </c>
      <c r="AS864" t="s">
        <v>951</v>
      </c>
      <c r="AT864" t="s">
        <v>184</v>
      </c>
      <c r="AU864">
        <v>2022</v>
      </c>
      <c r="AV864">
        <v>127</v>
      </c>
      <c r="AW864">
        <v>7</v>
      </c>
      <c r="AX864" t="s">
        <v>74</v>
      </c>
      <c r="AY864" t="s">
        <v>74</v>
      </c>
      <c r="AZ864" t="s">
        <v>74</v>
      </c>
      <c r="BA864" t="s">
        <v>74</v>
      </c>
      <c r="BB864" t="s">
        <v>74</v>
      </c>
      <c r="BC864" t="s">
        <v>74</v>
      </c>
      <c r="BD864" t="s">
        <v>16762</v>
      </c>
      <c r="BE864" t="s">
        <v>16763</v>
      </c>
      <c r="BF864" t="str">
        <f>HYPERLINK("http://dx.doi.org/10.1029/2022JA030622","http://dx.doi.org/10.1029/2022JA030622")</f>
        <v>http://dx.doi.org/10.1029/2022JA030622</v>
      </c>
      <c r="BG864" t="s">
        <v>74</v>
      </c>
      <c r="BH864" t="s">
        <v>74</v>
      </c>
      <c r="BI864">
        <v>19</v>
      </c>
      <c r="BJ864" t="s">
        <v>954</v>
      </c>
      <c r="BK864" t="s">
        <v>100</v>
      </c>
      <c r="BL864" t="s">
        <v>954</v>
      </c>
      <c r="BM864" t="s">
        <v>16764</v>
      </c>
      <c r="BN864" t="s">
        <v>74</v>
      </c>
      <c r="BO864" t="s">
        <v>4217</v>
      </c>
      <c r="BP864" t="s">
        <v>74</v>
      </c>
      <c r="BQ864" t="s">
        <v>74</v>
      </c>
      <c r="BR864" t="s">
        <v>103</v>
      </c>
      <c r="BS864" t="s">
        <v>16765</v>
      </c>
      <c r="BT864" t="str">
        <f>HYPERLINK("https%3A%2F%2Fwww.webofscience.com%2Fwos%2Fwoscc%2Ffull-record%2FWOS:000822767400001","View Full Record in Web of Science")</f>
        <v>View Full Record in Web of Science</v>
      </c>
    </row>
    <row r="865" spans="1:72" x14ac:dyDescent="0.15">
      <c r="A865" t="s">
        <v>72</v>
      </c>
      <c r="B865" t="s">
        <v>16766</v>
      </c>
      <c r="C865" t="s">
        <v>74</v>
      </c>
      <c r="D865" t="s">
        <v>74</v>
      </c>
      <c r="E865" t="s">
        <v>74</v>
      </c>
      <c r="F865" t="s">
        <v>16767</v>
      </c>
      <c r="G865" t="s">
        <v>74</v>
      </c>
      <c r="H865" t="s">
        <v>74</v>
      </c>
      <c r="I865" t="s">
        <v>16768</v>
      </c>
      <c r="J865" t="s">
        <v>16769</v>
      </c>
      <c r="K865" t="s">
        <v>74</v>
      </c>
      <c r="L865" t="s">
        <v>74</v>
      </c>
      <c r="M865" t="s">
        <v>78</v>
      </c>
      <c r="N865" t="s">
        <v>79</v>
      </c>
      <c r="O865" t="s">
        <v>74</v>
      </c>
      <c r="P865" t="s">
        <v>74</v>
      </c>
      <c r="Q865" t="s">
        <v>74</v>
      </c>
      <c r="R865" t="s">
        <v>74</v>
      </c>
      <c r="S865" t="s">
        <v>74</v>
      </c>
      <c r="T865" t="s">
        <v>16770</v>
      </c>
      <c r="U865" t="s">
        <v>16771</v>
      </c>
      <c r="V865" t="s">
        <v>16772</v>
      </c>
      <c r="W865" t="s">
        <v>16773</v>
      </c>
      <c r="X865" t="s">
        <v>16774</v>
      </c>
      <c r="Y865" t="s">
        <v>16775</v>
      </c>
      <c r="Z865" t="s">
        <v>16776</v>
      </c>
      <c r="AA865" t="s">
        <v>16777</v>
      </c>
      <c r="AB865" t="s">
        <v>16778</v>
      </c>
      <c r="AC865" t="s">
        <v>16779</v>
      </c>
      <c r="AD865" t="s">
        <v>16780</v>
      </c>
      <c r="AE865" t="s">
        <v>16781</v>
      </c>
      <c r="AF865" t="s">
        <v>74</v>
      </c>
      <c r="AG865">
        <v>90</v>
      </c>
      <c r="AH865">
        <v>15</v>
      </c>
      <c r="AI865">
        <v>15</v>
      </c>
      <c r="AJ865">
        <v>2</v>
      </c>
      <c r="AK865">
        <v>4</v>
      </c>
      <c r="AL865" t="s">
        <v>178</v>
      </c>
      <c r="AM865" t="s">
        <v>179</v>
      </c>
      <c r="AN865" t="s">
        <v>180</v>
      </c>
      <c r="AO865" t="s">
        <v>16782</v>
      </c>
      <c r="AP865" t="s">
        <v>16783</v>
      </c>
      <c r="AQ865" t="s">
        <v>74</v>
      </c>
      <c r="AR865" t="s">
        <v>16784</v>
      </c>
      <c r="AS865" t="s">
        <v>16785</v>
      </c>
      <c r="AT865" t="s">
        <v>184</v>
      </c>
      <c r="AU865">
        <v>2022</v>
      </c>
      <c r="AV865">
        <v>297</v>
      </c>
      <c r="AW865">
        <v>7</v>
      </c>
      <c r="AX865" t="s">
        <v>74</v>
      </c>
      <c r="AY865" t="s">
        <v>74</v>
      </c>
      <c r="AZ865" t="s">
        <v>74</v>
      </c>
      <c r="BA865" t="s">
        <v>74</v>
      </c>
      <c r="BB865" t="s">
        <v>74</v>
      </c>
      <c r="BC865" t="s">
        <v>74</v>
      </c>
      <c r="BD865">
        <v>88</v>
      </c>
      <c r="BE865" t="s">
        <v>16786</v>
      </c>
      <c r="BF865" t="str">
        <f>HYPERLINK("http://dx.doi.org/10.1007/s11207-022-02026-0","http://dx.doi.org/10.1007/s11207-022-02026-0")</f>
        <v>http://dx.doi.org/10.1007/s11207-022-02026-0</v>
      </c>
      <c r="BG865" t="s">
        <v>74</v>
      </c>
      <c r="BH865" t="s">
        <v>74</v>
      </c>
      <c r="BI865">
        <v>23</v>
      </c>
      <c r="BJ865" t="s">
        <v>954</v>
      </c>
      <c r="BK865" t="s">
        <v>100</v>
      </c>
      <c r="BL865" t="s">
        <v>954</v>
      </c>
      <c r="BM865" t="s">
        <v>16787</v>
      </c>
      <c r="BN865" t="s">
        <v>74</v>
      </c>
      <c r="BO865" t="s">
        <v>831</v>
      </c>
      <c r="BP865" t="s">
        <v>74</v>
      </c>
      <c r="BQ865" t="s">
        <v>74</v>
      </c>
      <c r="BR865" t="s">
        <v>103</v>
      </c>
      <c r="BS865" t="s">
        <v>16788</v>
      </c>
      <c r="BT865" t="str">
        <f>HYPERLINK("https%3A%2F%2Fwww.webofscience.com%2Fwos%2Fwoscc%2Ffull-record%2FWOS:000822341700001","View Full Record in Web of Science")</f>
        <v>View Full Record in Web of Science</v>
      </c>
    </row>
    <row r="866" spans="1:72" x14ac:dyDescent="0.15">
      <c r="A866" t="s">
        <v>72</v>
      </c>
      <c r="B866" t="s">
        <v>16789</v>
      </c>
      <c r="C866" t="s">
        <v>74</v>
      </c>
      <c r="D866" t="s">
        <v>74</v>
      </c>
      <c r="E866" t="s">
        <v>74</v>
      </c>
      <c r="F866" t="s">
        <v>16790</v>
      </c>
      <c r="G866" t="s">
        <v>74</v>
      </c>
      <c r="H866" t="s">
        <v>74</v>
      </c>
      <c r="I866" t="s">
        <v>16791</v>
      </c>
      <c r="J866" t="s">
        <v>3244</v>
      </c>
      <c r="K866" t="s">
        <v>74</v>
      </c>
      <c r="L866" t="s">
        <v>74</v>
      </c>
      <c r="M866" t="s">
        <v>78</v>
      </c>
      <c r="N866" t="s">
        <v>79</v>
      </c>
      <c r="O866" t="s">
        <v>74</v>
      </c>
      <c r="P866" t="s">
        <v>74</v>
      </c>
      <c r="Q866" t="s">
        <v>74</v>
      </c>
      <c r="R866" t="s">
        <v>74</v>
      </c>
      <c r="S866" t="s">
        <v>74</v>
      </c>
      <c r="T866" t="s">
        <v>74</v>
      </c>
      <c r="U866" t="s">
        <v>16792</v>
      </c>
      <c r="V866" t="s">
        <v>16793</v>
      </c>
      <c r="W866" t="s">
        <v>16794</v>
      </c>
      <c r="X866" t="s">
        <v>16795</v>
      </c>
      <c r="Y866" t="s">
        <v>16796</v>
      </c>
      <c r="Z866" t="s">
        <v>16797</v>
      </c>
      <c r="AA866" t="s">
        <v>16798</v>
      </c>
      <c r="AB866" t="s">
        <v>16799</v>
      </c>
      <c r="AC866" t="s">
        <v>16800</v>
      </c>
      <c r="AD866" t="s">
        <v>16801</v>
      </c>
      <c r="AE866" t="s">
        <v>16802</v>
      </c>
      <c r="AF866" t="s">
        <v>74</v>
      </c>
      <c r="AG866">
        <v>77</v>
      </c>
      <c r="AH866">
        <v>5</v>
      </c>
      <c r="AI866">
        <v>5</v>
      </c>
      <c r="AJ866">
        <v>5</v>
      </c>
      <c r="AK866">
        <v>39</v>
      </c>
      <c r="AL866" t="s">
        <v>2460</v>
      </c>
      <c r="AM866" t="s">
        <v>2461</v>
      </c>
      <c r="AN866" t="s">
        <v>2462</v>
      </c>
      <c r="AO866" t="s">
        <v>3256</v>
      </c>
      <c r="AP866" t="s">
        <v>3257</v>
      </c>
      <c r="AQ866" t="s">
        <v>74</v>
      </c>
      <c r="AR866" t="s">
        <v>3258</v>
      </c>
      <c r="AS866" t="s">
        <v>3259</v>
      </c>
      <c r="AT866" t="s">
        <v>15333</v>
      </c>
      <c r="AU866">
        <v>2022</v>
      </c>
      <c r="AV866">
        <v>22</v>
      </c>
      <c r="AW866">
        <v>12</v>
      </c>
      <c r="AX866" t="s">
        <v>74</v>
      </c>
      <c r="AY866" t="s">
        <v>74</v>
      </c>
      <c r="AZ866" t="s">
        <v>74</v>
      </c>
      <c r="BA866" t="s">
        <v>74</v>
      </c>
      <c r="BB866">
        <v>8417</v>
      </c>
      <c r="BC866">
        <v>8437</v>
      </c>
      <c r="BD866" t="s">
        <v>74</v>
      </c>
      <c r="BE866" t="s">
        <v>16803</v>
      </c>
      <c r="BF866" t="str">
        <f>HYPERLINK("http://dx.doi.org/10.5194/acp-22-8417-2022","http://dx.doi.org/10.5194/acp-22-8417-2022")</f>
        <v>http://dx.doi.org/10.5194/acp-22-8417-2022</v>
      </c>
      <c r="BG866" t="s">
        <v>74</v>
      </c>
      <c r="BH866" t="s">
        <v>74</v>
      </c>
      <c r="BI866">
        <v>21</v>
      </c>
      <c r="BJ866" t="s">
        <v>1129</v>
      </c>
      <c r="BK866" t="s">
        <v>100</v>
      </c>
      <c r="BL866" t="s">
        <v>1130</v>
      </c>
      <c r="BM866" t="s">
        <v>16804</v>
      </c>
      <c r="BN866" t="s">
        <v>74</v>
      </c>
      <c r="BO866" t="s">
        <v>10165</v>
      </c>
      <c r="BP866" t="s">
        <v>74</v>
      </c>
      <c r="BQ866" t="s">
        <v>74</v>
      </c>
      <c r="BR866" t="s">
        <v>103</v>
      </c>
      <c r="BS866" t="s">
        <v>16805</v>
      </c>
      <c r="BT866" t="str">
        <f>HYPERLINK("https%3A%2F%2Fwww.webofscience.com%2Fwos%2Fwoscc%2Ffull-record%2FWOS:000819424300001","View Full Record in Web of Science")</f>
        <v>View Full Record in Web of Science</v>
      </c>
    </row>
    <row r="867" spans="1:72" x14ac:dyDescent="0.15">
      <c r="A867" t="s">
        <v>72</v>
      </c>
      <c r="B867" t="s">
        <v>16806</v>
      </c>
      <c r="C867" t="s">
        <v>74</v>
      </c>
      <c r="D867" t="s">
        <v>74</v>
      </c>
      <c r="E867" t="s">
        <v>74</v>
      </c>
      <c r="F867" t="s">
        <v>16807</v>
      </c>
      <c r="G867" t="s">
        <v>74</v>
      </c>
      <c r="H867" t="s">
        <v>74</v>
      </c>
      <c r="I867" t="s">
        <v>16808</v>
      </c>
      <c r="J867" t="s">
        <v>6396</v>
      </c>
      <c r="K867" t="s">
        <v>74</v>
      </c>
      <c r="L867" t="s">
        <v>74</v>
      </c>
      <c r="M867" t="s">
        <v>78</v>
      </c>
      <c r="N867" t="s">
        <v>79</v>
      </c>
      <c r="O867" t="s">
        <v>74</v>
      </c>
      <c r="P867" t="s">
        <v>74</v>
      </c>
      <c r="Q867" t="s">
        <v>74</v>
      </c>
      <c r="R867" t="s">
        <v>74</v>
      </c>
      <c r="S867" t="s">
        <v>74</v>
      </c>
      <c r="T867" t="s">
        <v>74</v>
      </c>
      <c r="U867" t="s">
        <v>16809</v>
      </c>
      <c r="V867" t="s">
        <v>16810</v>
      </c>
      <c r="W867" t="s">
        <v>16811</v>
      </c>
      <c r="X867" t="s">
        <v>16812</v>
      </c>
      <c r="Y867" t="s">
        <v>16736</v>
      </c>
      <c r="Z867" t="s">
        <v>16737</v>
      </c>
      <c r="AA867" t="s">
        <v>16813</v>
      </c>
      <c r="AB867" t="s">
        <v>16814</v>
      </c>
      <c r="AC867" t="s">
        <v>16815</v>
      </c>
      <c r="AD867" t="s">
        <v>16816</v>
      </c>
      <c r="AE867" t="s">
        <v>16817</v>
      </c>
      <c r="AF867" t="s">
        <v>74</v>
      </c>
      <c r="AG867">
        <v>84</v>
      </c>
      <c r="AH867">
        <v>16</v>
      </c>
      <c r="AI867">
        <v>16</v>
      </c>
      <c r="AJ867">
        <v>2</v>
      </c>
      <c r="AK867">
        <v>9</v>
      </c>
      <c r="AL867" t="s">
        <v>946</v>
      </c>
      <c r="AM867" t="s">
        <v>207</v>
      </c>
      <c r="AN867" t="s">
        <v>947</v>
      </c>
      <c r="AO867" t="s">
        <v>6408</v>
      </c>
      <c r="AP867" t="s">
        <v>6409</v>
      </c>
      <c r="AQ867" t="s">
        <v>74</v>
      </c>
      <c r="AR867" t="s">
        <v>6410</v>
      </c>
      <c r="AS867" t="s">
        <v>6411</v>
      </c>
      <c r="AT867" t="s">
        <v>184</v>
      </c>
      <c r="AU867">
        <v>2022</v>
      </c>
      <c r="AV867">
        <v>36</v>
      </c>
      <c r="AW867">
        <v>7</v>
      </c>
      <c r="AX867" t="s">
        <v>74</v>
      </c>
      <c r="AY867" t="s">
        <v>74</v>
      </c>
      <c r="AZ867" t="s">
        <v>74</v>
      </c>
      <c r="BA867" t="s">
        <v>74</v>
      </c>
      <c r="BB867" t="s">
        <v>74</v>
      </c>
      <c r="BC867" t="s">
        <v>74</v>
      </c>
      <c r="BD867" t="s">
        <v>16818</v>
      </c>
      <c r="BE867" t="s">
        <v>16819</v>
      </c>
      <c r="BF867" t="str">
        <f>HYPERLINK("http://dx.doi.org/10.1029/2022GB007329","http://dx.doi.org/10.1029/2022GB007329")</f>
        <v>http://dx.doi.org/10.1029/2022GB007329</v>
      </c>
      <c r="BG867" t="s">
        <v>74</v>
      </c>
      <c r="BH867" t="s">
        <v>74</v>
      </c>
      <c r="BI867">
        <v>15</v>
      </c>
      <c r="BJ867" t="s">
        <v>1010</v>
      </c>
      <c r="BK867" t="s">
        <v>100</v>
      </c>
      <c r="BL867" t="s">
        <v>1011</v>
      </c>
      <c r="BM867" t="s">
        <v>16820</v>
      </c>
      <c r="BN867" t="s">
        <v>74</v>
      </c>
      <c r="BO867" t="s">
        <v>2588</v>
      </c>
      <c r="BP867" t="s">
        <v>74</v>
      </c>
      <c r="BQ867" t="s">
        <v>74</v>
      </c>
      <c r="BR867" t="s">
        <v>103</v>
      </c>
      <c r="BS867" t="s">
        <v>16821</v>
      </c>
      <c r="BT867" t="str">
        <f>HYPERLINK("https%3A%2F%2Fwww.webofscience.com%2Fwos%2Fwoscc%2Ffull-record%2FWOS:000819245500001","View Full Record in Web of Science")</f>
        <v>View Full Record in Web of Science</v>
      </c>
    </row>
    <row r="868" spans="1:72" x14ac:dyDescent="0.15">
      <c r="A868" t="s">
        <v>72</v>
      </c>
      <c r="B868" t="s">
        <v>16822</v>
      </c>
      <c r="C868" t="s">
        <v>74</v>
      </c>
      <c r="D868" t="s">
        <v>74</v>
      </c>
      <c r="E868" t="s">
        <v>74</v>
      </c>
      <c r="F868" t="s">
        <v>16823</v>
      </c>
      <c r="G868" t="s">
        <v>74</v>
      </c>
      <c r="H868" t="s">
        <v>74</v>
      </c>
      <c r="I868" t="s">
        <v>16824</v>
      </c>
      <c r="J868" t="s">
        <v>1614</v>
      </c>
      <c r="K868" t="s">
        <v>74</v>
      </c>
      <c r="L868" t="s">
        <v>74</v>
      </c>
      <c r="M868" t="s">
        <v>78</v>
      </c>
      <c r="N868" t="s">
        <v>79</v>
      </c>
      <c r="O868" t="s">
        <v>74</v>
      </c>
      <c r="P868" t="s">
        <v>74</v>
      </c>
      <c r="Q868" t="s">
        <v>74</v>
      </c>
      <c r="R868" t="s">
        <v>74</v>
      </c>
      <c r="S868" t="s">
        <v>74</v>
      </c>
      <c r="T868" t="s">
        <v>74</v>
      </c>
      <c r="U868" t="s">
        <v>16825</v>
      </c>
      <c r="V868" t="s">
        <v>16826</v>
      </c>
      <c r="W868" t="s">
        <v>16827</v>
      </c>
      <c r="X868" t="s">
        <v>16828</v>
      </c>
      <c r="Y868" t="s">
        <v>16829</v>
      </c>
      <c r="Z868" t="s">
        <v>16830</v>
      </c>
      <c r="AA868" t="s">
        <v>16831</v>
      </c>
      <c r="AB868" t="s">
        <v>16832</v>
      </c>
      <c r="AC868" t="s">
        <v>16833</v>
      </c>
      <c r="AD868" t="s">
        <v>16834</v>
      </c>
      <c r="AE868" t="s">
        <v>16835</v>
      </c>
      <c r="AF868" t="s">
        <v>74</v>
      </c>
      <c r="AG868">
        <v>46</v>
      </c>
      <c r="AH868">
        <v>0</v>
      </c>
      <c r="AI868">
        <v>0</v>
      </c>
      <c r="AJ868">
        <v>0</v>
      </c>
      <c r="AK868">
        <v>5</v>
      </c>
      <c r="AL868" t="s">
        <v>1626</v>
      </c>
      <c r="AM868" t="s">
        <v>1627</v>
      </c>
      <c r="AN868" t="s">
        <v>1628</v>
      </c>
      <c r="AO868" t="s">
        <v>1629</v>
      </c>
      <c r="AP868" t="s">
        <v>1630</v>
      </c>
      <c r="AQ868" t="s">
        <v>74</v>
      </c>
      <c r="AR868" t="s">
        <v>1631</v>
      </c>
      <c r="AS868" t="s">
        <v>1632</v>
      </c>
      <c r="AT868" t="s">
        <v>15333</v>
      </c>
      <c r="AU868">
        <v>2022</v>
      </c>
      <c r="AV868">
        <v>933</v>
      </c>
      <c r="AW868">
        <v>1</v>
      </c>
      <c r="AX868" t="s">
        <v>74</v>
      </c>
      <c r="AY868" t="s">
        <v>74</v>
      </c>
      <c r="AZ868" t="s">
        <v>74</v>
      </c>
      <c r="BA868" t="s">
        <v>74</v>
      </c>
      <c r="BB868" t="s">
        <v>74</v>
      </c>
      <c r="BC868" t="s">
        <v>74</v>
      </c>
      <c r="BD868">
        <v>45</v>
      </c>
      <c r="BE868" t="s">
        <v>16836</v>
      </c>
      <c r="BF868" t="str">
        <f>HYPERLINK("http://dx.doi.org/10.3847/1538-4357/ac6f56","http://dx.doi.org/10.3847/1538-4357/ac6f56")</f>
        <v>http://dx.doi.org/10.3847/1538-4357/ac6f56</v>
      </c>
      <c r="BG868" t="s">
        <v>74</v>
      </c>
      <c r="BH868" t="s">
        <v>74</v>
      </c>
      <c r="BI868">
        <v>9</v>
      </c>
      <c r="BJ868" t="s">
        <v>954</v>
      </c>
      <c r="BK868" t="s">
        <v>100</v>
      </c>
      <c r="BL868" t="s">
        <v>954</v>
      </c>
      <c r="BM868" t="s">
        <v>16837</v>
      </c>
      <c r="BN868" t="s">
        <v>74</v>
      </c>
      <c r="BO868" t="s">
        <v>266</v>
      </c>
      <c r="BP868" t="s">
        <v>74</v>
      </c>
      <c r="BQ868" t="s">
        <v>74</v>
      </c>
      <c r="BR868" t="s">
        <v>103</v>
      </c>
      <c r="BS868" t="s">
        <v>16838</v>
      </c>
      <c r="BT868" t="str">
        <f>HYPERLINK("https%3A%2F%2Fwww.webofscience.com%2Fwos%2Fwoscc%2Ffull-record%2FWOS:000819734100001","View Full Record in Web of Science")</f>
        <v>View Full Record in Web of Science</v>
      </c>
    </row>
    <row r="869" spans="1:72" x14ac:dyDescent="0.15">
      <c r="A869" t="s">
        <v>72</v>
      </c>
      <c r="B869" t="s">
        <v>16839</v>
      </c>
      <c r="C869" t="s">
        <v>74</v>
      </c>
      <c r="D869" t="s">
        <v>74</v>
      </c>
      <c r="E869" t="s">
        <v>74</v>
      </c>
      <c r="F869" t="s">
        <v>16840</v>
      </c>
      <c r="G869" t="s">
        <v>74</v>
      </c>
      <c r="H869" t="s">
        <v>74</v>
      </c>
      <c r="I869" t="s">
        <v>16841</v>
      </c>
      <c r="J869" t="s">
        <v>16658</v>
      </c>
      <c r="K869" t="s">
        <v>74</v>
      </c>
      <c r="L869" t="s">
        <v>74</v>
      </c>
      <c r="M869" t="s">
        <v>78</v>
      </c>
      <c r="N869" t="s">
        <v>79</v>
      </c>
      <c r="O869" t="s">
        <v>74</v>
      </c>
      <c r="P869" t="s">
        <v>74</v>
      </c>
      <c r="Q869" t="s">
        <v>74</v>
      </c>
      <c r="R869" t="s">
        <v>74</v>
      </c>
      <c r="S869" t="s">
        <v>74</v>
      </c>
      <c r="T869" t="s">
        <v>74</v>
      </c>
      <c r="U869" t="s">
        <v>16842</v>
      </c>
      <c r="V869" t="s">
        <v>16843</v>
      </c>
      <c r="W869" t="s">
        <v>16844</v>
      </c>
      <c r="X869" t="s">
        <v>16845</v>
      </c>
      <c r="Y869" t="s">
        <v>16846</v>
      </c>
      <c r="Z869" t="s">
        <v>16847</v>
      </c>
      <c r="AA869" t="s">
        <v>74</v>
      </c>
      <c r="AB869" t="s">
        <v>16848</v>
      </c>
      <c r="AC869" t="s">
        <v>16849</v>
      </c>
      <c r="AD869" t="s">
        <v>16850</v>
      </c>
      <c r="AE869" t="s">
        <v>16851</v>
      </c>
      <c r="AF869" t="s">
        <v>74</v>
      </c>
      <c r="AG869">
        <v>42</v>
      </c>
      <c r="AH869">
        <v>2</v>
      </c>
      <c r="AI869">
        <v>2</v>
      </c>
      <c r="AJ869">
        <v>0</v>
      </c>
      <c r="AK869">
        <v>0</v>
      </c>
      <c r="AL869" t="s">
        <v>16669</v>
      </c>
      <c r="AM869" t="s">
        <v>16670</v>
      </c>
      <c r="AN869" t="s">
        <v>16671</v>
      </c>
      <c r="AO869" t="s">
        <v>16672</v>
      </c>
      <c r="AP869" t="s">
        <v>16673</v>
      </c>
      <c r="AQ869" t="s">
        <v>74</v>
      </c>
      <c r="AR869" t="s">
        <v>16674</v>
      </c>
      <c r="AS869" t="s">
        <v>16675</v>
      </c>
      <c r="AT869" t="s">
        <v>184</v>
      </c>
      <c r="AU869">
        <v>2022</v>
      </c>
      <c r="AV869">
        <v>93</v>
      </c>
      <c r="AW869">
        <v>4</v>
      </c>
      <c r="AX869" t="s">
        <v>74</v>
      </c>
      <c r="AY869" t="s">
        <v>74</v>
      </c>
      <c r="AZ869" t="s">
        <v>74</v>
      </c>
      <c r="BA869" t="s">
        <v>74</v>
      </c>
      <c r="BB869">
        <v>2189</v>
      </c>
      <c r="BC869">
        <v>2200</v>
      </c>
      <c r="BD869" t="s">
        <v>74</v>
      </c>
      <c r="BE869" t="s">
        <v>16852</v>
      </c>
      <c r="BF869" t="str">
        <f>HYPERLINK("http://dx.doi.org/10.1785/0220210264","http://dx.doi.org/10.1785/0220210264")</f>
        <v>http://dx.doi.org/10.1785/0220210264</v>
      </c>
      <c r="BG869" t="s">
        <v>74</v>
      </c>
      <c r="BH869" t="s">
        <v>74</v>
      </c>
      <c r="BI869">
        <v>12</v>
      </c>
      <c r="BJ869" t="s">
        <v>1379</v>
      </c>
      <c r="BK869" t="s">
        <v>100</v>
      </c>
      <c r="BL869" t="s">
        <v>1379</v>
      </c>
      <c r="BM869" t="s">
        <v>16853</v>
      </c>
      <c r="BN869" t="s">
        <v>74</v>
      </c>
      <c r="BO869" t="s">
        <v>74</v>
      </c>
      <c r="BP869" t="s">
        <v>74</v>
      </c>
      <c r="BQ869" t="s">
        <v>74</v>
      </c>
      <c r="BR869" t="s">
        <v>103</v>
      </c>
      <c r="BS869" t="s">
        <v>16854</v>
      </c>
      <c r="BT869" t="str">
        <f>HYPERLINK("https%3A%2F%2Fwww.webofscience.com%2Fwos%2Fwoscc%2Ffull-record%2FWOS:000818025100007","View Full Record in Web of Science")</f>
        <v>View Full Record in Web of Science</v>
      </c>
    </row>
    <row r="870" spans="1:72" x14ac:dyDescent="0.15">
      <c r="A870" t="s">
        <v>72</v>
      </c>
      <c r="B870" t="s">
        <v>16855</v>
      </c>
      <c r="C870" t="s">
        <v>74</v>
      </c>
      <c r="D870" t="s">
        <v>74</v>
      </c>
      <c r="E870" t="s">
        <v>74</v>
      </c>
      <c r="F870" t="s">
        <v>16856</v>
      </c>
      <c r="G870" t="s">
        <v>74</v>
      </c>
      <c r="H870" t="s">
        <v>74</v>
      </c>
      <c r="I870" t="s">
        <v>16857</v>
      </c>
      <c r="J870" t="s">
        <v>1385</v>
      </c>
      <c r="K870" t="s">
        <v>74</v>
      </c>
      <c r="L870" t="s">
        <v>74</v>
      </c>
      <c r="M870" t="s">
        <v>78</v>
      </c>
      <c r="N870" t="s">
        <v>79</v>
      </c>
      <c r="O870" t="s">
        <v>74</v>
      </c>
      <c r="P870" t="s">
        <v>74</v>
      </c>
      <c r="Q870" t="s">
        <v>74</v>
      </c>
      <c r="R870" t="s">
        <v>74</v>
      </c>
      <c r="S870" t="s">
        <v>74</v>
      </c>
      <c r="T870" t="s">
        <v>16858</v>
      </c>
      <c r="U870" t="s">
        <v>16859</v>
      </c>
      <c r="V870" t="s">
        <v>16860</v>
      </c>
      <c r="W870" t="s">
        <v>16861</v>
      </c>
      <c r="X870" t="s">
        <v>1204</v>
      </c>
      <c r="Y870" t="s">
        <v>16862</v>
      </c>
      <c r="Z870" t="s">
        <v>16863</v>
      </c>
      <c r="AA870" t="s">
        <v>16864</v>
      </c>
      <c r="AB870" t="s">
        <v>16865</v>
      </c>
      <c r="AC870" t="s">
        <v>16866</v>
      </c>
      <c r="AD870" t="s">
        <v>16867</v>
      </c>
      <c r="AE870" t="s">
        <v>16868</v>
      </c>
      <c r="AF870" t="s">
        <v>74</v>
      </c>
      <c r="AG870">
        <v>85</v>
      </c>
      <c r="AH870">
        <v>5</v>
      </c>
      <c r="AI870">
        <v>5</v>
      </c>
      <c r="AJ870">
        <v>3</v>
      </c>
      <c r="AK870">
        <v>18</v>
      </c>
      <c r="AL870" t="s">
        <v>946</v>
      </c>
      <c r="AM870" t="s">
        <v>207</v>
      </c>
      <c r="AN870" t="s">
        <v>947</v>
      </c>
      <c r="AO870" t="s">
        <v>1398</v>
      </c>
      <c r="AP870" t="s">
        <v>1399</v>
      </c>
      <c r="AQ870" t="s">
        <v>74</v>
      </c>
      <c r="AR870" t="s">
        <v>1400</v>
      </c>
      <c r="AS870" t="s">
        <v>1401</v>
      </c>
      <c r="AT870" t="s">
        <v>184</v>
      </c>
      <c r="AU870">
        <v>2022</v>
      </c>
      <c r="AV870">
        <v>127</v>
      </c>
      <c r="AW870">
        <v>7</v>
      </c>
      <c r="AX870" t="s">
        <v>74</v>
      </c>
      <c r="AY870" t="s">
        <v>74</v>
      </c>
      <c r="AZ870" t="s">
        <v>74</v>
      </c>
      <c r="BA870" t="s">
        <v>74</v>
      </c>
      <c r="BB870" t="s">
        <v>74</v>
      </c>
      <c r="BC870" t="s">
        <v>74</v>
      </c>
      <c r="BD870" t="s">
        <v>16869</v>
      </c>
      <c r="BE870" t="s">
        <v>16870</v>
      </c>
      <c r="BF870" t="str">
        <f>HYPERLINK("http://dx.doi.org/10.1029/2021JC018401","http://dx.doi.org/10.1029/2021JC018401")</f>
        <v>http://dx.doi.org/10.1029/2021JC018401</v>
      </c>
      <c r="BG870" t="s">
        <v>74</v>
      </c>
      <c r="BH870" t="s">
        <v>74</v>
      </c>
      <c r="BI870">
        <v>23</v>
      </c>
      <c r="BJ870" t="s">
        <v>674</v>
      </c>
      <c r="BK870" t="s">
        <v>100</v>
      </c>
      <c r="BL870" t="s">
        <v>674</v>
      </c>
      <c r="BM870" t="s">
        <v>16871</v>
      </c>
      <c r="BN870" t="s">
        <v>74</v>
      </c>
      <c r="BO870" t="s">
        <v>1341</v>
      </c>
      <c r="BP870" t="s">
        <v>74</v>
      </c>
      <c r="BQ870" t="s">
        <v>74</v>
      </c>
      <c r="BR870" t="s">
        <v>103</v>
      </c>
      <c r="BS870" t="s">
        <v>16872</v>
      </c>
      <c r="BT870" t="str">
        <f>HYPERLINK("https%3A%2F%2Fwww.webofscience.com%2Fwos%2Fwoscc%2Ffull-record%2FWOS:000817908700001","View Full Record in Web of Science")</f>
        <v>View Full Record in Web of Science</v>
      </c>
    </row>
    <row r="871" spans="1:72" x14ac:dyDescent="0.15">
      <c r="A871" t="s">
        <v>72</v>
      </c>
      <c r="B871" t="s">
        <v>16873</v>
      </c>
      <c r="C871" t="s">
        <v>74</v>
      </c>
      <c r="D871" t="s">
        <v>74</v>
      </c>
      <c r="E871" t="s">
        <v>74</v>
      </c>
      <c r="F871" t="s">
        <v>16874</v>
      </c>
      <c r="G871" t="s">
        <v>74</v>
      </c>
      <c r="H871" t="s">
        <v>74</v>
      </c>
      <c r="I871" t="s">
        <v>16875</v>
      </c>
      <c r="J871" t="s">
        <v>16876</v>
      </c>
      <c r="K871" t="s">
        <v>74</v>
      </c>
      <c r="L871" t="s">
        <v>74</v>
      </c>
      <c r="M871" t="s">
        <v>78</v>
      </c>
      <c r="N871" t="s">
        <v>79</v>
      </c>
      <c r="O871" t="s">
        <v>74</v>
      </c>
      <c r="P871" t="s">
        <v>74</v>
      </c>
      <c r="Q871" t="s">
        <v>74</v>
      </c>
      <c r="R871" t="s">
        <v>74</v>
      </c>
      <c r="S871" t="s">
        <v>74</v>
      </c>
      <c r="T871" t="s">
        <v>16877</v>
      </c>
      <c r="U871" t="s">
        <v>74</v>
      </c>
      <c r="V871" t="s">
        <v>16878</v>
      </c>
      <c r="W871" t="s">
        <v>16879</v>
      </c>
      <c r="X871" t="s">
        <v>16880</v>
      </c>
      <c r="Y871" t="s">
        <v>16881</v>
      </c>
      <c r="Z871" t="s">
        <v>16882</v>
      </c>
      <c r="AA871" t="s">
        <v>16883</v>
      </c>
      <c r="AB871" t="s">
        <v>16884</v>
      </c>
      <c r="AC871" t="s">
        <v>16885</v>
      </c>
      <c r="AD871" t="s">
        <v>16886</v>
      </c>
      <c r="AE871" t="s">
        <v>16887</v>
      </c>
      <c r="AF871" t="s">
        <v>74</v>
      </c>
      <c r="AG871">
        <v>28</v>
      </c>
      <c r="AH871">
        <v>7</v>
      </c>
      <c r="AI871">
        <v>7</v>
      </c>
      <c r="AJ871">
        <v>5</v>
      </c>
      <c r="AK871">
        <v>32</v>
      </c>
      <c r="AL871" t="s">
        <v>2391</v>
      </c>
      <c r="AM871" t="s">
        <v>2392</v>
      </c>
      <c r="AN871" t="s">
        <v>2393</v>
      </c>
      <c r="AO871" t="s">
        <v>16888</v>
      </c>
      <c r="AP871" t="s">
        <v>16889</v>
      </c>
      <c r="AQ871" t="s">
        <v>74</v>
      </c>
      <c r="AR871" t="s">
        <v>16890</v>
      </c>
      <c r="AS871" t="s">
        <v>16891</v>
      </c>
      <c r="AT871" t="s">
        <v>184</v>
      </c>
      <c r="AU871">
        <v>2022</v>
      </c>
      <c r="AV871">
        <v>26</v>
      </c>
      <c r="AW871">
        <v>3</v>
      </c>
      <c r="AX871" t="s">
        <v>74</v>
      </c>
      <c r="AY871" t="s">
        <v>74</v>
      </c>
      <c r="AZ871" t="s">
        <v>74</v>
      </c>
      <c r="BA871" t="s">
        <v>74</v>
      </c>
      <c r="BB871" t="s">
        <v>74</v>
      </c>
      <c r="BC871" t="s">
        <v>74</v>
      </c>
      <c r="BD871">
        <v>96</v>
      </c>
      <c r="BE871" t="s">
        <v>16892</v>
      </c>
      <c r="BF871" t="str">
        <f>HYPERLINK("http://dx.doi.org/10.1007/s10291-022-01281-9","http://dx.doi.org/10.1007/s10291-022-01281-9")</f>
        <v>http://dx.doi.org/10.1007/s10291-022-01281-9</v>
      </c>
      <c r="BG871" t="s">
        <v>74</v>
      </c>
      <c r="BH871" t="s">
        <v>74</v>
      </c>
      <c r="BI871">
        <v>12</v>
      </c>
      <c r="BJ871" t="s">
        <v>6340</v>
      </c>
      <c r="BK871" t="s">
        <v>100</v>
      </c>
      <c r="BL871" t="s">
        <v>6340</v>
      </c>
      <c r="BM871" t="s">
        <v>16893</v>
      </c>
      <c r="BN871" t="s">
        <v>74</v>
      </c>
      <c r="BO871" t="s">
        <v>74</v>
      </c>
      <c r="BP871" t="s">
        <v>74</v>
      </c>
      <c r="BQ871" t="s">
        <v>74</v>
      </c>
      <c r="BR871" t="s">
        <v>103</v>
      </c>
      <c r="BS871" t="s">
        <v>16894</v>
      </c>
      <c r="BT871" t="str">
        <f>HYPERLINK("https%3A%2F%2Fwww.webofscience.com%2Fwos%2Fwoscc%2Ffull-record%2FWOS:000815733300002","View Full Record in Web of Science")</f>
        <v>View Full Record in Web of Science</v>
      </c>
    </row>
    <row r="872" spans="1:72" x14ac:dyDescent="0.15">
      <c r="A872" t="s">
        <v>72</v>
      </c>
      <c r="B872" t="s">
        <v>16895</v>
      </c>
      <c r="C872" t="s">
        <v>74</v>
      </c>
      <c r="D872" t="s">
        <v>74</v>
      </c>
      <c r="E872" t="s">
        <v>74</v>
      </c>
      <c r="F872" t="s">
        <v>16896</v>
      </c>
      <c r="G872" t="s">
        <v>74</v>
      </c>
      <c r="H872" t="s">
        <v>74</v>
      </c>
      <c r="I872" t="s">
        <v>16897</v>
      </c>
      <c r="J872" t="s">
        <v>2762</v>
      </c>
      <c r="K872" t="s">
        <v>74</v>
      </c>
      <c r="L872" t="s">
        <v>74</v>
      </c>
      <c r="M872" t="s">
        <v>78</v>
      </c>
      <c r="N872" t="s">
        <v>79</v>
      </c>
      <c r="O872" t="s">
        <v>74</v>
      </c>
      <c r="P872" t="s">
        <v>74</v>
      </c>
      <c r="Q872" t="s">
        <v>74</v>
      </c>
      <c r="R872" t="s">
        <v>74</v>
      </c>
      <c r="S872" t="s">
        <v>74</v>
      </c>
      <c r="T872" t="s">
        <v>74</v>
      </c>
      <c r="U872" t="s">
        <v>16898</v>
      </c>
      <c r="V872" t="s">
        <v>16899</v>
      </c>
      <c r="W872" t="s">
        <v>16900</v>
      </c>
      <c r="X872" t="s">
        <v>16901</v>
      </c>
      <c r="Y872" t="s">
        <v>16902</v>
      </c>
      <c r="Z872" t="s">
        <v>16903</v>
      </c>
      <c r="AA872" t="s">
        <v>16904</v>
      </c>
      <c r="AB872" t="s">
        <v>16905</v>
      </c>
      <c r="AC872" t="s">
        <v>16906</v>
      </c>
      <c r="AD872" t="s">
        <v>16907</v>
      </c>
      <c r="AE872" t="s">
        <v>16908</v>
      </c>
      <c r="AF872" t="s">
        <v>74</v>
      </c>
      <c r="AG872">
        <v>98</v>
      </c>
      <c r="AH872">
        <v>7</v>
      </c>
      <c r="AI872">
        <v>7</v>
      </c>
      <c r="AJ872">
        <v>2</v>
      </c>
      <c r="AK872">
        <v>2</v>
      </c>
      <c r="AL872" t="s">
        <v>2773</v>
      </c>
      <c r="AM872" t="s">
        <v>2774</v>
      </c>
      <c r="AN872" t="s">
        <v>2775</v>
      </c>
      <c r="AO872" t="s">
        <v>74</v>
      </c>
      <c r="AP872" t="s">
        <v>2776</v>
      </c>
      <c r="AQ872" t="s">
        <v>74</v>
      </c>
      <c r="AR872" t="s">
        <v>2777</v>
      </c>
      <c r="AS872" t="s">
        <v>2778</v>
      </c>
      <c r="AT872" t="s">
        <v>15333</v>
      </c>
      <c r="AU872">
        <v>2022</v>
      </c>
      <c r="AV872">
        <v>2</v>
      </c>
      <c r="AW872">
        <v>1</v>
      </c>
      <c r="AX872" t="s">
        <v>74</v>
      </c>
      <c r="AY872" t="s">
        <v>74</v>
      </c>
      <c r="AZ872" t="s">
        <v>74</v>
      </c>
      <c r="BA872" t="s">
        <v>74</v>
      </c>
      <c r="BB872" t="s">
        <v>74</v>
      </c>
      <c r="BC872" t="s">
        <v>74</v>
      </c>
      <c r="BD872">
        <v>54</v>
      </c>
      <c r="BE872" t="s">
        <v>16909</v>
      </c>
      <c r="BF872" t="str">
        <f>HYPERLINK("http://dx.doi.org/10.1038/s43705-022-00132-5","http://dx.doi.org/10.1038/s43705-022-00132-5")</f>
        <v>http://dx.doi.org/10.1038/s43705-022-00132-5</v>
      </c>
      <c r="BG872" t="s">
        <v>74</v>
      </c>
      <c r="BH872" t="s">
        <v>74</v>
      </c>
      <c r="BI872">
        <v>12</v>
      </c>
      <c r="BJ872" t="s">
        <v>2780</v>
      </c>
      <c r="BK872" t="s">
        <v>215</v>
      </c>
      <c r="BL872" t="s">
        <v>2781</v>
      </c>
      <c r="BM872" t="s">
        <v>16910</v>
      </c>
      <c r="BN872">
        <v>37938659</v>
      </c>
      <c r="BO872" t="s">
        <v>159</v>
      </c>
      <c r="BP872" t="s">
        <v>74</v>
      </c>
      <c r="BQ872" t="s">
        <v>74</v>
      </c>
      <c r="BR872" t="s">
        <v>103</v>
      </c>
      <c r="BS872" t="s">
        <v>16911</v>
      </c>
      <c r="BT872" t="str">
        <f>HYPERLINK("https%3A%2F%2Fwww.webofscience.com%2Fwos%2Fwoscc%2Ffull-record%2FWOS:001105688600001","View Full Record in Web of Science")</f>
        <v>View Full Record in Web of Science</v>
      </c>
    </row>
    <row r="873" spans="1:72" x14ac:dyDescent="0.15">
      <c r="A873" t="s">
        <v>72</v>
      </c>
      <c r="B873" t="s">
        <v>16912</v>
      </c>
      <c r="C873" t="s">
        <v>74</v>
      </c>
      <c r="D873" t="s">
        <v>74</v>
      </c>
      <c r="E873" t="s">
        <v>74</v>
      </c>
      <c r="F873" t="s">
        <v>16913</v>
      </c>
      <c r="G873" t="s">
        <v>74</v>
      </c>
      <c r="H873" t="s">
        <v>74</v>
      </c>
      <c r="I873" t="s">
        <v>16914</v>
      </c>
      <c r="J873" t="s">
        <v>6840</v>
      </c>
      <c r="K873" t="s">
        <v>74</v>
      </c>
      <c r="L873" t="s">
        <v>74</v>
      </c>
      <c r="M873" t="s">
        <v>78</v>
      </c>
      <c r="N873" t="s">
        <v>79</v>
      </c>
      <c r="O873" t="s">
        <v>74</v>
      </c>
      <c r="P873" t="s">
        <v>74</v>
      </c>
      <c r="Q873" t="s">
        <v>74</v>
      </c>
      <c r="R873" t="s">
        <v>74</v>
      </c>
      <c r="S873" t="s">
        <v>74</v>
      </c>
      <c r="T873" t="s">
        <v>16915</v>
      </c>
      <c r="U873" t="s">
        <v>16916</v>
      </c>
      <c r="V873" t="s">
        <v>16917</v>
      </c>
      <c r="W873" t="s">
        <v>16918</v>
      </c>
      <c r="X873" t="s">
        <v>16919</v>
      </c>
      <c r="Y873" t="s">
        <v>16920</v>
      </c>
      <c r="Z873" t="s">
        <v>16921</v>
      </c>
      <c r="AA873" t="s">
        <v>16922</v>
      </c>
      <c r="AB873" t="s">
        <v>16923</v>
      </c>
      <c r="AC873" t="s">
        <v>16924</v>
      </c>
      <c r="AD873" t="s">
        <v>16925</v>
      </c>
      <c r="AE873" t="s">
        <v>16926</v>
      </c>
      <c r="AF873" t="s">
        <v>74</v>
      </c>
      <c r="AG873">
        <v>45</v>
      </c>
      <c r="AH873">
        <v>3</v>
      </c>
      <c r="AI873">
        <v>3</v>
      </c>
      <c r="AJ873">
        <v>7</v>
      </c>
      <c r="AK873">
        <v>24</v>
      </c>
      <c r="AL873" t="s">
        <v>1626</v>
      </c>
      <c r="AM873" t="s">
        <v>1627</v>
      </c>
      <c r="AN873" t="s">
        <v>1628</v>
      </c>
      <c r="AO873" t="s">
        <v>6853</v>
      </c>
      <c r="AP873" t="s">
        <v>74</v>
      </c>
      <c r="AQ873" t="s">
        <v>74</v>
      </c>
      <c r="AR873" t="s">
        <v>6854</v>
      </c>
      <c r="AS873" t="s">
        <v>6855</v>
      </c>
      <c r="AT873" t="s">
        <v>15333</v>
      </c>
      <c r="AU873">
        <v>2022</v>
      </c>
      <c r="AV873">
        <v>17</v>
      </c>
      <c r="AW873">
        <v>7</v>
      </c>
      <c r="AX873" t="s">
        <v>74</v>
      </c>
      <c r="AY873" t="s">
        <v>74</v>
      </c>
      <c r="AZ873" t="s">
        <v>74</v>
      </c>
      <c r="BA873" t="s">
        <v>74</v>
      </c>
      <c r="BB873" t="s">
        <v>74</v>
      </c>
      <c r="BC873" t="s">
        <v>74</v>
      </c>
      <c r="BD873">
        <v>74012</v>
      </c>
      <c r="BE873" t="s">
        <v>16927</v>
      </c>
      <c r="BF873" t="str">
        <f>HYPERLINK("http://dx.doi.org/10.1088/1748-9326/ac76d9","http://dx.doi.org/10.1088/1748-9326/ac76d9")</f>
        <v>http://dx.doi.org/10.1088/1748-9326/ac76d9</v>
      </c>
      <c r="BG873" t="s">
        <v>74</v>
      </c>
      <c r="BH873" t="s">
        <v>74</v>
      </c>
      <c r="BI873">
        <v>9</v>
      </c>
      <c r="BJ873" t="s">
        <v>1129</v>
      </c>
      <c r="BK873" t="s">
        <v>100</v>
      </c>
      <c r="BL873" t="s">
        <v>1130</v>
      </c>
      <c r="BM873" t="s">
        <v>16928</v>
      </c>
      <c r="BN873" t="s">
        <v>74</v>
      </c>
      <c r="BO873" t="s">
        <v>266</v>
      </c>
      <c r="BP873" t="s">
        <v>74</v>
      </c>
      <c r="BQ873" t="s">
        <v>74</v>
      </c>
      <c r="BR873" t="s">
        <v>103</v>
      </c>
      <c r="BS873" t="s">
        <v>16929</v>
      </c>
      <c r="BT873" t="str">
        <f>HYPERLINK("https%3A%2F%2Fwww.webofscience.com%2Fwos%2Fwoscc%2Ffull-record%2FWOS:000813914100001","View Full Record in Web of Science")</f>
        <v>View Full Record in Web of Science</v>
      </c>
    </row>
    <row r="874" spans="1:72" x14ac:dyDescent="0.15">
      <c r="A874" t="s">
        <v>72</v>
      </c>
      <c r="B874" t="s">
        <v>16930</v>
      </c>
      <c r="C874" t="s">
        <v>74</v>
      </c>
      <c r="D874" t="s">
        <v>74</v>
      </c>
      <c r="E874" t="s">
        <v>74</v>
      </c>
      <c r="F874" t="s">
        <v>16931</v>
      </c>
      <c r="G874" t="s">
        <v>74</v>
      </c>
      <c r="H874" t="s">
        <v>74</v>
      </c>
      <c r="I874" t="s">
        <v>16932</v>
      </c>
      <c r="J874" t="s">
        <v>16933</v>
      </c>
      <c r="K874" t="s">
        <v>74</v>
      </c>
      <c r="L874" t="s">
        <v>74</v>
      </c>
      <c r="M874" t="s">
        <v>78</v>
      </c>
      <c r="N874" t="s">
        <v>79</v>
      </c>
      <c r="O874" t="s">
        <v>74</v>
      </c>
      <c r="P874" t="s">
        <v>74</v>
      </c>
      <c r="Q874" t="s">
        <v>74</v>
      </c>
      <c r="R874" t="s">
        <v>74</v>
      </c>
      <c r="S874" t="s">
        <v>74</v>
      </c>
      <c r="T874" t="s">
        <v>16934</v>
      </c>
      <c r="U874" t="s">
        <v>910</v>
      </c>
      <c r="V874" t="s">
        <v>16935</v>
      </c>
      <c r="W874" t="s">
        <v>16936</v>
      </c>
      <c r="X874" t="s">
        <v>16937</v>
      </c>
      <c r="Y874" t="s">
        <v>16938</v>
      </c>
      <c r="Z874" t="s">
        <v>16939</v>
      </c>
      <c r="AA874" t="s">
        <v>16940</v>
      </c>
      <c r="AB874" t="s">
        <v>16941</v>
      </c>
      <c r="AC874" t="s">
        <v>16942</v>
      </c>
      <c r="AD874" t="s">
        <v>16943</v>
      </c>
      <c r="AE874" t="s">
        <v>16944</v>
      </c>
      <c r="AF874" t="s">
        <v>74</v>
      </c>
      <c r="AG874">
        <v>32</v>
      </c>
      <c r="AH874">
        <v>0</v>
      </c>
      <c r="AI874">
        <v>0</v>
      </c>
      <c r="AJ874">
        <v>1</v>
      </c>
      <c r="AK874">
        <v>2</v>
      </c>
      <c r="AL874" t="s">
        <v>10935</v>
      </c>
      <c r="AM874" t="s">
        <v>476</v>
      </c>
      <c r="AN874" t="s">
        <v>10936</v>
      </c>
      <c r="AO874" t="s">
        <v>16945</v>
      </c>
      <c r="AP874" t="s">
        <v>74</v>
      </c>
      <c r="AQ874" t="s">
        <v>74</v>
      </c>
      <c r="AR874" t="s">
        <v>16946</v>
      </c>
      <c r="AS874" t="s">
        <v>16947</v>
      </c>
      <c r="AT874" t="s">
        <v>184</v>
      </c>
      <c r="AU874">
        <v>2022</v>
      </c>
      <c r="AV874">
        <v>30</v>
      </c>
      <c r="AW874">
        <v>3</v>
      </c>
      <c r="AX874" t="s">
        <v>74</v>
      </c>
      <c r="AY874" t="s">
        <v>74</v>
      </c>
      <c r="AZ874" t="s">
        <v>74</v>
      </c>
      <c r="BA874" t="s">
        <v>74</v>
      </c>
      <c r="BB874">
        <v>1755</v>
      </c>
      <c r="BC874">
        <v>1770</v>
      </c>
      <c r="BD874" t="s">
        <v>74</v>
      </c>
      <c r="BE874" t="s">
        <v>16948</v>
      </c>
      <c r="BF874" t="str">
        <f>HYPERLINK("http://dx.doi.org/10.47836/pjst.30.3.01","http://dx.doi.org/10.47836/pjst.30.3.01")</f>
        <v>http://dx.doi.org/10.47836/pjst.30.3.01</v>
      </c>
      <c r="BG874" t="s">
        <v>74</v>
      </c>
      <c r="BH874" t="s">
        <v>74</v>
      </c>
      <c r="BI874">
        <v>16</v>
      </c>
      <c r="BJ874" t="s">
        <v>156</v>
      </c>
      <c r="BK874" t="s">
        <v>215</v>
      </c>
      <c r="BL874" t="s">
        <v>157</v>
      </c>
      <c r="BM874" t="s">
        <v>16949</v>
      </c>
      <c r="BN874" t="s">
        <v>74</v>
      </c>
      <c r="BO874" t="s">
        <v>3859</v>
      </c>
      <c r="BP874" t="s">
        <v>74</v>
      </c>
      <c r="BQ874" t="s">
        <v>74</v>
      </c>
      <c r="BR874" t="s">
        <v>103</v>
      </c>
      <c r="BS874" t="s">
        <v>16950</v>
      </c>
      <c r="BT874" t="str">
        <f>HYPERLINK("https%3A%2F%2Fwww.webofscience.com%2Fwos%2Fwoscc%2Ffull-record%2FWOS:000807826900001","View Full Record in Web of Science")</f>
        <v>View Full Record in Web of Science</v>
      </c>
    </row>
    <row r="875" spans="1:72" x14ac:dyDescent="0.15">
      <c r="A875" t="s">
        <v>72</v>
      </c>
      <c r="B875" t="s">
        <v>16951</v>
      </c>
      <c r="C875" t="s">
        <v>74</v>
      </c>
      <c r="D875" t="s">
        <v>74</v>
      </c>
      <c r="E875" t="s">
        <v>74</v>
      </c>
      <c r="F875" t="s">
        <v>16952</v>
      </c>
      <c r="G875" t="s">
        <v>74</v>
      </c>
      <c r="H875" t="s">
        <v>74</v>
      </c>
      <c r="I875" t="s">
        <v>16953</v>
      </c>
      <c r="J875" t="s">
        <v>16954</v>
      </c>
      <c r="K875" t="s">
        <v>74</v>
      </c>
      <c r="L875" t="s">
        <v>74</v>
      </c>
      <c r="M875" t="s">
        <v>78</v>
      </c>
      <c r="N875" t="s">
        <v>79</v>
      </c>
      <c r="O875" t="s">
        <v>74</v>
      </c>
      <c r="P875" t="s">
        <v>74</v>
      </c>
      <c r="Q875" t="s">
        <v>74</v>
      </c>
      <c r="R875" t="s">
        <v>74</v>
      </c>
      <c r="S875" t="s">
        <v>74</v>
      </c>
      <c r="T875" t="s">
        <v>16955</v>
      </c>
      <c r="U875" t="s">
        <v>16956</v>
      </c>
      <c r="V875" t="s">
        <v>16957</v>
      </c>
      <c r="W875" t="s">
        <v>16958</v>
      </c>
      <c r="X875" t="s">
        <v>4554</v>
      </c>
      <c r="Y875" t="s">
        <v>16959</v>
      </c>
      <c r="Z875" t="s">
        <v>16960</v>
      </c>
      <c r="AA875" t="s">
        <v>16961</v>
      </c>
      <c r="AB875" t="s">
        <v>16962</v>
      </c>
      <c r="AC875" t="s">
        <v>16963</v>
      </c>
      <c r="AD875" t="s">
        <v>16964</v>
      </c>
      <c r="AE875" t="s">
        <v>16965</v>
      </c>
      <c r="AF875" t="s">
        <v>74</v>
      </c>
      <c r="AG875">
        <v>93</v>
      </c>
      <c r="AH875">
        <v>1</v>
      </c>
      <c r="AI875">
        <v>1</v>
      </c>
      <c r="AJ875">
        <v>1</v>
      </c>
      <c r="AK875">
        <v>1</v>
      </c>
      <c r="AL875" t="s">
        <v>16966</v>
      </c>
      <c r="AM875" t="s">
        <v>16967</v>
      </c>
      <c r="AN875" t="s">
        <v>16968</v>
      </c>
      <c r="AO875" t="s">
        <v>16969</v>
      </c>
      <c r="AP875" t="s">
        <v>16970</v>
      </c>
      <c r="AQ875" t="s">
        <v>74</v>
      </c>
      <c r="AR875" t="s">
        <v>16971</v>
      </c>
      <c r="AS875" t="s">
        <v>16972</v>
      </c>
      <c r="AT875" t="s">
        <v>15333</v>
      </c>
      <c r="AU875">
        <v>2022</v>
      </c>
      <c r="AV875">
        <v>28</v>
      </c>
      <c r="AW875">
        <v>7</v>
      </c>
      <c r="AX875" t="s">
        <v>74</v>
      </c>
      <c r="AY875" t="s">
        <v>74</v>
      </c>
      <c r="AZ875" t="s">
        <v>74</v>
      </c>
      <c r="BA875" t="s">
        <v>74</v>
      </c>
      <c r="BB875">
        <v>2641</v>
      </c>
      <c r="BC875">
        <v>2653</v>
      </c>
      <c r="BD875" t="s">
        <v>74</v>
      </c>
      <c r="BE875" t="s">
        <v>16973</v>
      </c>
      <c r="BF875" t="str">
        <f>HYPERLINK("http://dx.doi.org/10.1109/TVCG.2020.3037226","http://dx.doi.org/10.1109/TVCG.2020.3037226")</f>
        <v>http://dx.doi.org/10.1109/TVCG.2020.3037226</v>
      </c>
      <c r="BG875" t="s">
        <v>74</v>
      </c>
      <c r="BH875" t="s">
        <v>74</v>
      </c>
      <c r="BI875">
        <v>13</v>
      </c>
      <c r="BJ875" t="s">
        <v>16974</v>
      </c>
      <c r="BK875" t="s">
        <v>100</v>
      </c>
      <c r="BL875" t="s">
        <v>4848</v>
      </c>
      <c r="BM875" t="s">
        <v>16975</v>
      </c>
      <c r="BN875">
        <v>33170779</v>
      </c>
      <c r="BO875" t="s">
        <v>74</v>
      </c>
      <c r="BP875" t="s">
        <v>74</v>
      </c>
      <c r="BQ875" t="s">
        <v>74</v>
      </c>
      <c r="BR875" t="s">
        <v>103</v>
      </c>
      <c r="BS875" t="s">
        <v>16976</v>
      </c>
      <c r="BT875" t="str">
        <f>HYPERLINK("https%3A%2F%2Fwww.webofscience.com%2Fwos%2Fwoscc%2Ffull-record%2FWOS:000801853400008","View Full Record in Web of Science")</f>
        <v>View Full Record in Web of Science</v>
      </c>
    </row>
    <row r="876" spans="1:72" x14ac:dyDescent="0.15">
      <c r="A876" t="s">
        <v>72</v>
      </c>
      <c r="B876" t="s">
        <v>16977</v>
      </c>
      <c r="C876" t="s">
        <v>74</v>
      </c>
      <c r="D876" t="s">
        <v>74</v>
      </c>
      <c r="E876" t="s">
        <v>74</v>
      </c>
      <c r="F876" t="s">
        <v>16978</v>
      </c>
      <c r="G876" t="s">
        <v>74</v>
      </c>
      <c r="H876" t="s">
        <v>74</v>
      </c>
      <c r="I876" t="s">
        <v>16979</v>
      </c>
      <c r="J876" t="s">
        <v>16980</v>
      </c>
      <c r="K876" t="s">
        <v>74</v>
      </c>
      <c r="L876" t="s">
        <v>74</v>
      </c>
      <c r="M876" t="s">
        <v>7406</v>
      </c>
      <c r="N876" t="s">
        <v>79</v>
      </c>
      <c r="O876" t="s">
        <v>74</v>
      </c>
      <c r="P876" t="s">
        <v>74</v>
      </c>
      <c r="Q876" t="s">
        <v>74</v>
      </c>
      <c r="R876" t="s">
        <v>74</v>
      </c>
      <c r="S876" t="s">
        <v>74</v>
      </c>
      <c r="T876" t="s">
        <v>16981</v>
      </c>
      <c r="U876" t="s">
        <v>74</v>
      </c>
      <c r="V876" t="s">
        <v>16982</v>
      </c>
      <c r="W876" t="s">
        <v>16983</v>
      </c>
      <c r="X876" t="s">
        <v>16984</v>
      </c>
      <c r="Y876" t="s">
        <v>16985</v>
      </c>
      <c r="Z876" t="s">
        <v>16986</v>
      </c>
      <c r="AA876" t="s">
        <v>74</v>
      </c>
      <c r="AB876" t="s">
        <v>74</v>
      </c>
      <c r="AC876" t="s">
        <v>74</v>
      </c>
      <c r="AD876" t="s">
        <v>74</v>
      </c>
      <c r="AE876" t="s">
        <v>74</v>
      </c>
      <c r="AF876" t="s">
        <v>74</v>
      </c>
      <c r="AG876">
        <v>28</v>
      </c>
      <c r="AH876">
        <v>0</v>
      </c>
      <c r="AI876">
        <v>0</v>
      </c>
      <c r="AJ876">
        <v>0</v>
      </c>
      <c r="AK876">
        <v>2</v>
      </c>
      <c r="AL876" t="s">
        <v>16987</v>
      </c>
      <c r="AM876" t="s">
        <v>16988</v>
      </c>
      <c r="AN876" t="s">
        <v>16989</v>
      </c>
      <c r="AO876" t="s">
        <v>16990</v>
      </c>
      <c r="AP876" t="s">
        <v>16991</v>
      </c>
      <c r="AQ876" t="s">
        <v>74</v>
      </c>
      <c r="AR876" t="s">
        <v>16992</v>
      </c>
      <c r="AS876" t="s">
        <v>16993</v>
      </c>
      <c r="AT876" t="s">
        <v>15914</v>
      </c>
      <c r="AU876">
        <v>2022</v>
      </c>
      <c r="AV876" t="s">
        <v>74</v>
      </c>
      <c r="AW876">
        <v>29</v>
      </c>
      <c r="AX876" t="s">
        <v>74</v>
      </c>
      <c r="AY876" t="s">
        <v>74</v>
      </c>
      <c r="AZ876" t="s">
        <v>74</v>
      </c>
      <c r="BA876" t="s">
        <v>74</v>
      </c>
      <c r="BB876">
        <v>373</v>
      </c>
      <c r="BC876">
        <v>405</v>
      </c>
      <c r="BD876" t="s">
        <v>74</v>
      </c>
      <c r="BE876" t="s">
        <v>74</v>
      </c>
      <c r="BF876" t="s">
        <v>74</v>
      </c>
      <c r="BG876" t="s">
        <v>74</v>
      </c>
      <c r="BH876" t="s">
        <v>74</v>
      </c>
      <c r="BI876">
        <v>34</v>
      </c>
      <c r="BJ876" t="s">
        <v>10123</v>
      </c>
      <c r="BK876" t="s">
        <v>215</v>
      </c>
      <c r="BL876" t="s">
        <v>10125</v>
      </c>
      <c r="BM876" t="s">
        <v>16994</v>
      </c>
      <c r="BN876" t="s">
        <v>74</v>
      </c>
      <c r="BO876" t="s">
        <v>74</v>
      </c>
      <c r="BP876" t="s">
        <v>74</v>
      </c>
      <c r="BQ876" t="s">
        <v>74</v>
      </c>
      <c r="BR876" t="s">
        <v>103</v>
      </c>
      <c r="BS876" t="s">
        <v>16995</v>
      </c>
      <c r="BT876" t="str">
        <f>HYPERLINK("https%3A%2F%2Fwww.webofscience.com%2Fwos%2Fwoscc%2Ffull-record%2FWOS:000787375100020","View Full Record in Web of Science")</f>
        <v>View Full Record in Web of Science</v>
      </c>
    </row>
    <row r="877" spans="1:72" x14ac:dyDescent="0.15">
      <c r="A877" t="s">
        <v>72</v>
      </c>
      <c r="B877" t="s">
        <v>16996</v>
      </c>
      <c r="C877" t="s">
        <v>74</v>
      </c>
      <c r="D877" t="s">
        <v>74</v>
      </c>
      <c r="E877" t="s">
        <v>74</v>
      </c>
      <c r="F877" t="s">
        <v>16997</v>
      </c>
      <c r="G877" t="s">
        <v>74</v>
      </c>
      <c r="H877" t="s">
        <v>74</v>
      </c>
      <c r="I877" t="s">
        <v>16998</v>
      </c>
      <c r="J877" t="s">
        <v>247</v>
      </c>
      <c r="K877" t="s">
        <v>74</v>
      </c>
      <c r="L877" t="s">
        <v>74</v>
      </c>
      <c r="M877" t="s">
        <v>78</v>
      </c>
      <c r="N877" t="s">
        <v>79</v>
      </c>
      <c r="O877" t="s">
        <v>74</v>
      </c>
      <c r="P877" t="s">
        <v>74</v>
      </c>
      <c r="Q877" t="s">
        <v>74</v>
      </c>
      <c r="R877" t="s">
        <v>74</v>
      </c>
      <c r="S877" t="s">
        <v>74</v>
      </c>
      <c r="T877" t="s">
        <v>16999</v>
      </c>
      <c r="U877" t="s">
        <v>17000</v>
      </c>
      <c r="V877" t="s">
        <v>17001</v>
      </c>
      <c r="W877" t="s">
        <v>17002</v>
      </c>
      <c r="X877" t="s">
        <v>17003</v>
      </c>
      <c r="Y877" t="s">
        <v>17004</v>
      </c>
      <c r="Z877" t="s">
        <v>17005</v>
      </c>
      <c r="AA877" t="s">
        <v>74</v>
      </c>
      <c r="AB877" t="s">
        <v>17006</v>
      </c>
      <c r="AC877" t="s">
        <v>17007</v>
      </c>
      <c r="AD877" t="s">
        <v>6002</v>
      </c>
      <c r="AE877" t="s">
        <v>74</v>
      </c>
      <c r="AF877" t="s">
        <v>74</v>
      </c>
      <c r="AG877">
        <v>62</v>
      </c>
      <c r="AH877">
        <v>1</v>
      </c>
      <c r="AI877">
        <v>1</v>
      </c>
      <c r="AJ877">
        <v>6</v>
      </c>
      <c r="AK877">
        <v>12</v>
      </c>
      <c r="AL877" t="s">
        <v>121</v>
      </c>
      <c r="AM877" t="s">
        <v>122</v>
      </c>
      <c r="AN877" t="s">
        <v>123</v>
      </c>
      <c r="AO877" t="s">
        <v>74</v>
      </c>
      <c r="AP877" t="s">
        <v>258</v>
      </c>
      <c r="AQ877" t="s">
        <v>74</v>
      </c>
      <c r="AR877" t="s">
        <v>259</v>
      </c>
      <c r="AS877" t="s">
        <v>260</v>
      </c>
      <c r="AT877" t="s">
        <v>17008</v>
      </c>
      <c r="AU877">
        <v>2022</v>
      </c>
      <c r="AV877">
        <v>9</v>
      </c>
      <c r="AW877" t="s">
        <v>74</v>
      </c>
      <c r="AX877" t="s">
        <v>74</v>
      </c>
      <c r="AY877" t="s">
        <v>74</v>
      </c>
      <c r="AZ877" t="s">
        <v>74</v>
      </c>
      <c r="BA877" t="s">
        <v>74</v>
      </c>
      <c r="BB877" t="s">
        <v>74</v>
      </c>
      <c r="BC877" t="s">
        <v>74</v>
      </c>
      <c r="BD877">
        <v>909528</v>
      </c>
      <c r="BE877" t="s">
        <v>17009</v>
      </c>
      <c r="BF877" t="str">
        <f>HYPERLINK("http://dx.doi.org/10.3389/fmars.2022.909528","http://dx.doi.org/10.3389/fmars.2022.909528")</f>
        <v>http://dx.doi.org/10.3389/fmars.2022.909528</v>
      </c>
      <c r="BG877" t="s">
        <v>74</v>
      </c>
      <c r="BH877" t="s">
        <v>74</v>
      </c>
      <c r="BI877">
        <v>11</v>
      </c>
      <c r="BJ877" t="s">
        <v>263</v>
      </c>
      <c r="BK877" t="s">
        <v>100</v>
      </c>
      <c r="BL877" t="s">
        <v>264</v>
      </c>
      <c r="BM877" t="s">
        <v>17010</v>
      </c>
      <c r="BN877" t="s">
        <v>74</v>
      </c>
      <c r="BO877" t="s">
        <v>483</v>
      </c>
      <c r="BP877" t="s">
        <v>74</v>
      </c>
      <c r="BQ877" t="s">
        <v>74</v>
      </c>
      <c r="BR877" t="s">
        <v>103</v>
      </c>
      <c r="BS877" t="s">
        <v>17011</v>
      </c>
      <c r="BT877" t="str">
        <f>HYPERLINK("https%3A%2F%2Fwww.webofscience.com%2Fwos%2Fwoscc%2Ffull-record%2FWOS:000827416100001","View Full Record in Web of Science")</f>
        <v>View Full Record in Web of Science</v>
      </c>
    </row>
    <row r="878" spans="1:72" x14ac:dyDescent="0.15">
      <c r="A878" t="s">
        <v>72</v>
      </c>
      <c r="B878" t="s">
        <v>17012</v>
      </c>
      <c r="C878" t="s">
        <v>74</v>
      </c>
      <c r="D878" t="s">
        <v>74</v>
      </c>
      <c r="E878" t="s">
        <v>74</v>
      </c>
      <c r="F878" t="s">
        <v>17013</v>
      </c>
      <c r="G878" t="s">
        <v>74</v>
      </c>
      <c r="H878" t="s">
        <v>74</v>
      </c>
      <c r="I878" t="s">
        <v>17014</v>
      </c>
      <c r="J878" t="s">
        <v>2162</v>
      </c>
      <c r="K878" t="s">
        <v>74</v>
      </c>
      <c r="L878" t="s">
        <v>74</v>
      </c>
      <c r="M878" t="s">
        <v>78</v>
      </c>
      <c r="N878" t="s">
        <v>79</v>
      </c>
      <c r="O878" t="s">
        <v>74</v>
      </c>
      <c r="P878" t="s">
        <v>74</v>
      </c>
      <c r="Q878" t="s">
        <v>74</v>
      </c>
      <c r="R878" t="s">
        <v>74</v>
      </c>
      <c r="S878" t="s">
        <v>74</v>
      </c>
      <c r="T878" t="s">
        <v>74</v>
      </c>
      <c r="U878" t="s">
        <v>17015</v>
      </c>
      <c r="V878" t="s">
        <v>17016</v>
      </c>
      <c r="W878" t="s">
        <v>17017</v>
      </c>
      <c r="X878" t="s">
        <v>17018</v>
      </c>
      <c r="Y878" t="s">
        <v>2167</v>
      </c>
      <c r="Z878" t="s">
        <v>2168</v>
      </c>
      <c r="AA878" t="s">
        <v>17019</v>
      </c>
      <c r="AB878" t="s">
        <v>17020</v>
      </c>
      <c r="AC878" t="s">
        <v>17021</v>
      </c>
      <c r="AD878" t="s">
        <v>17022</v>
      </c>
      <c r="AE878" t="s">
        <v>17023</v>
      </c>
      <c r="AF878" t="s">
        <v>74</v>
      </c>
      <c r="AG878">
        <v>28</v>
      </c>
      <c r="AH878">
        <v>3</v>
      </c>
      <c r="AI878">
        <v>3</v>
      </c>
      <c r="AJ878">
        <v>0</v>
      </c>
      <c r="AK878">
        <v>8</v>
      </c>
      <c r="AL878" t="s">
        <v>2174</v>
      </c>
      <c r="AM878" t="s">
        <v>207</v>
      </c>
      <c r="AN878" t="s">
        <v>2175</v>
      </c>
      <c r="AO878" t="s">
        <v>2176</v>
      </c>
      <c r="AP878" t="s">
        <v>2177</v>
      </c>
      <c r="AQ878" t="s">
        <v>74</v>
      </c>
      <c r="AR878" t="s">
        <v>2178</v>
      </c>
      <c r="AS878" t="s">
        <v>2179</v>
      </c>
      <c r="AT878" t="s">
        <v>13093</v>
      </c>
      <c r="AU878">
        <v>2022</v>
      </c>
      <c r="AV878">
        <v>85</v>
      </c>
      <c r="AW878">
        <v>7</v>
      </c>
      <c r="AX878" t="s">
        <v>74</v>
      </c>
      <c r="AY878" t="s">
        <v>74</v>
      </c>
      <c r="AZ878" t="s">
        <v>74</v>
      </c>
      <c r="BA878" t="s">
        <v>74</v>
      </c>
      <c r="BB878">
        <v>1886</v>
      </c>
      <c r="BC878">
        <v>1891</v>
      </c>
      <c r="BD878" t="s">
        <v>74</v>
      </c>
      <c r="BE878" t="s">
        <v>17024</v>
      </c>
      <c r="BF878" t="str">
        <f>HYPERLINK("http://dx.doi.org/10.1021/acs.jnatprod.2c00344","http://dx.doi.org/10.1021/acs.jnatprod.2c00344")</f>
        <v>http://dx.doi.org/10.1021/acs.jnatprod.2c00344</v>
      </c>
      <c r="BG878" t="s">
        <v>74</v>
      </c>
      <c r="BH878" t="s">
        <v>17025</v>
      </c>
      <c r="BI878">
        <v>6</v>
      </c>
      <c r="BJ878" t="s">
        <v>2182</v>
      </c>
      <c r="BK878" t="s">
        <v>2183</v>
      </c>
      <c r="BL878" t="s">
        <v>2184</v>
      </c>
      <c r="BM878" t="s">
        <v>17026</v>
      </c>
      <c r="BN878">
        <v>35771948</v>
      </c>
      <c r="BO878" t="s">
        <v>74</v>
      </c>
      <c r="BP878" t="s">
        <v>74</v>
      </c>
      <c r="BQ878" t="s">
        <v>74</v>
      </c>
      <c r="BR878" t="s">
        <v>103</v>
      </c>
      <c r="BS878" t="s">
        <v>17027</v>
      </c>
      <c r="BT878" t="str">
        <f>HYPERLINK("https%3A%2F%2Fwww.webofscience.com%2Fwos%2Fwoscc%2Ffull-record%2FWOS:000827550400001","View Full Record in Web of Science")</f>
        <v>View Full Record in Web of Science</v>
      </c>
    </row>
    <row r="879" spans="1:72" x14ac:dyDescent="0.15">
      <c r="A879" t="s">
        <v>72</v>
      </c>
      <c r="B879" t="s">
        <v>17028</v>
      </c>
      <c r="C879" t="s">
        <v>74</v>
      </c>
      <c r="D879" t="s">
        <v>74</v>
      </c>
      <c r="E879" t="s">
        <v>74</v>
      </c>
      <c r="F879" t="s">
        <v>17029</v>
      </c>
      <c r="G879" t="s">
        <v>74</v>
      </c>
      <c r="H879" t="s">
        <v>74</v>
      </c>
      <c r="I879" t="s">
        <v>17030</v>
      </c>
      <c r="J879" t="s">
        <v>247</v>
      </c>
      <c r="K879" t="s">
        <v>74</v>
      </c>
      <c r="L879" t="s">
        <v>74</v>
      </c>
      <c r="M879" t="s">
        <v>78</v>
      </c>
      <c r="N879" t="s">
        <v>79</v>
      </c>
      <c r="O879" t="s">
        <v>74</v>
      </c>
      <c r="P879" t="s">
        <v>74</v>
      </c>
      <c r="Q879" t="s">
        <v>74</v>
      </c>
      <c r="R879" t="s">
        <v>74</v>
      </c>
      <c r="S879" t="s">
        <v>74</v>
      </c>
      <c r="T879" t="s">
        <v>17031</v>
      </c>
      <c r="U879" t="s">
        <v>17032</v>
      </c>
      <c r="V879" t="s">
        <v>17033</v>
      </c>
      <c r="W879" t="s">
        <v>17034</v>
      </c>
      <c r="X879" t="s">
        <v>17035</v>
      </c>
      <c r="Y879" t="s">
        <v>17036</v>
      </c>
      <c r="Z879" t="s">
        <v>17037</v>
      </c>
      <c r="AA879" t="s">
        <v>17038</v>
      </c>
      <c r="AB879" t="s">
        <v>17039</v>
      </c>
      <c r="AC879" t="s">
        <v>17040</v>
      </c>
      <c r="AD879" t="s">
        <v>17040</v>
      </c>
      <c r="AE879" t="s">
        <v>17041</v>
      </c>
      <c r="AF879" t="s">
        <v>74</v>
      </c>
      <c r="AG879">
        <v>97</v>
      </c>
      <c r="AH879">
        <v>0</v>
      </c>
      <c r="AI879">
        <v>0</v>
      </c>
      <c r="AJ879">
        <v>5</v>
      </c>
      <c r="AK879">
        <v>17</v>
      </c>
      <c r="AL879" t="s">
        <v>121</v>
      </c>
      <c r="AM879" t="s">
        <v>122</v>
      </c>
      <c r="AN879" t="s">
        <v>123</v>
      </c>
      <c r="AO879" t="s">
        <v>74</v>
      </c>
      <c r="AP879" t="s">
        <v>258</v>
      </c>
      <c r="AQ879" t="s">
        <v>74</v>
      </c>
      <c r="AR879" t="s">
        <v>259</v>
      </c>
      <c r="AS879" t="s">
        <v>260</v>
      </c>
      <c r="AT879" t="s">
        <v>17008</v>
      </c>
      <c r="AU879">
        <v>2022</v>
      </c>
      <c r="AV879">
        <v>9</v>
      </c>
      <c r="AW879" t="s">
        <v>74</v>
      </c>
      <c r="AX879" t="s">
        <v>74</v>
      </c>
      <c r="AY879" t="s">
        <v>74</v>
      </c>
      <c r="AZ879" t="s">
        <v>74</v>
      </c>
      <c r="BA879" t="s">
        <v>74</v>
      </c>
      <c r="BB879" t="s">
        <v>74</v>
      </c>
      <c r="BC879" t="s">
        <v>74</v>
      </c>
      <c r="BD879">
        <v>871611</v>
      </c>
      <c r="BE879" t="s">
        <v>17042</v>
      </c>
      <c r="BF879" t="str">
        <f>HYPERLINK("http://dx.doi.org/10.3389/fmars.2022.871611","http://dx.doi.org/10.3389/fmars.2022.871611")</f>
        <v>http://dx.doi.org/10.3389/fmars.2022.871611</v>
      </c>
      <c r="BG879" t="s">
        <v>74</v>
      </c>
      <c r="BH879" t="s">
        <v>74</v>
      </c>
      <c r="BI879">
        <v>13</v>
      </c>
      <c r="BJ879" t="s">
        <v>263</v>
      </c>
      <c r="BK879" t="s">
        <v>100</v>
      </c>
      <c r="BL879" t="s">
        <v>264</v>
      </c>
      <c r="BM879" t="s">
        <v>17043</v>
      </c>
      <c r="BN879" t="s">
        <v>74</v>
      </c>
      <c r="BO879" t="s">
        <v>266</v>
      </c>
      <c r="BP879" t="s">
        <v>74</v>
      </c>
      <c r="BQ879" t="s">
        <v>74</v>
      </c>
      <c r="BR879" t="s">
        <v>103</v>
      </c>
      <c r="BS879" t="s">
        <v>17044</v>
      </c>
      <c r="BT879" t="str">
        <f>HYPERLINK("https%3A%2F%2Fwww.webofscience.com%2Fwos%2Fwoscc%2Ffull-record%2FWOS:000826466800001","View Full Record in Web of Science")</f>
        <v>View Full Record in Web of Science</v>
      </c>
    </row>
    <row r="880" spans="1:72" x14ac:dyDescent="0.15">
      <c r="A880" t="s">
        <v>72</v>
      </c>
      <c r="B880" t="s">
        <v>17045</v>
      </c>
      <c r="C880" t="s">
        <v>74</v>
      </c>
      <c r="D880" t="s">
        <v>74</v>
      </c>
      <c r="E880" t="s">
        <v>74</v>
      </c>
      <c r="F880" t="s">
        <v>17046</v>
      </c>
      <c r="G880" t="s">
        <v>74</v>
      </c>
      <c r="H880" t="s">
        <v>74</v>
      </c>
      <c r="I880" t="s">
        <v>17047</v>
      </c>
      <c r="J880" t="s">
        <v>17048</v>
      </c>
      <c r="K880" t="s">
        <v>74</v>
      </c>
      <c r="L880" t="s">
        <v>74</v>
      </c>
      <c r="M880" t="s">
        <v>78</v>
      </c>
      <c r="N880" t="s">
        <v>79</v>
      </c>
      <c r="O880" t="s">
        <v>74</v>
      </c>
      <c r="P880" t="s">
        <v>74</v>
      </c>
      <c r="Q880" t="s">
        <v>74</v>
      </c>
      <c r="R880" t="s">
        <v>74</v>
      </c>
      <c r="S880" t="s">
        <v>74</v>
      </c>
      <c r="T880" t="s">
        <v>17049</v>
      </c>
      <c r="U880" t="s">
        <v>17050</v>
      </c>
      <c r="V880" t="s">
        <v>17051</v>
      </c>
      <c r="W880" t="s">
        <v>17052</v>
      </c>
      <c r="X880" t="s">
        <v>17053</v>
      </c>
      <c r="Y880" t="s">
        <v>17054</v>
      </c>
      <c r="Z880" t="s">
        <v>17055</v>
      </c>
      <c r="AA880" t="s">
        <v>17056</v>
      </c>
      <c r="AB880" t="s">
        <v>17057</v>
      </c>
      <c r="AC880" t="s">
        <v>17058</v>
      </c>
      <c r="AD880" t="s">
        <v>17059</v>
      </c>
      <c r="AE880" t="s">
        <v>17060</v>
      </c>
      <c r="AF880" t="s">
        <v>74</v>
      </c>
      <c r="AG880">
        <v>85</v>
      </c>
      <c r="AH880">
        <v>5</v>
      </c>
      <c r="AI880">
        <v>5</v>
      </c>
      <c r="AJ880">
        <v>1</v>
      </c>
      <c r="AK880">
        <v>10</v>
      </c>
      <c r="AL880" t="s">
        <v>121</v>
      </c>
      <c r="AM880" t="s">
        <v>122</v>
      </c>
      <c r="AN880" t="s">
        <v>123</v>
      </c>
      <c r="AO880" t="s">
        <v>17061</v>
      </c>
      <c r="AP880" t="s">
        <v>74</v>
      </c>
      <c r="AQ880" t="s">
        <v>74</v>
      </c>
      <c r="AR880" t="s">
        <v>17062</v>
      </c>
      <c r="AS880" t="s">
        <v>17063</v>
      </c>
      <c r="AT880" t="s">
        <v>17008</v>
      </c>
      <c r="AU880">
        <v>2022</v>
      </c>
      <c r="AV880">
        <v>10</v>
      </c>
      <c r="AW880" t="s">
        <v>74</v>
      </c>
      <c r="AX880" t="s">
        <v>74</v>
      </c>
      <c r="AY880" t="s">
        <v>74</v>
      </c>
      <c r="AZ880" t="s">
        <v>74</v>
      </c>
      <c r="BA880" t="s">
        <v>74</v>
      </c>
      <c r="BB880" t="s">
        <v>74</v>
      </c>
      <c r="BC880" t="s">
        <v>74</v>
      </c>
      <c r="BD880">
        <v>915199</v>
      </c>
      <c r="BE880" t="s">
        <v>17064</v>
      </c>
      <c r="BF880" t="str">
        <f>HYPERLINK("http://dx.doi.org/10.3389/fevo.2022.915199","http://dx.doi.org/10.3389/fevo.2022.915199")</f>
        <v>http://dx.doi.org/10.3389/fevo.2022.915199</v>
      </c>
      <c r="BG880" t="s">
        <v>74</v>
      </c>
      <c r="BH880" t="s">
        <v>74</v>
      </c>
      <c r="BI880">
        <v>21</v>
      </c>
      <c r="BJ880" t="s">
        <v>3900</v>
      </c>
      <c r="BK880" t="s">
        <v>100</v>
      </c>
      <c r="BL880" t="s">
        <v>2041</v>
      </c>
      <c r="BM880" t="s">
        <v>17065</v>
      </c>
      <c r="BN880" t="s">
        <v>74</v>
      </c>
      <c r="BO880" t="s">
        <v>374</v>
      </c>
      <c r="BP880" t="s">
        <v>74</v>
      </c>
      <c r="BQ880" t="s">
        <v>74</v>
      </c>
      <c r="BR880" t="s">
        <v>103</v>
      </c>
      <c r="BS880" t="s">
        <v>17066</v>
      </c>
      <c r="BT880" t="str">
        <f>HYPERLINK("https%3A%2F%2Fwww.webofscience.com%2Fwos%2Fwoscc%2Ffull-record%2FWOS:000826715800001","View Full Record in Web of Science")</f>
        <v>View Full Record in Web of Science</v>
      </c>
    </row>
    <row r="881" spans="1:72" x14ac:dyDescent="0.15">
      <c r="A881" t="s">
        <v>72</v>
      </c>
      <c r="B881" t="s">
        <v>17067</v>
      </c>
      <c r="C881" t="s">
        <v>74</v>
      </c>
      <c r="D881" t="s">
        <v>74</v>
      </c>
      <c r="E881" t="s">
        <v>74</v>
      </c>
      <c r="F881" t="s">
        <v>17068</v>
      </c>
      <c r="G881" t="s">
        <v>74</v>
      </c>
      <c r="H881" t="s">
        <v>74</v>
      </c>
      <c r="I881" t="s">
        <v>17069</v>
      </c>
      <c r="J881" t="s">
        <v>3302</v>
      </c>
      <c r="K881" t="s">
        <v>74</v>
      </c>
      <c r="L881" t="s">
        <v>74</v>
      </c>
      <c r="M881" t="s">
        <v>78</v>
      </c>
      <c r="N881" t="s">
        <v>79</v>
      </c>
      <c r="O881" t="s">
        <v>74</v>
      </c>
      <c r="P881" t="s">
        <v>74</v>
      </c>
      <c r="Q881" t="s">
        <v>74</v>
      </c>
      <c r="R881" t="s">
        <v>74</v>
      </c>
      <c r="S881" t="s">
        <v>74</v>
      </c>
      <c r="T881" t="s">
        <v>17070</v>
      </c>
      <c r="U881" t="s">
        <v>17071</v>
      </c>
      <c r="V881" t="s">
        <v>17072</v>
      </c>
      <c r="W881" t="s">
        <v>17073</v>
      </c>
      <c r="X881" t="s">
        <v>17074</v>
      </c>
      <c r="Y881" t="s">
        <v>17075</v>
      </c>
      <c r="Z881" t="s">
        <v>17076</v>
      </c>
      <c r="AA881" t="s">
        <v>17077</v>
      </c>
      <c r="AB881" t="s">
        <v>17078</v>
      </c>
      <c r="AC881" t="s">
        <v>17079</v>
      </c>
      <c r="AD881" t="s">
        <v>17080</v>
      </c>
      <c r="AE881" t="s">
        <v>17081</v>
      </c>
      <c r="AF881" t="s">
        <v>74</v>
      </c>
      <c r="AG881">
        <v>99</v>
      </c>
      <c r="AH881">
        <v>5</v>
      </c>
      <c r="AI881">
        <v>5</v>
      </c>
      <c r="AJ881">
        <v>2</v>
      </c>
      <c r="AK881">
        <v>14</v>
      </c>
      <c r="AL881" t="s">
        <v>3315</v>
      </c>
      <c r="AM881" t="s">
        <v>3316</v>
      </c>
      <c r="AN881" t="s">
        <v>3317</v>
      </c>
      <c r="AO881" t="s">
        <v>3318</v>
      </c>
      <c r="AP881" t="s">
        <v>3319</v>
      </c>
      <c r="AQ881" t="s">
        <v>74</v>
      </c>
      <c r="AR881" t="s">
        <v>3320</v>
      </c>
      <c r="AS881" t="s">
        <v>3321</v>
      </c>
      <c r="AT881" t="s">
        <v>17008</v>
      </c>
      <c r="AU881">
        <v>2022</v>
      </c>
      <c r="AV881">
        <v>692</v>
      </c>
      <c r="AW881" t="s">
        <v>74</v>
      </c>
      <c r="AX881" t="s">
        <v>74</v>
      </c>
      <c r="AY881" t="s">
        <v>74</v>
      </c>
      <c r="AZ881" t="s">
        <v>74</v>
      </c>
      <c r="BA881" t="s">
        <v>74</v>
      </c>
      <c r="BB881">
        <v>151</v>
      </c>
      <c r="BC881">
        <v>168</v>
      </c>
      <c r="BD881" t="s">
        <v>74</v>
      </c>
      <c r="BE881" t="s">
        <v>17082</v>
      </c>
      <c r="BF881" t="str">
        <f>HYPERLINK("http://dx.doi.org/10.3354/meps14058","http://dx.doi.org/10.3354/meps14058")</f>
        <v>http://dx.doi.org/10.3354/meps14058</v>
      </c>
      <c r="BG881" t="s">
        <v>74</v>
      </c>
      <c r="BH881" t="s">
        <v>74</v>
      </c>
      <c r="BI881">
        <v>18</v>
      </c>
      <c r="BJ881" t="s">
        <v>3324</v>
      </c>
      <c r="BK881" t="s">
        <v>100</v>
      </c>
      <c r="BL881" t="s">
        <v>3325</v>
      </c>
      <c r="BM881" t="s">
        <v>17083</v>
      </c>
      <c r="BN881" t="s">
        <v>74</v>
      </c>
      <c r="BO881" t="s">
        <v>3327</v>
      </c>
      <c r="BP881" t="s">
        <v>74</v>
      </c>
      <c r="BQ881" t="s">
        <v>74</v>
      </c>
      <c r="BR881" t="s">
        <v>103</v>
      </c>
      <c r="BS881" t="s">
        <v>17084</v>
      </c>
      <c r="BT881" t="str">
        <f>HYPERLINK("https%3A%2F%2Fwww.webofscience.com%2Fwos%2Fwoscc%2Ffull-record%2FWOS:000823054300010","View Full Record in Web of Science")</f>
        <v>View Full Record in Web of Science</v>
      </c>
    </row>
    <row r="882" spans="1:72" x14ac:dyDescent="0.15">
      <c r="A882" t="s">
        <v>72</v>
      </c>
      <c r="B882" t="s">
        <v>17085</v>
      </c>
      <c r="C882" t="s">
        <v>74</v>
      </c>
      <c r="D882" t="s">
        <v>74</v>
      </c>
      <c r="E882" t="s">
        <v>74</v>
      </c>
      <c r="F882" t="s">
        <v>17086</v>
      </c>
      <c r="G882" t="s">
        <v>74</v>
      </c>
      <c r="H882" t="s">
        <v>74</v>
      </c>
      <c r="I882" t="s">
        <v>17087</v>
      </c>
      <c r="J882" t="s">
        <v>17088</v>
      </c>
      <c r="K882" t="s">
        <v>74</v>
      </c>
      <c r="L882" t="s">
        <v>74</v>
      </c>
      <c r="M882" t="s">
        <v>78</v>
      </c>
      <c r="N882" t="s">
        <v>79</v>
      </c>
      <c r="O882" t="s">
        <v>74</v>
      </c>
      <c r="P882" t="s">
        <v>74</v>
      </c>
      <c r="Q882" t="s">
        <v>74</v>
      </c>
      <c r="R882" t="s">
        <v>74</v>
      </c>
      <c r="S882" t="s">
        <v>74</v>
      </c>
      <c r="T882" t="s">
        <v>17089</v>
      </c>
      <c r="U882" t="s">
        <v>17090</v>
      </c>
      <c r="V882" t="s">
        <v>17091</v>
      </c>
      <c r="W882" t="s">
        <v>17092</v>
      </c>
      <c r="X882" t="s">
        <v>17093</v>
      </c>
      <c r="Y882" t="s">
        <v>17094</v>
      </c>
      <c r="Z882" t="s">
        <v>17095</v>
      </c>
      <c r="AA882" t="s">
        <v>17096</v>
      </c>
      <c r="AB882" t="s">
        <v>17097</v>
      </c>
      <c r="AC882" t="s">
        <v>17098</v>
      </c>
      <c r="AD882" t="s">
        <v>17099</v>
      </c>
      <c r="AE882" t="s">
        <v>17100</v>
      </c>
      <c r="AF882" t="s">
        <v>74</v>
      </c>
      <c r="AG882">
        <v>113</v>
      </c>
      <c r="AH882">
        <v>4</v>
      </c>
      <c r="AI882">
        <v>4</v>
      </c>
      <c r="AJ882">
        <v>3</v>
      </c>
      <c r="AK882">
        <v>8</v>
      </c>
      <c r="AL882" t="s">
        <v>231</v>
      </c>
      <c r="AM882" t="s">
        <v>232</v>
      </c>
      <c r="AN882" t="s">
        <v>233</v>
      </c>
      <c r="AO882" t="s">
        <v>17101</v>
      </c>
      <c r="AP882" t="s">
        <v>17102</v>
      </c>
      <c r="AQ882" t="s">
        <v>74</v>
      </c>
      <c r="AR882" t="s">
        <v>17103</v>
      </c>
      <c r="AS882" t="s">
        <v>17104</v>
      </c>
      <c r="AT882" t="s">
        <v>184</v>
      </c>
      <c r="AU882">
        <v>2022</v>
      </c>
      <c r="AV882">
        <v>60</v>
      </c>
      <c r="AW882">
        <v>4</v>
      </c>
      <c r="AX882" t="s">
        <v>74</v>
      </c>
      <c r="AY882" t="s">
        <v>74</v>
      </c>
      <c r="AZ882" t="s">
        <v>74</v>
      </c>
      <c r="BA882" t="s">
        <v>74</v>
      </c>
      <c r="BB882">
        <v>715</v>
      </c>
      <c r="BC882">
        <v>727</v>
      </c>
      <c r="BD882" t="s">
        <v>74</v>
      </c>
      <c r="BE882" t="s">
        <v>17105</v>
      </c>
      <c r="BF882" t="str">
        <f>HYPERLINK("http://dx.doi.org/10.1111/jse.12853","http://dx.doi.org/10.1111/jse.12853")</f>
        <v>http://dx.doi.org/10.1111/jse.12853</v>
      </c>
      <c r="BG882" t="s">
        <v>74</v>
      </c>
      <c r="BH882" t="s">
        <v>17025</v>
      </c>
      <c r="BI882">
        <v>13</v>
      </c>
      <c r="BJ882" t="s">
        <v>1438</v>
      </c>
      <c r="BK882" t="s">
        <v>100</v>
      </c>
      <c r="BL882" t="s">
        <v>1438</v>
      </c>
      <c r="BM882" t="s">
        <v>17106</v>
      </c>
      <c r="BN882" t="s">
        <v>74</v>
      </c>
      <c r="BO882" t="s">
        <v>3327</v>
      </c>
      <c r="BP882" t="s">
        <v>74</v>
      </c>
      <c r="BQ882" t="s">
        <v>74</v>
      </c>
      <c r="BR882" t="s">
        <v>103</v>
      </c>
      <c r="BS882" t="s">
        <v>17107</v>
      </c>
      <c r="BT882" t="str">
        <f>HYPERLINK("https%3A%2F%2Fwww.webofscience.com%2Fwos%2Fwoscc%2Ffull-record%2FWOS:000819315000001","View Full Record in Web of Science")</f>
        <v>View Full Record in Web of Science</v>
      </c>
    </row>
    <row r="883" spans="1:72" x14ac:dyDescent="0.15">
      <c r="A883" t="s">
        <v>72</v>
      </c>
      <c r="B883" t="s">
        <v>17108</v>
      </c>
      <c r="C883" t="s">
        <v>74</v>
      </c>
      <c r="D883" t="s">
        <v>74</v>
      </c>
      <c r="E883" t="s">
        <v>74</v>
      </c>
      <c r="F883" t="s">
        <v>17109</v>
      </c>
      <c r="G883" t="s">
        <v>74</v>
      </c>
      <c r="H883" t="s">
        <v>74</v>
      </c>
      <c r="I883" t="s">
        <v>17110</v>
      </c>
      <c r="J883" t="s">
        <v>7877</v>
      </c>
      <c r="K883" t="s">
        <v>74</v>
      </c>
      <c r="L883" t="s">
        <v>74</v>
      </c>
      <c r="M883" t="s">
        <v>78</v>
      </c>
      <c r="N883" t="s">
        <v>79</v>
      </c>
      <c r="O883" t="s">
        <v>74</v>
      </c>
      <c r="P883" t="s">
        <v>74</v>
      </c>
      <c r="Q883" t="s">
        <v>74</v>
      </c>
      <c r="R883" t="s">
        <v>74</v>
      </c>
      <c r="S883" t="s">
        <v>74</v>
      </c>
      <c r="T883" t="s">
        <v>74</v>
      </c>
      <c r="U883" t="s">
        <v>17111</v>
      </c>
      <c r="V883" t="s">
        <v>17112</v>
      </c>
      <c r="W883" t="s">
        <v>17113</v>
      </c>
      <c r="X883" t="s">
        <v>17114</v>
      </c>
      <c r="Y883" t="s">
        <v>17115</v>
      </c>
      <c r="Z883" t="s">
        <v>17116</v>
      </c>
      <c r="AA883" t="s">
        <v>74</v>
      </c>
      <c r="AB883" t="s">
        <v>17117</v>
      </c>
      <c r="AC883" t="s">
        <v>17118</v>
      </c>
      <c r="AD883" t="s">
        <v>17119</v>
      </c>
      <c r="AE883" t="s">
        <v>17120</v>
      </c>
      <c r="AF883" t="s">
        <v>74</v>
      </c>
      <c r="AG883">
        <v>92</v>
      </c>
      <c r="AH883">
        <v>2</v>
      </c>
      <c r="AI883">
        <v>2</v>
      </c>
      <c r="AJ883">
        <v>3</v>
      </c>
      <c r="AK883">
        <v>8</v>
      </c>
      <c r="AL883" t="s">
        <v>231</v>
      </c>
      <c r="AM883" t="s">
        <v>232</v>
      </c>
      <c r="AN883" t="s">
        <v>233</v>
      </c>
      <c r="AO883" t="s">
        <v>7889</v>
      </c>
      <c r="AP883" t="s">
        <v>7890</v>
      </c>
      <c r="AQ883" t="s">
        <v>74</v>
      </c>
      <c r="AR883" t="s">
        <v>7891</v>
      </c>
      <c r="AS883" t="s">
        <v>7892</v>
      </c>
      <c r="AT883" t="s">
        <v>5386</v>
      </c>
      <c r="AU883">
        <v>2022</v>
      </c>
      <c r="AV883">
        <v>57</v>
      </c>
      <c r="AW883">
        <v>8</v>
      </c>
      <c r="AX883" t="s">
        <v>74</v>
      </c>
      <c r="AY883" t="s">
        <v>74</v>
      </c>
      <c r="AZ883" t="s">
        <v>74</v>
      </c>
      <c r="BA883" t="s">
        <v>74</v>
      </c>
      <c r="BB883">
        <v>1542</v>
      </c>
      <c r="BC883">
        <v>1569</v>
      </c>
      <c r="BD883" t="s">
        <v>74</v>
      </c>
      <c r="BE883" t="s">
        <v>17121</v>
      </c>
      <c r="BF883" t="str">
        <f>HYPERLINK("http://dx.doi.org/10.1111/maps.13887","http://dx.doi.org/10.1111/maps.13887")</f>
        <v>http://dx.doi.org/10.1111/maps.13887</v>
      </c>
      <c r="BG883" t="s">
        <v>74</v>
      </c>
      <c r="BH883" t="s">
        <v>17025</v>
      </c>
      <c r="BI883">
        <v>28</v>
      </c>
      <c r="BJ883" t="s">
        <v>1379</v>
      </c>
      <c r="BK883" t="s">
        <v>100</v>
      </c>
      <c r="BL883" t="s">
        <v>1379</v>
      </c>
      <c r="BM883" t="s">
        <v>17122</v>
      </c>
      <c r="BN883" t="s">
        <v>74</v>
      </c>
      <c r="BO883" t="s">
        <v>74</v>
      </c>
      <c r="BP883" t="s">
        <v>74</v>
      </c>
      <c r="BQ883" t="s">
        <v>74</v>
      </c>
      <c r="BR883" t="s">
        <v>103</v>
      </c>
      <c r="BS883" t="s">
        <v>17123</v>
      </c>
      <c r="BT883" t="str">
        <f>HYPERLINK("https%3A%2F%2Fwww.webofscience.com%2Fwos%2Fwoscc%2Ffull-record%2FWOS:000819041600001","View Full Record in Web of Science")</f>
        <v>View Full Record in Web of Science</v>
      </c>
    </row>
    <row r="884" spans="1:72" x14ac:dyDescent="0.15">
      <c r="A884" t="s">
        <v>72</v>
      </c>
      <c r="B884" t="s">
        <v>17124</v>
      </c>
      <c r="C884" t="s">
        <v>74</v>
      </c>
      <c r="D884" t="s">
        <v>74</v>
      </c>
      <c r="E884" t="s">
        <v>74</v>
      </c>
      <c r="F884" t="s">
        <v>17125</v>
      </c>
      <c r="G884" t="s">
        <v>74</v>
      </c>
      <c r="H884" t="s">
        <v>74</v>
      </c>
      <c r="I884" t="s">
        <v>17126</v>
      </c>
      <c r="J884" t="s">
        <v>4531</v>
      </c>
      <c r="K884" t="s">
        <v>74</v>
      </c>
      <c r="L884" t="s">
        <v>74</v>
      </c>
      <c r="M884" t="s">
        <v>78</v>
      </c>
      <c r="N884" t="s">
        <v>79</v>
      </c>
      <c r="O884" t="s">
        <v>74</v>
      </c>
      <c r="P884" t="s">
        <v>74</v>
      </c>
      <c r="Q884" t="s">
        <v>74</v>
      </c>
      <c r="R884" t="s">
        <v>74</v>
      </c>
      <c r="S884" t="s">
        <v>74</v>
      </c>
      <c r="T884" t="s">
        <v>17127</v>
      </c>
      <c r="U884" t="s">
        <v>17128</v>
      </c>
      <c r="V884" t="s">
        <v>17129</v>
      </c>
      <c r="W884" t="s">
        <v>17130</v>
      </c>
      <c r="X884" t="s">
        <v>17131</v>
      </c>
      <c r="Y884" t="s">
        <v>17132</v>
      </c>
      <c r="Z884" t="s">
        <v>17133</v>
      </c>
      <c r="AA884" t="s">
        <v>17134</v>
      </c>
      <c r="AB884" t="s">
        <v>17135</v>
      </c>
      <c r="AC884" t="s">
        <v>17136</v>
      </c>
      <c r="AD884" t="s">
        <v>17137</v>
      </c>
      <c r="AE884" t="s">
        <v>17138</v>
      </c>
      <c r="AF884" t="s">
        <v>74</v>
      </c>
      <c r="AG884">
        <v>88</v>
      </c>
      <c r="AH884">
        <v>1</v>
      </c>
      <c r="AI884">
        <v>1</v>
      </c>
      <c r="AJ884">
        <v>2</v>
      </c>
      <c r="AK884">
        <v>11</v>
      </c>
      <c r="AL884" t="s">
        <v>121</v>
      </c>
      <c r="AM884" t="s">
        <v>122</v>
      </c>
      <c r="AN884" t="s">
        <v>123</v>
      </c>
      <c r="AO884" t="s">
        <v>4541</v>
      </c>
      <c r="AP884" t="s">
        <v>74</v>
      </c>
      <c r="AQ884" t="s">
        <v>74</v>
      </c>
      <c r="AR884" t="s">
        <v>4542</v>
      </c>
      <c r="AS884" t="s">
        <v>4543</v>
      </c>
      <c r="AT884" t="s">
        <v>17139</v>
      </c>
      <c r="AU884">
        <v>2022</v>
      </c>
      <c r="AV884">
        <v>13</v>
      </c>
      <c r="AW884" t="s">
        <v>74</v>
      </c>
      <c r="AX884" t="s">
        <v>74</v>
      </c>
      <c r="AY884" t="s">
        <v>74</v>
      </c>
      <c r="AZ884" t="s">
        <v>74</v>
      </c>
      <c r="BA884" t="s">
        <v>74</v>
      </c>
      <c r="BB884" t="s">
        <v>74</v>
      </c>
      <c r="BC884" t="s">
        <v>74</v>
      </c>
      <c r="BD884">
        <v>912089</v>
      </c>
      <c r="BE884" t="s">
        <v>17140</v>
      </c>
      <c r="BF884" t="str">
        <f>HYPERLINK("http://dx.doi.org/10.3389/fpls.2022.912089","http://dx.doi.org/10.3389/fpls.2022.912089")</f>
        <v>http://dx.doi.org/10.3389/fpls.2022.912089</v>
      </c>
      <c r="BG884" t="s">
        <v>74</v>
      </c>
      <c r="BH884" t="s">
        <v>74</v>
      </c>
      <c r="BI884">
        <v>17</v>
      </c>
      <c r="BJ884" t="s">
        <v>1438</v>
      </c>
      <c r="BK884" t="s">
        <v>100</v>
      </c>
      <c r="BL884" t="s">
        <v>1438</v>
      </c>
      <c r="BM884" t="s">
        <v>17141</v>
      </c>
      <c r="BN884">
        <v>35845679</v>
      </c>
      <c r="BO884" t="s">
        <v>17142</v>
      </c>
      <c r="BP884" t="s">
        <v>74</v>
      </c>
      <c r="BQ884" t="s">
        <v>74</v>
      </c>
      <c r="BR884" t="s">
        <v>103</v>
      </c>
      <c r="BS884" t="s">
        <v>17143</v>
      </c>
      <c r="BT884" t="str">
        <f>HYPERLINK("https%3A%2F%2Fwww.webofscience.com%2Fwos%2Fwoscc%2Ffull-record%2FWOS:000826734400001","View Full Record in Web of Science")</f>
        <v>View Full Record in Web of Science</v>
      </c>
    </row>
    <row r="885" spans="1:72" x14ac:dyDescent="0.15">
      <c r="A885" t="s">
        <v>72</v>
      </c>
      <c r="B885" t="s">
        <v>17144</v>
      </c>
      <c r="C885" t="s">
        <v>74</v>
      </c>
      <c r="D885" t="s">
        <v>74</v>
      </c>
      <c r="E885" t="s">
        <v>74</v>
      </c>
      <c r="F885" t="s">
        <v>17145</v>
      </c>
      <c r="G885" t="s">
        <v>74</v>
      </c>
      <c r="H885" t="s">
        <v>74</v>
      </c>
      <c r="I885" t="s">
        <v>17146</v>
      </c>
      <c r="J885" t="s">
        <v>271</v>
      </c>
      <c r="K885" t="s">
        <v>74</v>
      </c>
      <c r="L885" t="s">
        <v>74</v>
      </c>
      <c r="M885" t="s">
        <v>78</v>
      </c>
      <c r="N885" t="s">
        <v>79</v>
      </c>
      <c r="O885" t="s">
        <v>74</v>
      </c>
      <c r="P885" t="s">
        <v>74</v>
      </c>
      <c r="Q885" t="s">
        <v>74</v>
      </c>
      <c r="R885" t="s">
        <v>74</v>
      </c>
      <c r="S885" t="s">
        <v>74</v>
      </c>
      <c r="T885" t="s">
        <v>74</v>
      </c>
      <c r="U885" t="s">
        <v>17147</v>
      </c>
      <c r="V885" t="s">
        <v>17148</v>
      </c>
      <c r="W885" t="s">
        <v>17149</v>
      </c>
      <c r="X885" t="s">
        <v>17150</v>
      </c>
      <c r="Y885" t="s">
        <v>17151</v>
      </c>
      <c r="Z885" t="s">
        <v>17152</v>
      </c>
      <c r="AA885" t="s">
        <v>17153</v>
      </c>
      <c r="AB885" t="s">
        <v>17154</v>
      </c>
      <c r="AC885" t="s">
        <v>17155</v>
      </c>
      <c r="AD885" t="s">
        <v>17156</v>
      </c>
      <c r="AE885" t="s">
        <v>17157</v>
      </c>
      <c r="AF885" t="s">
        <v>74</v>
      </c>
      <c r="AG885">
        <v>61</v>
      </c>
      <c r="AH885">
        <v>7</v>
      </c>
      <c r="AI885">
        <v>7</v>
      </c>
      <c r="AJ885">
        <v>0</v>
      </c>
      <c r="AK885">
        <v>4</v>
      </c>
      <c r="AL885" t="s">
        <v>149</v>
      </c>
      <c r="AM885" t="s">
        <v>150</v>
      </c>
      <c r="AN885" t="s">
        <v>151</v>
      </c>
      <c r="AO885" t="s">
        <v>283</v>
      </c>
      <c r="AP885" t="s">
        <v>74</v>
      </c>
      <c r="AQ885" t="s">
        <v>74</v>
      </c>
      <c r="AR885" t="s">
        <v>284</v>
      </c>
      <c r="AS885" t="s">
        <v>285</v>
      </c>
      <c r="AT885" t="s">
        <v>17139</v>
      </c>
      <c r="AU885">
        <v>2022</v>
      </c>
      <c r="AV885">
        <v>12</v>
      </c>
      <c r="AW885">
        <v>1</v>
      </c>
      <c r="AX885" t="s">
        <v>74</v>
      </c>
      <c r="AY885" t="s">
        <v>74</v>
      </c>
      <c r="AZ885" t="s">
        <v>74</v>
      </c>
      <c r="BA885" t="s">
        <v>74</v>
      </c>
      <c r="BB885" t="s">
        <v>74</v>
      </c>
      <c r="BC885" t="s">
        <v>74</v>
      </c>
      <c r="BD885">
        <v>10968</v>
      </c>
      <c r="BE885" t="s">
        <v>17158</v>
      </c>
      <c r="BF885" t="str">
        <f>HYPERLINK("http://dx.doi.org/10.1038/s41598-022-13517-2","http://dx.doi.org/10.1038/s41598-022-13517-2")</f>
        <v>http://dx.doi.org/10.1038/s41598-022-13517-2</v>
      </c>
      <c r="BG885" t="s">
        <v>74</v>
      </c>
      <c r="BH885" t="s">
        <v>74</v>
      </c>
      <c r="BI885">
        <v>14</v>
      </c>
      <c r="BJ885" t="s">
        <v>156</v>
      </c>
      <c r="BK885" t="s">
        <v>100</v>
      </c>
      <c r="BL885" t="s">
        <v>157</v>
      </c>
      <c r="BM885" t="s">
        <v>17159</v>
      </c>
      <c r="BN885">
        <v>35768612</v>
      </c>
      <c r="BO885" t="s">
        <v>3537</v>
      </c>
      <c r="BP885" t="s">
        <v>74</v>
      </c>
      <c r="BQ885" t="s">
        <v>74</v>
      </c>
      <c r="BR885" t="s">
        <v>103</v>
      </c>
      <c r="BS885" t="s">
        <v>17160</v>
      </c>
      <c r="BT885" t="str">
        <f>HYPERLINK("https%3A%2F%2Fwww.webofscience.com%2Fwos%2Fwoscc%2Ffull-record%2FWOS:000818983300077","View Full Record in Web of Science")</f>
        <v>View Full Record in Web of Science</v>
      </c>
    </row>
    <row r="886" spans="1:72" x14ac:dyDescent="0.15">
      <c r="A886" t="s">
        <v>72</v>
      </c>
      <c r="B886" t="s">
        <v>17161</v>
      </c>
      <c r="C886" t="s">
        <v>74</v>
      </c>
      <c r="D886" t="s">
        <v>74</v>
      </c>
      <c r="E886" t="s">
        <v>74</v>
      </c>
      <c r="F886" t="s">
        <v>17162</v>
      </c>
      <c r="G886" t="s">
        <v>74</v>
      </c>
      <c r="H886" t="s">
        <v>74</v>
      </c>
      <c r="I886" t="s">
        <v>17163</v>
      </c>
      <c r="J886" t="s">
        <v>14513</v>
      </c>
      <c r="K886" t="s">
        <v>74</v>
      </c>
      <c r="L886" t="s">
        <v>74</v>
      </c>
      <c r="M886" t="s">
        <v>78</v>
      </c>
      <c r="N886" t="s">
        <v>79</v>
      </c>
      <c r="O886" t="s">
        <v>74</v>
      </c>
      <c r="P886" t="s">
        <v>74</v>
      </c>
      <c r="Q886" t="s">
        <v>74</v>
      </c>
      <c r="R886" t="s">
        <v>74</v>
      </c>
      <c r="S886" t="s">
        <v>74</v>
      </c>
      <c r="T886" t="s">
        <v>17164</v>
      </c>
      <c r="U886" t="s">
        <v>17165</v>
      </c>
      <c r="V886" t="s">
        <v>17166</v>
      </c>
      <c r="W886" t="s">
        <v>17167</v>
      </c>
      <c r="X886" t="s">
        <v>17168</v>
      </c>
      <c r="Y886" t="s">
        <v>17169</v>
      </c>
      <c r="Z886" t="s">
        <v>17170</v>
      </c>
      <c r="AA886" t="s">
        <v>17171</v>
      </c>
      <c r="AB886" t="s">
        <v>17172</v>
      </c>
      <c r="AC886" t="s">
        <v>74</v>
      </c>
      <c r="AD886" t="s">
        <v>74</v>
      </c>
      <c r="AE886" t="s">
        <v>74</v>
      </c>
      <c r="AF886" t="s">
        <v>74</v>
      </c>
      <c r="AG886">
        <v>47</v>
      </c>
      <c r="AH886">
        <v>1</v>
      </c>
      <c r="AI886">
        <v>1</v>
      </c>
      <c r="AJ886">
        <v>2</v>
      </c>
      <c r="AK886">
        <v>6</v>
      </c>
      <c r="AL886" t="s">
        <v>3499</v>
      </c>
      <c r="AM886" t="s">
        <v>2774</v>
      </c>
      <c r="AN886" t="s">
        <v>3500</v>
      </c>
      <c r="AO886" t="s">
        <v>14523</v>
      </c>
      <c r="AP886" t="s">
        <v>14524</v>
      </c>
      <c r="AQ886" t="s">
        <v>74</v>
      </c>
      <c r="AR886" t="s">
        <v>14525</v>
      </c>
      <c r="AS886" t="s">
        <v>14526</v>
      </c>
      <c r="AT886" t="s">
        <v>17139</v>
      </c>
      <c r="AU886">
        <v>2022</v>
      </c>
      <c r="AV886">
        <v>289</v>
      </c>
      <c r="AW886">
        <v>1977</v>
      </c>
      <c r="AX886" t="s">
        <v>74</v>
      </c>
      <c r="AY886" t="s">
        <v>74</v>
      </c>
      <c r="AZ886" t="s">
        <v>74</v>
      </c>
      <c r="BA886" t="s">
        <v>74</v>
      </c>
      <c r="BB886" t="s">
        <v>74</v>
      </c>
      <c r="BC886" t="s">
        <v>74</v>
      </c>
      <c r="BD886">
        <v>20220808</v>
      </c>
      <c r="BE886" t="s">
        <v>17173</v>
      </c>
      <c r="BF886" t="str">
        <f>HYPERLINK("http://dx.doi.org/10.1098/rspb.2022.0808","http://dx.doi.org/10.1098/rspb.2022.0808")</f>
        <v>http://dx.doi.org/10.1098/rspb.2022.0808</v>
      </c>
      <c r="BG886" t="s">
        <v>74</v>
      </c>
      <c r="BH886" t="s">
        <v>74</v>
      </c>
      <c r="BI886">
        <v>10</v>
      </c>
      <c r="BJ886" t="s">
        <v>14529</v>
      </c>
      <c r="BK886" t="s">
        <v>100</v>
      </c>
      <c r="BL886" t="s">
        <v>14530</v>
      </c>
      <c r="BM886" t="s">
        <v>17174</v>
      </c>
      <c r="BN886">
        <v>35765842</v>
      </c>
      <c r="BO886" t="s">
        <v>3952</v>
      </c>
      <c r="BP886" t="s">
        <v>74</v>
      </c>
      <c r="BQ886" t="s">
        <v>74</v>
      </c>
      <c r="BR886" t="s">
        <v>103</v>
      </c>
      <c r="BS886" t="s">
        <v>17175</v>
      </c>
      <c r="BT886" t="str">
        <f>HYPERLINK("https%3A%2F%2Fwww.webofscience.com%2Fwos%2Fwoscc%2Ffull-record%2FWOS:000817978500002","View Full Record in Web of Science")</f>
        <v>View Full Record in Web of Science</v>
      </c>
    </row>
    <row r="887" spans="1:72" x14ac:dyDescent="0.15">
      <c r="A887" t="s">
        <v>72</v>
      </c>
      <c r="B887" t="s">
        <v>17176</v>
      </c>
      <c r="C887" t="s">
        <v>74</v>
      </c>
      <c r="D887" t="s">
        <v>74</v>
      </c>
      <c r="E887" t="s">
        <v>74</v>
      </c>
      <c r="F887" t="s">
        <v>17177</v>
      </c>
      <c r="G887" t="s">
        <v>74</v>
      </c>
      <c r="H887" t="s">
        <v>74</v>
      </c>
      <c r="I887" t="s">
        <v>17178</v>
      </c>
      <c r="J887" t="s">
        <v>17179</v>
      </c>
      <c r="K887" t="s">
        <v>74</v>
      </c>
      <c r="L887" t="s">
        <v>74</v>
      </c>
      <c r="M887" t="s">
        <v>78</v>
      </c>
      <c r="N887" t="s">
        <v>79</v>
      </c>
      <c r="O887" t="s">
        <v>74</v>
      </c>
      <c r="P887" t="s">
        <v>74</v>
      </c>
      <c r="Q887" t="s">
        <v>74</v>
      </c>
      <c r="R887" t="s">
        <v>74</v>
      </c>
      <c r="S887" t="s">
        <v>74</v>
      </c>
      <c r="T887" t="s">
        <v>17180</v>
      </c>
      <c r="U887" t="s">
        <v>17181</v>
      </c>
      <c r="V887" t="s">
        <v>17182</v>
      </c>
      <c r="W887" t="s">
        <v>17183</v>
      </c>
      <c r="X887" t="s">
        <v>17184</v>
      </c>
      <c r="Y887" t="s">
        <v>17185</v>
      </c>
      <c r="Z887" t="s">
        <v>17186</v>
      </c>
      <c r="AA887" t="s">
        <v>74</v>
      </c>
      <c r="AB887" t="s">
        <v>74</v>
      </c>
      <c r="AC887" t="s">
        <v>17187</v>
      </c>
      <c r="AD887" t="s">
        <v>17188</v>
      </c>
      <c r="AE887" t="s">
        <v>17189</v>
      </c>
      <c r="AF887" t="s">
        <v>74</v>
      </c>
      <c r="AG887">
        <v>36</v>
      </c>
      <c r="AH887">
        <v>0</v>
      </c>
      <c r="AI887">
        <v>0</v>
      </c>
      <c r="AJ887">
        <v>5</v>
      </c>
      <c r="AK887">
        <v>42</v>
      </c>
      <c r="AL887" t="s">
        <v>2275</v>
      </c>
      <c r="AM887" t="s">
        <v>90</v>
      </c>
      <c r="AN887" t="s">
        <v>2276</v>
      </c>
      <c r="AO887" t="s">
        <v>17190</v>
      </c>
      <c r="AP887" t="s">
        <v>17191</v>
      </c>
      <c r="AQ887" t="s">
        <v>74</v>
      </c>
      <c r="AR887" t="s">
        <v>17192</v>
      </c>
      <c r="AS887" t="s">
        <v>17193</v>
      </c>
      <c r="AT887" t="s">
        <v>3605</v>
      </c>
      <c r="AU887">
        <v>2022</v>
      </c>
      <c r="AV887">
        <v>166</v>
      </c>
      <c r="AW887" t="s">
        <v>74</v>
      </c>
      <c r="AX887" t="s">
        <v>74</v>
      </c>
      <c r="AY887" t="s">
        <v>74</v>
      </c>
      <c r="AZ887" t="s">
        <v>74</v>
      </c>
      <c r="BA887" t="s">
        <v>74</v>
      </c>
      <c r="BB887" t="s">
        <v>74</v>
      </c>
      <c r="BC887" t="s">
        <v>74</v>
      </c>
      <c r="BD887">
        <v>105179</v>
      </c>
      <c r="BE887" t="s">
        <v>17194</v>
      </c>
      <c r="BF887" t="str">
        <f>HYPERLINK("http://dx.doi.org/10.1016/j.cageo.2022.105179","http://dx.doi.org/10.1016/j.cageo.2022.105179")</f>
        <v>http://dx.doi.org/10.1016/j.cageo.2022.105179</v>
      </c>
      <c r="BG887" t="s">
        <v>74</v>
      </c>
      <c r="BH887" t="s">
        <v>17025</v>
      </c>
      <c r="BI887">
        <v>9</v>
      </c>
      <c r="BJ887" t="s">
        <v>17195</v>
      </c>
      <c r="BK887" t="s">
        <v>100</v>
      </c>
      <c r="BL887" t="s">
        <v>17196</v>
      </c>
      <c r="BM887" t="s">
        <v>17197</v>
      </c>
      <c r="BN887" t="s">
        <v>74</v>
      </c>
      <c r="BO887" t="s">
        <v>74</v>
      </c>
      <c r="BP887" t="s">
        <v>74</v>
      </c>
      <c r="BQ887" t="s">
        <v>74</v>
      </c>
      <c r="BR887" t="s">
        <v>103</v>
      </c>
      <c r="BS887" t="s">
        <v>17198</v>
      </c>
      <c r="BT887" t="str">
        <f>HYPERLINK("https%3A%2F%2Fwww.webofscience.com%2Fwos%2Fwoscc%2Ffull-record%2FWOS:000828098300001","View Full Record in Web of Science")</f>
        <v>View Full Record in Web of Science</v>
      </c>
    </row>
    <row r="888" spans="1:72" x14ac:dyDescent="0.15">
      <c r="A888" t="s">
        <v>72</v>
      </c>
      <c r="B888" t="s">
        <v>17199</v>
      </c>
      <c r="C888" t="s">
        <v>74</v>
      </c>
      <c r="D888" t="s">
        <v>74</v>
      </c>
      <c r="E888" t="s">
        <v>74</v>
      </c>
      <c r="F888" t="s">
        <v>17200</v>
      </c>
      <c r="G888" t="s">
        <v>74</v>
      </c>
      <c r="H888" t="s">
        <v>74</v>
      </c>
      <c r="I888" t="s">
        <v>17201</v>
      </c>
      <c r="J888" t="s">
        <v>4990</v>
      </c>
      <c r="K888" t="s">
        <v>74</v>
      </c>
      <c r="L888" t="s">
        <v>74</v>
      </c>
      <c r="M888" t="s">
        <v>78</v>
      </c>
      <c r="N888" t="s">
        <v>79</v>
      </c>
      <c r="O888" t="s">
        <v>74</v>
      </c>
      <c r="P888" t="s">
        <v>74</v>
      </c>
      <c r="Q888" t="s">
        <v>74</v>
      </c>
      <c r="R888" t="s">
        <v>74</v>
      </c>
      <c r="S888" t="s">
        <v>74</v>
      </c>
      <c r="T888" t="s">
        <v>17202</v>
      </c>
      <c r="U888" t="s">
        <v>17203</v>
      </c>
      <c r="V888" t="s">
        <v>17204</v>
      </c>
      <c r="W888" t="s">
        <v>17205</v>
      </c>
      <c r="X888" t="s">
        <v>17206</v>
      </c>
      <c r="Y888" t="s">
        <v>17207</v>
      </c>
      <c r="Z888" t="s">
        <v>17208</v>
      </c>
      <c r="AA888" t="s">
        <v>17209</v>
      </c>
      <c r="AB888" t="s">
        <v>17210</v>
      </c>
      <c r="AC888" t="s">
        <v>17211</v>
      </c>
      <c r="AD888" t="s">
        <v>17212</v>
      </c>
      <c r="AE888" t="s">
        <v>17213</v>
      </c>
      <c r="AF888" t="s">
        <v>74</v>
      </c>
      <c r="AG888">
        <v>97</v>
      </c>
      <c r="AH888">
        <v>0</v>
      </c>
      <c r="AI888">
        <v>0</v>
      </c>
      <c r="AJ888">
        <v>2</v>
      </c>
      <c r="AK888">
        <v>6</v>
      </c>
      <c r="AL888" t="s">
        <v>2275</v>
      </c>
      <c r="AM888" t="s">
        <v>90</v>
      </c>
      <c r="AN888" t="s">
        <v>2276</v>
      </c>
      <c r="AO888" t="s">
        <v>5000</v>
      </c>
      <c r="AP888" t="s">
        <v>5001</v>
      </c>
      <c r="AQ888" t="s">
        <v>74</v>
      </c>
      <c r="AR888" t="s">
        <v>5002</v>
      </c>
      <c r="AS888" t="s">
        <v>5003</v>
      </c>
      <c r="AT888" t="s">
        <v>5386</v>
      </c>
      <c r="AU888">
        <v>2022</v>
      </c>
      <c r="AV888">
        <v>117</v>
      </c>
      <c r="AW888" t="s">
        <v>74</v>
      </c>
      <c r="AX888" t="s">
        <v>74</v>
      </c>
      <c r="AY888" t="s">
        <v>74</v>
      </c>
      <c r="AZ888" t="s">
        <v>74</v>
      </c>
      <c r="BA888" t="s">
        <v>74</v>
      </c>
      <c r="BB888" t="s">
        <v>74</v>
      </c>
      <c r="BC888" t="s">
        <v>74</v>
      </c>
      <c r="BD888">
        <v>103896</v>
      </c>
      <c r="BE888" t="s">
        <v>17214</v>
      </c>
      <c r="BF888" t="str">
        <f>HYPERLINK("http://dx.doi.org/10.1016/j.jsames.2022.103896","http://dx.doi.org/10.1016/j.jsames.2022.103896")</f>
        <v>http://dx.doi.org/10.1016/j.jsames.2022.103896</v>
      </c>
      <c r="BG888" t="s">
        <v>74</v>
      </c>
      <c r="BH888" t="s">
        <v>17025</v>
      </c>
      <c r="BI888">
        <v>12</v>
      </c>
      <c r="BJ888" t="s">
        <v>129</v>
      </c>
      <c r="BK888" t="s">
        <v>100</v>
      </c>
      <c r="BL888" t="s">
        <v>130</v>
      </c>
      <c r="BM888" t="s">
        <v>17215</v>
      </c>
      <c r="BN888" t="s">
        <v>74</v>
      </c>
      <c r="BO888" t="s">
        <v>74</v>
      </c>
      <c r="BP888" t="s">
        <v>74</v>
      </c>
      <c r="BQ888" t="s">
        <v>74</v>
      </c>
      <c r="BR888" t="s">
        <v>103</v>
      </c>
      <c r="BS888" t="s">
        <v>17216</v>
      </c>
      <c r="BT888" t="str">
        <f>HYPERLINK("https%3A%2F%2Fwww.webofscience.com%2Fwos%2Fwoscc%2Ffull-record%2FWOS:000822632900005","View Full Record in Web of Science")</f>
        <v>View Full Record in Web of Science</v>
      </c>
    </row>
    <row r="889" spans="1:72" x14ac:dyDescent="0.15">
      <c r="A889" t="s">
        <v>72</v>
      </c>
      <c r="B889" t="s">
        <v>17217</v>
      </c>
      <c r="C889" t="s">
        <v>74</v>
      </c>
      <c r="D889" t="s">
        <v>74</v>
      </c>
      <c r="E889" t="s">
        <v>74</v>
      </c>
      <c r="F889" t="s">
        <v>17218</v>
      </c>
      <c r="G889" t="s">
        <v>74</v>
      </c>
      <c r="H889" t="s">
        <v>74</v>
      </c>
      <c r="I889" t="s">
        <v>17219</v>
      </c>
      <c r="J889" t="s">
        <v>17220</v>
      </c>
      <c r="K889" t="s">
        <v>74</v>
      </c>
      <c r="L889" t="s">
        <v>74</v>
      </c>
      <c r="M889" t="s">
        <v>78</v>
      </c>
      <c r="N889" t="s">
        <v>79</v>
      </c>
      <c r="O889" t="s">
        <v>74</v>
      </c>
      <c r="P889" t="s">
        <v>74</v>
      </c>
      <c r="Q889" t="s">
        <v>74</v>
      </c>
      <c r="R889" t="s">
        <v>74</v>
      </c>
      <c r="S889" t="s">
        <v>74</v>
      </c>
      <c r="T889" t="s">
        <v>17221</v>
      </c>
      <c r="U889" t="s">
        <v>17222</v>
      </c>
      <c r="V889" t="s">
        <v>17223</v>
      </c>
      <c r="W889" t="s">
        <v>17224</v>
      </c>
      <c r="X889" t="s">
        <v>17225</v>
      </c>
      <c r="Y889" t="s">
        <v>13068</v>
      </c>
      <c r="Z889" t="s">
        <v>17226</v>
      </c>
      <c r="AA889" t="s">
        <v>13070</v>
      </c>
      <c r="AB889" t="s">
        <v>13071</v>
      </c>
      <c r="AC889" t="s">
        <v>13072</v>
      </c>
      <c r="AD889" t="s">
        <v>13073</v>
      </c>
      <c r="AE889" t="s">
        <v>17227</v>
      </c>
      <c r="AF889" t="s">
        <v>74</v>
      </c>
      <c r="AG889">
        <v>76</v>
      </c>
      <c r="AH889">
        <v>4</v>
      </c>
      <c r="AI889">
        <v>5</v>
      </c>
      <c r="AJ889">
        <v>2</v>
      </c>
      <c r="AK889">
        <v>25</v>
      </c>
      <c r="AL889" t="s">
        <v>1733</v>
      </c>
      <c r="AM889" t="s">
        <v>1734</v>
      </c>
      <c r="AN889" t="s">
        <v>1735</v>
      </c>
      <c r="AO889" t="s">
        <v>17228</v>
      </c>
      <c r="AP889" t="s">
        <v>17229</v>
      </c>
      <c r="AQ889" t="s">
        <v>74</v>
      </c>
      <c r="AR889" t="s">
        <v>17220</v>
      </c>
      <c r="AS889" t="s">
        <v>2211</v>
      </c>
      <c r="AT889" t="s">
        <v>5386</v>
      </c>
      <c r="AU889">
        <v>2022</v>
      </c>
      <c r="AV889">
        <v>153</v>
      </c>
      <c r="AW889" t="s">
        <v>74</v>
      </c>
      <c r="AX889" t="s">
        <v>74</v>
      </c>
      <c r="AY889" t="s">
        <v>74</v>
      </c>
      <c r="AZ889" t="s">
        <v>74</v>
      </c>
      <c r="BA889" t="s">
        <v>74</v>
      </c>
      <c r="BB889" t="s">
        <v>74</v>
      </c>
      <c r="BC889" t="s">
        <v>74</v>
      </c>
      <c r="BD889">
        <v>126025</v>
      </c>
      <c r="BE889" t="s">
        <v>17230</v>
      </c>
      <c r="BF889" t="str">
        <f>HYPERLINK("http://dx.doi.org/10.1016/j.zool.2022.126025","http://dx.doi.org/10.1016/j.zool.2022.126025")</f>
        <v>http://dx.doi.org/10.1016/j.zool.2022.126025</v>
      </c>
      <c r="BG889" t="s">
        <v>74</v>
      </c>
      <c r="BH889" t="s">
        <v>17025</v>
      </c>
      <c r="BI889">
        <v>11</v>
      </c>
      <c r="BJ889" t="s">
        <v>2211</v>
      </c>
      <c r="BK889" t="s">
        <v>100</v>
      </c>
      <c r="BL889" t="s">
        <v>2211</v>
      </c>
      <c r="BM889" t="s">
        <v>17231</v>
      </c>
      <c r="BN889">
        <v>35777075</v>
      </c>
      <c r="BO889" t="s">
        <v>74</v>
      </c>
      <c r="BP889" t="s">
        <v>74</v>
      </c>
      <c r="BQ889" t="s">
        <v>74</v>
      </c>
      <c r="BR889" t="s">
        <v>103</v>
      </c>
      <c r="BS889" t="s">
        <v>17232</v>
      </c>
      <c r="BT889" t="str">
        <f>HYPERLINK("https%3A%2F%2Fwww.webofscience.com%2Fwos%2Fwoscc%2Ffull-record%2FWOS:000824591100002","View Full Record in Web of Science")</f>
        <v>View Full Record in Web of Science</v>
      </c>
    </row>
    <row r="890" spans="1:72" x14ac:dyDescent="0.15">
      <c r="A890" t="s">
        <v>72</v>
      </c>
      <c r="B890" t="s">
        <v>17233</v>
      </c>
      <c r="C890" t="s">
        <v>74</v>
      </c>
      <c r="D890" t="s">
        <v>74</v>
      </c>
      <c r="E890" t="s">
        <v>74</v>
      </c>
      <c r="F890" t="s">
        <v>17234</v>
      </c>
      <c r="G890" t="s">
        <v>74</v>
      </c>
      <c r="H890" t="s">
        <v>74</v>
      </c>
      <c r="I890" t="s">
        <v>17235</v>
      </c>
      <c r="J890" t="s">
        <v>3171</v>
      </c>
      <c r="K890" t="s">
        <v>74</v>
      </c>
      <c r="L890" t="s">
        <v>74</v>
      </c>
      <c r="M890" t="s">
        <v>78</v>
      </c>
      <c r="N890" t="s">
        <v>79</v>
      </c>
      <c r="O890" t="s">
        <v>74</v>
      </c>
      <c r="P890" t="s">
        <v>74</v>
      </c>
      <c r="Q890" t="s">
        <v>74</v>
      </c>
      <c r="R890" t="s">
        <v>74</v>
      </c>
      <c r="S890" t="s">
        <v>74</v>
      </c>
      <c r="T890" t="s">
        <v>17236</v>
      </c>
      <c r="U890" t="s">
        <v>17237</v>
      </c>
      <c r="V890" t="s">
        <v>17238</v>
      </c>
      <c r="W890" t="s">
        <v>17239</v>
      </c>
      <c r="X890" t="s">
        <v>17240</v>
      </c>
      <c r="Y890" t="s">
        <v>17241</v>
      </c>
      <c r="Z890" t="s">
        <v>1944</v>
      </c>
      <c r="AA890" t="s">
        <v>17242</v>
      </c>
      <c r="AB890" t="s">
        <v>74</v>
      </c>
      <c r="AC890" t="s">
        <v>17243</v>
      </c>
      <c r="AD890" t="s">
        <v>17244</v>
      </c>
      <c r="AE890" t="s">
        <v>17245</v>
      </c>
      <c r="AF890" t="s">
        <v>74</v>
      </c>
      <c r="AG890">
        <v>97</v>
      </c>
      <c r="AH890">
        <v>1</v>
      </c>
      <c r="AI890">
        <v>1</v>
      </c>
      <c r="AJ890">
        <v>3</v>
      </c>
      <c r="AK890">
        <v>10</v>
      </c>
      <c r="AL890" t="s">
        <v>121</v>
      </c>
      <c r="AM890" t="s">
        <v>122</v>
      </c>
      <c r="AN890" t="s">
        <v>123</v>
      </c>
      <c r="AO890" t="s">
        <v>74</v>
      </c>
      <c r="AP890" t="s">
        <v>3183</v>
      </c>
      <c r="AQ890" t="s">
        <v>74</v>
      </c>
      <c r="AR890" t="s">
        <v>3184</v>
      </c>
      <c r="AS890" t="s">
        <v>3185</v>
      </c>
      <c r="AT890" t="s">
        <v>17246</v>
      </c>
      <c r="AU890">
        <v>2022</v>
      </c>
      <c r="AV890">
        <v>13</v>
      </c>
      <c r="AW890" t="s">
        <v>74</v>
      </c>
      <c r="AX890" t="s">
        <v>74</v>
      </c>
      <c r="AY890" t="s">
        <v>74</v>
      </c>
      <c r="AZ890" t="s">
        <v>74</v>
      </c>
      <c r="BA890" t="s">
        <v>74</v>
      </c>
      <c r="BB890" t="s">
        <v>74</v>
      </c>
      <c r="BC890" t="s">
        <v>74</v>
      </c>
      <c r="BD890">
        <v>843490</v>
      </c>
      <c r="BE890" t="s">
        <v>17247</v>
      </c>
      <c r="BF890" t="str">
        <f>HYPERLINK("http://dx.doi.org/10.3389/fmicb.2022.843490","http://dx.doi.org/10.3389/fmicb.2022.843490")</f>
        <v>http://dx.doi.org/10.3389/fmicb.2022.843490</v>
      </c>
      <c r="BG890" t="s">
        <v>74</v>
      </c>
      <c r="BH890" t="s">
        <v>74</v>
      </c>
      <c r="BI890">
        <v>12</v>
      </c>
      <c r="BJ890" t="s">
        <v>214</v>
      </c>
      <c r="BK890" t="s">
        <v>100</v>
      </c>
      <c r="BL890" t="s">
        <v>214</v>
      </c>
      <c r="BM890" t="s">
        <v>17248</v>
      </c>
      <c r="BN890">
        <v>35836424</v>
      </c>
      <c r="BO890" t="s">
        <v>132</v>
      </c>
      <c r="BP890" t="s">
        <v>74</v>
      </c>
      <c r="BQ890" t="s">
        <v>74</v>
      </c>
      <c r="BR890" t="s">
        <v>103</v>
      </c>
      <c r="BS890" t="s">
        <v>17249</v>
      </c>
      <c r="BT890" t="str">
        <f>HYPERLINK("https%3A%2F%2Fwww.webofscience.com%2Fwos%2Fwoscc%2Ffull-record%2FWOS:000824528600001","View Full Record in Web of Science")</f>
        <v>View Full Record in Web of Science</v>
      </c>
    </row>
    <row r="891" spans="1:72" x14ac:dyDescent="0.15">
      <c r="A891" t="s">
        <v>72</v>
      </c>
      <c r="B891" t="s">
        <v>17250</v>
      </c>
      <c r="C891" t="s">
        <v>74</v>
      </c>
      <c r="D891" t="s">
        <v>74</v>
      </c>
      <c r="E891" t="s">
        <v>74</v>
      </c>
      <c r="F891" t="s">
        <v>17251</v>
      </c>
      <c r="G891" t="s">
        <v>74</v>
      </c>
      <c r="H891" t="s">
        <v>74</v>
      </c>
      <c r="I891" t="s">
        <v>17252</v>
      </c>
      <c r="J891" t="s">
        <v>247</v>
      </c>
      <c r="K891" t="s">
        <v>74</v>
      </c>
      <c r="L891" t="s">
        <v>74</v>
      </c>
      <c r="M891" t="s">
        <v>78</v>
      </c>
      <c r="N891" t="s">
        <v>79</v>
      </c>
      <c r="O891" t="s">
        <v>74</v>
      </c>
      <c r="P891" t="s">
        <v>74</v>
      </c>
      <c r="Q891" t="s">
        <v>74</v>
      </c>
      <c r="R891" t="s">
        <v>74</v>
      </c>
      <c r="S891" t="s">
        <v>74</v>
      </c>
      <c r="T891" t="s">
        <v>17253</v>
      </c>
      <c r="U891" t="s">
        <v>17254</v>
      </c>
      <c r="V891" t="s">
        <v>17255</v>
      </c>
      <c r="W891" t="s">
        <v>17256</v>
      </c>
      <c r="X891" t="s">
        <v>17257</v>
      </c>
      <c r="Y891" t="s">
        <v>17258</v>
      </c>
      <c r="Z891" t="s">
        <v>17259</v>
      </c>
      <c r="AA891" t="s">
        <v>17260</v>
      </c>
      <c r="AB891" t="s">
        <v>17261</v>
      </c>
      <c r="AC891" t="s">
        <v>74</v>
      </c>
      <c r="AD891" t="s">
        <v>74</v>
      </c>
      <c r="AE891" t="s">
        <v>74</v>
      </c>
      <c r="AF891" t="s">
        <v>74</v>
      </c>
      <c r="AG891">
        <v>109</v>
      </c>
      <c r="AH891">
        <v>1</v>
      </c>
      <c r="AI891">
        <v>1</v>
      </c>
      <c r="AJ891">
        <v>4</v>
      </c>
      <c r="AK891">
        <v>12</v>
      </c>
      <c r="AL891" t="s">
        <v>121</v>
      </c>
      <c r="AM891" t="s">
        <v>122</v>
      </c>
      <c r="AN891" t="s">
        <v>123</v>
      </c>
      <c r="AO891" t="s">
        <v>74</v>
      </c>
      <c r="AP891" t="s">
        <v>258</v>
      </c>
      <c r="AQ891" t="s">
        <v>74</v>
      </c>
      <c r="AR891" t="s">
        <v>259</v>
      </c>
      <c r="AS891" t="s">
        <v>260</v>
      </c>
      <c r="AT891" t="s">
        <v>17246</v>
      </c>
      <c r="AU891">
        <v>2022</v>
      </c>
      <c r="AV891">
        <v>9</v>
      </c>
      <c r="AW891" t="s">
        <v>74</v>
      </c>
      <c r="AX891" t="s">
        <v>74</v>
      </c>
      <c r="AY891" t="s">
        <v>74</v>
      </c>
      <c r="AZ891" t="s">
        <v>74</v>
      </c>
      <c r="BA891" t="s">
        <v>74</v>
      </c>
      <c r="BB891" t="s">
        <v>74</v>
      </c>
      <c r="BC891" t="s">
        <v>74</v>
      </c>
      <c r="BD891">
        <v>926462</v>
      </c>
      <c r="BE891" t="s">
        <v>17262</v>
      </c>
      <c r="BF891" t="str">
        <f>HYPERLINK("http://dx.doi.org/10.3389/fmars.2022.926462","http://dx.doi.org/10.3389/fmars.2022.926462")</f>
        <v>http://dx.doi.org/10.3389/fmars.2022.926462</v>
      </c>
      <c r="BG891" t="s">
        <v>74</v>
      </c>
      <c r="BH891" t="s">
        <v>74</v>
      </c>
      <c r="BI891">
        <v>18</v>
      </c>
      <c r="BJ891" t="s">
        <v>263</v>
      </c>
      <c r="BK891" t="s">
        <v>100</v>
      </c>
      <c r="BL891" t="s">
        <v>264</v>
      </c>
      <c r="BM891" t="s">
        <v>17263</v>
      </c>
      <c r="BN891" t="s">
        <v>74</v>
      </c>
      <c r="BO891" t="s">
        <v>2844</v>
      </c>
      <c r="BP891" t="s">
        <v>74</v>
      </c>
      <c r="BQ891" t="s">
        <v>74</v>
      </c>
      <c r="BR891" t="s">
        <v>103</v>
      </c>
      <c r="BS891" t="s">
        <v>17264</v>
      </c>
      <c r="BT891" t="str">
        <f>HYPERLINK("https%3A%2F%2Fwww.webofscience.com%2Fwos%2Fwoscc%2Ffull-record%2FWOS:000824181400001","View Full Record in Web of Science")</f>
        <v>View Full Record in Web of Science</v>
      </c>
    </row>
    <row r="892" spans="1:72" x14ac:dyDescent="0.15">
      <c r="A892" t="s">
        <v>72</v>
      </c>
      <c r="B892" t="s">
        <v>17265</v>
      </c>
      <c r="C892" t="s">
        <v>74</v>
      </c>
      <c r="D892" t="s">
        <v>74</v>
      </c>
      <c r="E892" t="s">
        <v>74</v>
      </c>
      <c r="F892" t="s">
        <v>17266</v>
      </c>
      <c r="G892" t="s">
        <v>74</v>
      </c>
      <c r="H892" t="s">
        <v>74</v>
      </c>
      <c r="I892" t="s">
        <v>17267</v>
      </c>
      <c r="J892" t="s">
        <v>17268</v>
      </c>
      <c r="K892" t="s">
        <v>74</v>
      </c>
      <c r="L892" t="s">
        <v>74</v>
      </c>
      <c r="M892" t="s">
        <v>78</v>
      </c>
      <c r="N892" t="s">
        <v>79</v>
      </c>
      <c r="O892" t="s">
        <v>74</v>
      </c>
      <c r="P892" t="s">
        <v>74</v>
      </c>
      <c r="Q892" t="s">
        <v>74</v>
      </c>
      <c r="R892" t="s">
        <v>74</v>
      </c>
      <c r="S892" t="s">
        <v>74</v>
      </c>
      <c r="T892" t="s">
        <v>17269</v>
      </c>
      <c r="U892" t="s">
        <v>17270</v>
      </c>
      <c r="V892" t="s">
        <v>17271</v>
      </c>
      <c r="W892" t="s">
        <v>17272</v>
      </c>
      <c r="X892" t="s">
        <v>17273</v>
      </c>
      <c r="Y892" t="s">
        <v>17274</v>
      </c>
      <c r="Z892" t="s">
        <v>17275</v>
      </c>
      <c r="AA892" t="s">
        <v>17276</v>
      </c>
      <c r="AB892" t="s">
        <v>17277</v>
      </c>
      <c r="AC892" t="s">
        <v>17278</v>
      </c>
      <c r="AD892" t="s">
        <v>17279</v>
      </c>
      <c r="AE892" t="s">
        <v>17280</v>
      </c>
      <c r="AF892" t="s">
        <v>74</v>
      </c>
      <c r="AG892">
        <v>59</v>
      </c>
      <c r="AH892">
        <v>3</v>
      </c>
      <c r="AI892">
        <v>3</v>
      </c>
      <c r="AJ892">
        <v>3</v>
      </c>
      <c r="AK892">
        <v>15</v>
      </c>
      <c r="AL892" t="s">
        <v>3827</v>
      </c>
      <c r="AM892" t="s">
        <v>3828</v>
      </c>
      <c r="AN892" t="s">
        <v>3829</v>
      </c>
      <c r="AO892" t="s">
        <v>17281</v>
      </c>
      <c r="AP892" t="s">
        <v>17282</v>
      </c>
      <c r="AQ892" t="s">
        <v>74</v>
      </c>
      <c r="AR892" t="s">
        <v>17283</v>
      </c>
      <c r="AS892" t="s">
        <v>17284</v>
      </c>
      <c r="AT892" t="s">
        <v>17285</v>
      </c>
      <c r="AU892">
        <v>2022</v>
      </c>
      <c r="AV892">
        <v>70</v>
      </c>
      <c r="AW892">
        <v>5</v>
      </c>
      <c r="AX892" t="s">
        <v>74</v>
      </c>
      <c r="AY892" t="s">
        <v>74</v>
      </c>
      <c r="AZ892" t="s">
        <v>74</v>
      </c>
      <c r="BA892" t="s">
        <v>74</v>
      </c>
      <c r="BB892">
        <v>263</v>
      </c>
      <c r="BC892">
        <v>272</v>
      </c>
      <c r="BD892" t="s">
        <v>74</v>
      </c>
      <c r="BE892" t="s">
        <v>17286</v>
      </c>
      <c r="BF892" t="str">
        <f>HYPERLINK("http://dx.doi.org/10.1080/00480169.2022.2087784","http://dx.doi.org/10.1080/00480169.2022.2087784")</f>
        <v>http://dx.doi.org/10.1080/00480169.2022.2087784</v>
      </c>
      <c r="BG892" t="s">
        <v>74</v>
      </c>
      <c r="BH892" t="s">
        <v>17025</v>
      </c>
      <c r="BI892">
        <v>10</v>
      </c>
      <c r="BJ892" t="s">
        <v>532</v>
      </c>
      <c r="BK892" t="s">
        <v>100</v>
      </c>
      <c r="BL892" t="s">
        <v>532</v>
      </c>
      <c r="BM892" t="s">
        <v>17287</v>
      </c>
      <c r="BN892">
        <v>35673970</v>
      </c>
      <c r="BO892" t="s">
        <v>3327</v>
      </c>
      <c r="BP892" t="s">
        <v>74</v>
      </c>
      <c r="BQ892" t="s">
        <v>74</v>
      </c>
      <c r="BR892" t="s">
        <v>103</v>
      </c>
      <c r="BS892" t="s">
        <v>17288</v>
      </c>
      <c r="BT892" t="str">
        <f>HYPERLINK("https%3A%2F%2Fwww.webofscience.com%2Fwos%2Fwoscc%2Ffull-record%2FWOS:000820747600001","View Full Record in Web of Science")</f>
        <v>View Full Record in Web of Science</v>
      </c>
    </row>
    <row r="893" spans="1:72" x14ac:dyDescent="0.15">
      <c r="A893" t="s">
        <v>72</v>
      </c>
      <c r="B893" t="s">
        <v>17289</v>
      </c>
      <c r="C893" t="s">
        <v>74</v>
      </c>
      <c r="D893" t="s">
        <v>74</v>
      </c>
      <c r="E893" t="s">
        <v>74</v>
      </c>
      <c r="F893" t="s">
        <v>17290</v>
      </c>
      <c r="G893" t="s">
        <v>74</v>
      </c>
      <c r="H893" t="s">
        <v>74</v>
      </c>
      <c r="I893" t="s">
        <v>17291</v>
      </c>
      <c r="J893" t="s">
        <v>17292</v>
      </c>
      <c r="K893" t="s">
        <v>74</v>
      </c>
      <c r="L893" t="s">
        <v>74</v>
      </c>
      <c r="M893" t="s">
        <v>78</v>
      </c>
      <c r="N893" t="s">
        <v>79</v>
      </c>
      <c r="O893" t="s">
        <v>74</v>
      </c>
      <c r="P893" t="s">
        <v>74</v>
      </c>
      <c r="Q893" t="s">
        <v>74</v>
      </c>
      <c r="R893" t="s">
        <v>74</v>
      </c>
      <c r="S893" t="s">
        <v>74</v>
      </c>
      <c r="T893" t="s">
        <v>17293</v>
      </c>
      <c r="U893" t="s">
        <v>74</v>
      </c>
      <c r="V893" t="s">
        <v>17294</v>
      </c>
      <c r="W893" t="s">
        <v>17295</v>
      </c>
      <c r="X893" t="s">
        <v>17296</v>
      </c>
      <c r="Y893" t="s">
        <v>17297</v>
      </c>
      <c r="Z893" t="s">
        <v>17298</v>
      </c>
      <c r="AA893" t="s">
        <v>74</v>
      </c>
      <c r="AB893" t="s">
        <v>17299</v>
      </c>
      <c r="AC893" t="s">
        <v>74</v>
      </c>
      <c r="AD893" t="s">
        <v>74</v>
      </c>
      <c r="AE893" t="s">
        <v>74</v>
      </c>
      <c r="AF893" t="s">
        <v>74</v>
      </c>
      <c r="AG893">
        <v>60</v>
      </c>
      <c r="AH893">
        <v>2</v>
      </c>
      <c r="AI893">
        <v>2</v>
      </c>
      <c r="AJ893">
        <v>0</v>
      </c>
      <c r="AK893">
        <v>1</v>
      </c>
      <c r="AL893" t="s">
        <v>178</v>
      </c>
      <c r="AM893" t="s">
        <v>450</v>
      </c>
      <c r="AN893" t="s">
        <v>668</v>
      </c>
      <c r="AO893" t="s">
        <v>17300</v>
      </c>
      <c r="AP893" t="s">
        <v>17301</v>
      </c>
      <c r="AQ893" t="s">
        <v>74</v>
      </c>
      <c r="AR893" t="s">
        <v>17302</v>
      </c>
      <c r="AS893" t="s">
        <v>17303</v>
      </c>
      <c r="AT893" t="s">
        <v>352</v>
      </c>
      <c r="AU893">
        <v>2023</v>
      </c>
      <c r="AV893">
        <v>27</v>
      </c>
      <c r="AW893">
        <v>2</v>
      </c>
      <c r="AX893" t="s">
        <v>74</v>
      </c>
      <c r="AY893" t="s">
        <v>74</v>
      </c>
      <c r="AZ893" t="s">
        <v>186</v>
      </c>
      <c r="BA893" t="s">
        <v>74</v>
      </c>
      <c r="BB893">
        <v>274</v>
      </c>
      <c r="BC893">
        <v>295</v>
      </c>
      <c r="BD893" t="s">
        <v>74</v>
      </c>
      <c r="BE893" t="s">
        <v>17304</v>
      </c>
      <c r="BF893" t="str">
        <f>HYPERLINK("http://dx.doi.org/10.1007/s10761-022-00667-2","http://dx.doi.org/10.1007/s10761-022-00667-2")</f>
        <v>http://dx.doi.org/10.1007/s10761-022-00667-2</v>
      </c>
      <c r="BG893" t="s">
        <v>74</v>
      </c>
      <c r="BH893" t="s">
        <v>17025</v>
      </c>
      <c r="BI893">
        <v>22</v>
      </c>
      <c r="BJ893" t="s">
        <v>17305</v>
      </c>
      <c r="BK893" t="s">
        <v>10124</v>
      </c>
      <c r="BL893" t="s">
        <v>17305</v>
      </c>
      <c r="BM893" t="s">
        <v>17306</v>
      </c>
      <c r="BN893" t="s">
        <v>74</v>
      </c>
      <c r="BO893" t="s">
        <v>74</v>
      </c>
      <c r="BP893" t="s">
        <v>74</v>
      </c>
      <c r="BQ893" t="s">
        <v>74</v>
      </c>
      <c r="BR893" t="s">
        <v>103</v>
      </c>
      <c r="BS893" t="s">
        <v>17307</v>
      </c>
      <c r="BT893" t="str">
        <f>HYPERLINK("https%3A%2F%2Fwww.webofscience.com%2Fwos%2Fwoscc%2Ffull-record%2FWOS:000817850900001","View Full Record in Web of Science")</f>
        <v>View Full Record in Web of Science</v>
      </c>
    </row>
    <row r="894" spans="1:72" x14ac:dyDescent="0.15">
      <c r="A894" t="s">
        <v>72</v>
      </c>
      <c r="B894" t="s">
        <v>17308</v>
      </c>
      <c r="C894" t="s">
        <v>74</v>
      </c>
      <c r="D894" t="s">
        <v>74</v>
      </c>
      <c r="E894" t="s">
        <v>74</v>
      </c>
      <c r="F894" t="s">
        <v>17309</v>
      </c>
      <c r="G894" t="s">
        <v>74</v>
      </c>
      <c r="H894" t="s">
        <v>74</v>
      </c>
      <c r="I894" t="s">
        <v>17310</v>
      </c>
      <c r="J894" t="s">
        <v>4327</v>
      </c>
      <c r="K894" t="s">
        <v>74</v>
      </c>
      <c r="L894" t="s">
        <v>74</v>
      </c>
      <c r="M894" t="s">
        <v>78</v>
      </c>
      <c r="N894" t="s">
        <v>79</v>
      </c>
      <c r="O894" t="s">
        <v>74</v>
      </c>
      <c r="P894" t="s">
        <v>74</v>
      </c>
      <c r="Q894" t="s">
        <v>74</v>
      </c>
      <c r="R894" t="s">
        <v>74</v>
      </c>
      <c r="S894" t="s">
        <v>74</v>
      </c>
      <c r="T894" t="s">
        <v>17311</v>
      </c>
      <c r="U894" t="s">
        <v>17312</v>
      </c>
      <c r="V894" t="s">
        <v>17313</v>
      </c>
      <c r="W894" t="s">
        <v>17314</v>
      </c>
      <c r="X894" t="s">
        <v>17315</v>
      </c>
      <c r="Y894" t="s">
        <v>17316</v>
      </c>
      <c r="Z894" t="s">
        <v>74</v>
      </c>
      <c r="AA894" t="s">
        <v>17317</v>
      </c>
      <c r="AB894" t="s">
        <v>17318</v>
      </c>
      <c r="AC894" t="s">
        <v>17319</v>
      </c>
      <c r="AD894" t="s">
        <v>17320</v>
      </c>
      <c r="AE894" t="s">
        <v>17321</v>
      </c>
      <c r="AF894" t="s">
        <v>74</v>
      </c>
      <c r="AG894">
        <v>102</v>
      </c>
      <c r="AH894">
        <v>2</v>
      </c>
      <c r="AI894">
        <v>2</v>
      </c>
      <c r="AJ894">
        <v>0</v>
      </c>
      <c r="AK894">
        <v>5</v>
      </c>
      <c r="AL894" t="s">
        <v>178</v>
      </c>
      <c r="AM894" t="s">
        <v>450</v>
      </c>
      <c r="AN894" t="s">
        <v>668</v>
      </c>
      <c r="AO894" t="s">
        <v>4340</v>
      </c>
      <c r="AP894" t="s">
        <v>4341</v>
      </c>
      <c r="AQ894" t="s">
        <v>74</v>
      </c>
      <c r="AR894" t="s">
        <v>4342</v>
      </c>
      <c r="AS894" t="s">
        <v>4343</v>
      </c>
      <c r="AT894" t="s">
        <v>184</v>
      </c>
      <c r="AU894">
        <v>2022</v>
      </c>
      <c r="AV894">
        <v>45</v>
      </c>
      <c r="AW894">
        <v>7</v>
      </c>
      <c r="AX894" t="s">
        <v>74</v>
      </c>
      <c r="AY894" t="s">
        <v>74</v>
      </c>
      <c r="AZ894" t="s">
        <v>74</v>
      </c>
      <c r="BA894" t="s">
        <v>74</v>
      </c>
      <c r="BB894">
        <v>1211</v>
      </c>
      <c r="BC894">
        <v>1228</v>
      </c>
      <c r="BD894" t="s">
        <v>74</v>
      </c>
      <c r="BE894" t="s">
        <v>17322</v>
      </c>
      <c r="BF894" t="str">
        <f>HYPERLINK("http://dx.doi.org/10.1007/s00300-022-03056-x","http://dx.doi.org/10.1007/s00300-022-03056-x")</f>
        <v>http://dx.doi.org/10.1007/s00300-022-03056-x</v>
      </c>
      <c r="BG894" t="s">
        <v>74</v>
      </c>
      <c r="BH894" t="s">
        <v>17025</v>
      </c>
      <c r="BI894">
        <v>18</v>
      </c>
      <c r="BJ894" t="s">
        <v>1169</v>
      </c>
      <c r="BK894" t="s">
        <v>100</v>
      </c>
      <c r="BL894" t="s">
        <v>1170</v>
      </c>
      <c r="BM894" t="s">
        <v>12991</v>
      </c>
      <c r="BN894" t="s">
        <v>74</v>
      </c>
      <c r="BO894" t="s">
        <v>1221</v>
      </c>
      <c r="BP894" t="s">
        <v>74</v>
      </c>
      <c r="BQ894" t="s">
        <v>74</v>
      </c>
      <c r="BR894" t="s">
        <v>103</v>
      </c>
      <c r="BS894" t="s">
        <v>17323</v>
      </c>
      <c r="BT894" t="str">
        <f>HYPERLINK("https%3A%2F%2Fwww.webofscience.com%2Fwos%2Fwoscc%2Ffull-record%2FWOS:000817919900001","View Full Record in Web of Science")</f>
        <v>View Full Record in Web of Science</v>
      </c>
    </row>
    <row r="895" spans="1:72" x14ac:dyDescent="0.15">
      <c r="A895" t="s">
        <v>72</v>
      </c>
      <c r="B895" t="s">
        <v>17324</v>
      </c>
      <c r="C895" t="s">
        <v>74</v>
      </c>
      <c r="D895" t="s">
        <v>74</v>
      </c>
      <c r="E895" t="s">
        <v>74</v>
      </c>
      <c r="F895" t="s">
        <v>17325</v>
      </c>
      <c r="G895" t="s">
        <v>74</v>
      </c>
      <c r="H895" t="s">
        <v>74</v>
      </c>
      <c r="I895" t="s">
        <v>17326</v>
      </c>
      <c r="J895" t="s">
        <v>2473</v>
      </c>
      <c r="K895" t="s">
        <v>74</v>
      </c>
      <c r="L895" t="s">
        <v>74</v>
      </c>
      <c r="M895" t="s">
        <v>78</v>
      </c>
      <c r="N895" t="s">
        <v>79</v>
      </c>
      <c r="O895" t="s">
        <v>74</v>
      </c>
      <c r="P895" t="s">
        <v>74</v>
      </c>
      <c r="Q895" t="s">
        <v>74</v>
      </c>
      <c r="R895" t="s">
        <v>74</v>
      </c>
      <c r="S895" t="s">
        <v>74</v>
      </c>
      <c r="T895" t="s">
        <v>74</v>
      </c>
      <c r="U895" t="s">
        <v>17327</v>
      </c>
      <c r="V895" t="s">
        <v>17328</v>
      </c>
      <c r="W895" t="s">
        <v>17329</v>
      </c>
      <c r="X895" t="s">
        <v>17330</v>
      </c>
      <c r="Y895" t="s">
        <v>17331</v>
      </c>
      <c r="Z895" t="s">
        <v>17332</v>
      </c>
      <c r="AA895" t="s">
        <v>17333</v>
      </c>
      <c r="AB895" t="s">
        <v>17334</v>
      </c>
      <c r="AC895" t="s">
        <v>17335</v>
      </c>
      <c r="AD895" t="s">
        <v>17336</v>
      </c>
      <c r="AE895" t="s">
        <v>17337</v>
      </c>
      <c r="AF895" t="s">
        <v>74</v>
      </c>
      <c r="AG895">
        <v>81</v>
      </c>
      <c r="AH895">
        <v>7</v>
      </c>
      <c r="AI895">
        <v>7</v>
      </c>
      <c r="AJ895">
        <v>0</v>
      </c>
      <c r="AK895">
        <v>7</v>
      </c>
      <c r="AL895" t="s">
        <v>2460</v>
      </c>
      <c r="AM895" t="s">
        <v>2461</v>
      </c>
      <c r="AN895" t="s">
        <v>2462</v>
      </c>
      <c r="AO895" t="s">
        <v>2485</v>
      </c>
      <c r="AP895" t="s">
        <v>2486</v>
      </c>
      <c r="AQ895" t="s">
        <v>74</v>
      </c>
      <c r="AR895" t="s">
        <v>2473</v>
      </c>
      <c r="AS895" t="s">
        <v>2487</v>
      </c>
      <c r="AT895" t="s">
        <v>17246</v>
      </c>
      <c r="AU895">
        <v>2022</v>
      </c>
      <c r="AV895">
        <v>16</v>
      </c>
      <c r="AW895">
        <v>6</v>
      </c>
      <c r="AX895" t="s">
        <v>74</v>
      </c>
      <c r="AY895" t="s">
        <v>74</v>
      </c>
      <c r="AZ895" t="s">
        <v>74</v>
      </c>
      <c r="BA895" t="s">
        <v>74</v>
      </c>
      <c r="BB895">
        <v>2565</v>
      </c>
      <c r="BC895">
        <v>2593</v>
      </c>
      <c r="BD895" t="s">
        <v>74</v>
      </c>
      <c r="BE895" t="s">
        <v>17338</v>
      </c>
      <c r="BF895" t="str">
        <f>HYPERLINK("http://dx.doi.org/10.5194/tc-16-2565-2022","http://dx.doi.org/10.5194/tc-16-2565-2022")</f>
        <v>http://dx.doi.org/10.5194/tc-16-2565-2022</v>
      </c>
      <c r="BG895" t="s">
        <v>74</v>
      </c>
      <c r="BH895" t="s">
        <v>74</v>
      </c>
      <c r="BI895">
        <v>29</v>
      </c>
      <c r="BJ895" t="s">
        <v>354</v>
      </c>
      <c r="BK895" t="s">
        <v>100</v>
      </c>
      <c r="BL895" t="s">
        <v>241</v>
      </c>
      <c r="BM895" t="s">
        <v>17339</v>
      </c>
      <c r="BN895" t="s">
        <v>74</v>
      </c>
      <c r="BO895" t="s">
        <v>5447</v>
      </c>
      <c r="BP895" t="s">
        <v>74</v>
      </c>
      <c r="BQ895" t="s">
        <v>74</v>
      </c>
      <c r="BR895" t="s">
        <v>103</v>
      </c>
      <c r="BS895" t="s">
        <v>17340</v>
      </c>
      <c r="BT895" t="str">
        <f>HYPERLINK("https%3A%2F%2Fwww.webofscience.com%2Fwos%2Fwoscc%2Ffull-record%2FWOS:000817096900001","View Full Record in Web of Science")</f>
        <v>View Full Record in Web of Science</v>
      </c>
    </row>
    <row r="896" spans="1:72" x14ac:dyDescent="0.15">
      <c r="A896" t="s">
        <v>72</v>
      </c>
      <c r="B896" t="s">
        <v>17341</v>
      </c>
      <c r="C896" t="s">
        <v>74</v>
      </c>
      <c r="D896" t="s">
        <v>74</v>
      </c>
      <c r="E896" t="s">
        <v>74</v>
      </c>
      <c r="F896" t="s">
        <v>17342</v>
      </c>
      <c r="G896" t="s">
        <v>74</v>
      </c>
      <c r="H896" t="s">
        <v>74</v>
      </c>
      <c r="I896" t="s">
        <v>17343</v>
      </c>
      <c r="J896" t="s">
        <v>17344</v>
      </c>
      <c r="K896" t="s">
        <v>74</v>
      </c>
      <c r="L896" t="s">
        <v>74</v>
      </c>
      <c r="M896" t="s">
        <v>78</v>
      </c>
      <c r="N896" t="s">
        <v>79</v>
      </c>
      <c r="O896" t="s">
        <v>74</v>
      </c>
      <c r="P896" t="s">
        <v>74</v>
      </c>
      <c r="Q896" t="s">
        <v>74</v>
      </c>
      <c r="R896" t="s">
        <v>74</v>
      </c>
      <c r="S896" t="s">
        <v>74</v>
      </c>
      <c r="T896" t="s">
        <v>17345</v>
      </c>
      <c r="U896" t="s">
        <v>17346</v>
      </c>
      <c r="V896" t="s">
        <v>17347</v>
      </c>
      <c r="W896" t="s">
        <v>17348</v>
      </c>
      <c r="X896" t="s">
        <v>17349</v>
      </c>
      <c r="Y896" t="s">
        <v>17350</v>
      </c>
      <c r="Z896" t="s">
        <v>17351</v>
      </c>
      <c r="AA896" t="s">
        <v>17352</v>
      </c>
      <c r="AB896" t="s">
        <v>17353</v>
      </c>
      <c r="AC896" t="s">
        <v>17354</v>
      </c>
      <c r="AD896" t="s">
        <v>17355</v>
      </c>
      <c r="AE896" t="s">
        <v>17356</v>
      </c>
      <c r="AF896" t="s">
        <v>74</v>
      </c>
      <c r="AG896">
        <v>34</v>
      </c>
      <c r="AH896">
        <v>2</v>
      </c>
      <c r="AI896">
        <v>2</v>
      </c>
      <c r="AJ896">
        <v>10</v>
      </c>
      <c r="AK896">
        <v>37</v>
      </c>
      <c r="AL896" t="s">
        <v>231</v>
      </c>
      <c r="AM896" t="s">
        <v>232</v>
      </c>
      <c r="AN896" t="s">
        <v>233</v>
      </c>
      <c r="AO896" t="s">
        <v>17357</v>
      </c>
      <c r="AP896" t="s">
        <v>17358</v>
      </c>
      <c r="AQ896" t="s">
        <v>74</v>
      </c>
      <c r="AR896" t="s">
        <v>17359</v>
      </c>
      <c r="AS896" t="s">
        <v>17360</v>
      </c>
      <c r="AT896" t="s">
        <v>5386</v>
      </c>
      <c r="AU896">
        <v>2022</v>
      </c>
      <c r="AV896">
        <v>62</v>
      </c>
      <c r="AW896">
        <v>8</v>
      </c>
      <c r="AX896" t="s">
        <v>74</v>
      </c>
      <c r="AY896" t="s">
        <v>74</v>
      </c>
      <c r="AZ896" t="s">
        <v>74</v>
      </c>
      <c r="BA896" t="s">
        <v>74</v>
      </c>
      <c r="BB896">
        <v>984</v>
      </c>
      <c r="BC896">
        <v>994</v>
      </c>
      <c r="BD896" t="s">
        <v>74</v>
      </c>
      <c r="BE896" t="s">
        <v>17361</v>
      </c>
      <c r="BF896" t="str">
        <f>HYPERLINK("http://dx.doi.org/10.1002/jobm.202100692","http://dx.doi.org/10.1002/jobm.202100692")</f>
        <v>http://dx.doi.org/10.1002/jobm.202100692</v>
      </c>
      <c r="BG896" t="s">
        <v>74</v>
      </c>
      <c r="BH896" t="s">
        <v>17025</v>
      </c>
      <c r="BI896">
        <v>11</v>
      </c>
      <c r="BJ896" t="s">
        <v>214</v>
      </c>
      <c r="BK896" t="s">
        <v>100</v>
      </c>
      <c r="BL896" t="s">
        <v>214</v>
      </c>
      <c r="BM896" t="s">
        <v>17362</v>
      </c>
      <c r="BN896">
        <v>35762735</v>
      </c>
      <c r="BO896" t="s">
        <v>74</v>
      </c>
      <c r="BP896" t="s">
        <v>74</v>
      </c>
      <c r="BQ896" t="s">
        <v>74</v>
      </c>
      <c r="BR896" t="s">
        <v>103</v>
      </c>
      <c r="BS896" t="s">
        <v>17363</v>
      </c>
      <c r="BT896" t="str">
        <f>HYPERLINK("https%3A%2F%2Fwww.webofscience.com%2Fwos%2Fwoscc%2Ffull-record%2FWOS:000817196700001","View Full Record in Web of Science")</f>
        <v>View Full Record in Web of Science</v>
      </c>
    </row>
    <row r="897" spans="1:72" x14ac:dyDescent="0.15">
      <c r="A897" t="s">
        <v>72</v>
      </c>
      <c r="B897" t="s">
        <v>17364</v>
      </c>
      <c r="C897" t="s">
        <v>74</v>
      </c>
      <c r="D897" t="s">
        <v>74</v>
      </c>
      <c r="E897" t="s">
        <v>74</v>
      </c>
      <c r="F897" t="s">
        <v>17365</v>
      </c>
      <c r="G897" t="s">
        <v>74</v>
      </c>
      <c r="H897" t="s">
        <v>74</v>
      </c>
      <c r="I897" t="s">
        <v>17366</v>
      </c>
      <c r="J897" t="s">
        <v>3613</v>
      </c>
      <c r="K897" t="s">
        <v>74</v>
      </c>
      <c r="L897" t="s">
        <v>74</v>
      </c>
      <c r="M897" t="s">
        <v>78</v>
      </c>
      <c r="N897" t="s">
        <v>79</v>
      </c>
      <c r="O897" t="s">
        <v>74</v>
      </c>
      <c r="P897" t="s">
        <v>74</v>
      </c>
      <c r="Q897" t="s">
        <v>74</v>
      </c>
      <c r="R897" t="s">
        <v>74</v>
      </c>
      <c r="S897" t="s">
        <v>74</v>
      </c>
      <c r="T897" t="s">
        <v>17367</v>
      </c>
      <c r="U897" t="s">
        <v>17368</v>
      </c>
      <c r="V897" t="s">
        <v>17369</v>
      </c>
      <c r="W897" t="s">
        <v>17370</v>
      </c>
      <c r="X897" t="s">
        <v>17371</v>
      </c>
      <c r="Y897" t="s">
        <v>17372</v>
      </c>
      <c r="Z897" t="s">
        <v>17373</v>
      </c>
      <c r="AA897" t="s">
        <v>17374</v>
      </c>
      <c r="AB897" t="s">
        <v>17375</v>
      </c>
      <c r="AC897" t="s">
        <v>17376</v>
      </c>
      <c r="AD897" t="s">
        <v>17377</v>
      </c>
      <c r="AE897" t="s">
        <v>17378</v>
      </c>
      <c r="AF897" t="s">
        <v>74</v>
      </c>
      <c r="AG897">
        <v>66</v>
      </c>
      <c r="AH897">
        <v>1</v>
      </c>
      <c r="AI897">
        <v>1</v>
      </c>
      <c r="AJ897">
        <v>1</v>
      </c>
      <c r="AK897">
        <v>8</v>
      </c>
      <c r="AL897" t="s">
        <v>231</v>
      </c>
      <c r="AM897" t="s">
        <v>232</v>
      </c>
      <c r="AN897" t="s">
        <v>233</v>
      </c>
      <c r="AO897" t="s">
        <v>3621</v>
      </c>
      <c r="AP897" t="s">
        <v>3622</v>
      </c>
      <c r="AQ897" t="s">
        <v>74</v>
      </c>
      <c r="AR897" t="s">
        <v>3623</v>
      </c>
      <c r="AS897" t="s">
        <v>3624</v>
      </c>
      <c r="AT897" t="s">
        <v>428</v>
      </c>
      <c r="AU897">
        <v>2022</v>
      </c>
      <c r="AV897">
        <v>38</v>
      </c>
      <c r="AW897">
        <v>4</v>
      </c>
      <c r="AX897" t="s">
        <v>74</v>
      </c>
      <c r="AY897" t="s">
        <v>74</v>
      </c>
      <c r="AZ897" t="s">
        <v>74</v>
      </c>
      <c r="BA897" t="s">
        <v>74</v>
      </c>
      <c r="BB897">
        <v>1425</v>
      </c>
      <c r="BC897">
        <v>1441</v>
      </c>
      <c r="BD897" t="s">
        <v>74</v>
      </c>
      <c r="BE897" t="s">
        <v>17379</v>
      </c>
      <c r="BF897" t="str">
        <f>HYPERLINK("http://dx.doi.org/10.1111/mms.12946","http://dx.doi.org/10.1111/mms.12946")</f>
        <v>http://dx.doi.org/10.1111/mms.12946</v>
      </c>
      <c r="BG897" t="s">
        <v>74</v>
      </c>
      <c r="BH897" t="s">
        <v>17025</v>
      </c>
      <c r="BI897">
        <v>17</v>
      </c>
      <c r="BJ897" t="s">
        <v>697</v>
      </c>
      <c r="BK897" t="s">
        <v>100</v>
      </c>
      <c r="BL897" t="s">
        <v>697</v>
      </c>
      <c r="BM897" t="s">
        <v>17380</v>
      </c>
      <c r="BN897" t="s">
        <v>74</v>
      </c>
      <c r="BO897" t="s">
        <v>74</v>
      </c>
      <c r="BP897" t="s">
        <v>74</v>
      </c>
      <c r="BQ897" t="s">
        <v>74</v>
      </c>
      <c r="BR897" t="s">
        <v>103</v>
      </c>
      <c r="BS897" t="s">
        <v>17381</v>
      </c>
      <c r="BT897" t="str">
        <f>HYPERLINK("https%3A%2F%2Fwww.webofscience.com%2Fwos%2Fwoscc%2Ffull-record%2FWOS:000817136000001","View Full Record in Web of Science")</f>
        <v>View Full Record in Web of Science</v>
      </c>
    </row>
    <row r="898" spans="1:72" x14ac:dyDescent="0.15">
      <c r="A898" t="s">
        <v>72</v>
      </c>
      <c r="B898" t="s">
        <v>17382</v>
      </c>
      <c r="C898" t="s">
        <v>74</v>
      </c>
      <c r="D898" t="s">
        <v>74</v>
      </c>
      <c r="E898" t="s">
        <v>74</v>
      </c>
      <c r="F898" t="s">
        <v>17383</v>
      </c>
      <c r="G898" t="s">
        <v>74</v>
      </c>
      <c r="H898" t="s">
        <v>74</v>
      </c>
      <c r="I898" t="s">
        <v>17384</v>
      </c>
      <c r="J898" t="s">
        <v>8472</v>
      </c>
      <c r="K898" t="s">
        <v>74</v>
      </c>
      <c r="L898" t="s">
        <v>74</v>
      </c>
      <c r="M898" t="s">
        <v>78</v>
      </c>
      <c r="N898" t="s">
        <v>79</v>
      </c>
      <c r="O898" t="s">
        <v>74</v>
      </c>
      <c r="P898" t="s">
        <v>74</v>
      </c>
      <c r="Q898" t="s">
        <v>74</v>
      </c>
      <c r="R898" t="s">
        <v>74</v>
      </c>
      <c r="S898" t="s">
        <v>74</v>
      </c>
      <c r="T898" t="s">
        <v>17385</v>
      </c>
      <c r="U898" t="s">
        <v>17386</v>
      </c>
      <c r="V898" t="s">
        <v>17387</v>
      </c>
      <c r="W898" t="s">
        <v>17388</v>
      </c>
      <c r="X898" t="s">
        <v>17389</v>
      </c>
      <c r="Y898" t="s">
        <v>17390</v>
      </c>
      <c r="Z898" t="s">
        <v>17391</v>
      </c>
      <c r="AA898" t="s">
        <v>17392</v>
      </c>
      <c r="AB898" t="s">
        <v>17393</v>
      </c>
      <c r="AC898" t="s">
        <v>17394</v>
      </c>
      <c r="AD898" t="s">
        <v>17395</v>
      </c>
      <c r="AE898" t="s">
        <v>17396</v>
      </c>
      <c r="AF898" t="s">
        <v>74</v>
      </c>
      <c r="AG898">
        <v>88</v>
      </c>
      <c r="AH898">
        <v>5</v>
      </c>
      <c r="AI898">
        <v>6</v>
      </c>
      <c r="AJ898">
        <v>7</v>
      </c>
      <c r="AK898">
        <v>31</v>
      </c>
      <c r="AL898" t="s">
        <v>178</v>
      </c>
      <c r="AM898" t="s">
        <v>450</v>
      </c>
      <c r="AN898" t="s">
        <v>668</v>
      </c>
      <c r="AO898" t="s">
        <v>8484</v>
      </c>
      <c r="AP898" t="s">
        <v>8485</v>
      </c>
      <c r="AQ898" t="s">
        <v>74</v>
      </c>
      <c r="AR898" t="s">
        <v>8486</v>
      </c>
      <c r="AS898" t="s">
        <v>8487</v>
      </c>
      <c r="AT898" t="s">
        <v>8743</v>
      </c>
      <c r="AU898">
        <v>2023</v>
      </c>
      <c r="AV898">
        <v>60</v>
      </c>
      <c r="AW898" t="s">
        <v>12800</v>
      </c>
      <c r="AX898" t="s">
        <v>74</v>
      </c>
      <c r="AY898" t="s">
        <v>74</v>
      </c>
      <c r="AZ898" t="s">
        <v>74</v>
      </c>
      <c r="BA898" t="s">
        <v>74</v>
      </c>
      <c r="BB898">
        <v>1313</v>
      </c>
      <c r="BC898">
        <v>1327</v>
      </c>
      <c r="BD898" t="s">
        <v>74</v>
      </c>
      <c r="BE898" t="s">
        <v>17397</v>
      </c>
      <c r="BF898" t="str">
        <f>HYPERLINK("http://dx.doi.org/10.1007/s00382-022-06364-4","http://dx.doi.org/10.1007/s00382-022-06364-4")</f>
        <v>http://dx.doi.org/10.1007/s00382-022-06364-4</v>
      </c>
      <c r="BG898" t="s">
        <v>74</v>
      </c>
      <c r="BH898" t="s">
        <v>17025</v>
      </c>
      <c r="BI898">
        <v>15</v>
      </c>
      <c r="BJ898" t="s">
        <v>457</v>
      </c>
      <c r="BK898" t="s">
        <v>100</v>
      </c>
      <c r="BL898" t="s">
        <v>457</v>
      </c>
      <c r="BM898" t="s">
        <v>17398</v>
      </c>
      <c r="BN898" t="s">
        <v>74</v>
      </c>
      <c r="BO898" t="s">
        <v>74</v>
      </c>
      <c r="BP898" t="s">
        <v>74</v>
      </c>
      <c r="BQ898" t="s">
        <v>74</v>
      </c>
      <c r="BR898" t="s">
        <v>103</v>
      </c>
      <c r="BS898" t="s">
        <v>17399</v>
      </c>
      <c r="BT898" t="str">
        <f>HYPERLINK("https%3A%2F%2Fwww.webofscience.com%2Fwos%2Fwoscc%2Ffull-record%2FWOS:000817030400001","View Full Record in Web of Science")</f>
        <v>View Full Record in Web of Science</v>
      </c>
    </row>
    <row r="899" spans="1:72" x14ac:dyDescent="0.15">
      <c r="A899" t="s">
        <v>72</v>
      </c>
      <c r="B899" t="s">
        <v>17400</v>
      </c>
      <c r="C899" t="s">
        <v>74</v>
      </c>
      <c r="D899" t="s">
        <v>74</v>
      </c>
      <c r="E899" t="s">
        <v>74</v>
      </c>
      <c r="F899" t="s">
        <v>17401</v>
      </c>
      <c r="G899" t="s">
        <v>74</v>
      </c>
      <c r="H899" t="s">
        <v>74</v>
      </c>
      <c r="I899" t="s">
        <v>17402</v>
      </c>
      <c r="J899" t="s">
        <v>2551</v>
      </c>
      <c r="K899" t="s">
        <v>74</v>
      </c>
      <c r="L899" t="s">
        <v>74</v>
      </c>
      <c r="M899" t="s">
        <v>78</v>
      </c>
      <c r="N899" t="s">
        <v>79</v>
      </c>
      <c r="O899" t="s">
        <v>74</v>
      </c>
      <c r="P899" t="s">
        <v>74</v>
      </c>
      <c r="Q899" t="s">
        <v>74</v>
      </c>
      <c r="R899" t="s">
        <v>74</v>
      </c>
      <c r="S899" t="s">
        <v>74</v>
      </c>
      <c r="T899" t="s">
        <v>17403</v>
      </c>
      <c r="U899" t="s">
        <v>17404</v>
      </c>
      <c r="V899" t="s">
        <v>17405</v>
      </c>
      <c r="W899" t="s">
        <v>17406</v>
      </c>
      <c r="X899" t="s">
        <v>17407</v>
      </c>
      <c r="Y899" t="s">
        <v>17408</v>
      </c>
      <c r="Z899" t="s">
        <v>17409</v>
      </c>
      <c r="AA899" t="s">
        <v>17410</v>
      </c>
      <c r="AB899" t="s">
        <v>17411</v>
      </c>
      <c r="AC899" t="s">
        <v>17412</v>
      </c>
      <c r="AD899" t="s">
        <v>17413</v>
      </c>
      <c r="AE899" t="s">
        <v>17414</v>
      </c>
      <c r="AF899" t="s">
        <v>74</v>
      </c>
      <c r="AG899">
        <v>53</v>
      </c>
      <c r="AH899">
        <v>12</v>
      </c>
      <c r="AI899">
        <v>12</v>
      </c>
      <c r="AJ899">
        <v>2</v>
      </c>
      <c r="AK899">
        <v>13</v>
      </c>
      <c r="AL899" t="s">
        <v>946</v>
      </c>
      <c r="AM899" t="s">
        <v>207</v>
      </c>
      <c r="AN899" t="s">
        <v>947</v>
      </c>
      <c r="AO899" t="s">
        <v>2563</v>
      </c>
      <c r="AP899" t="s">
        <v>2564</v>
      </c>
      <c r="AQ899" t="s">
        <v>74</v>
      </c>
      <c r="AR899" t="s">
        <v>2565</v>
      </c>
      <c r="AS899" t="s">
        <v>2566</v>
      </c>
      <c r="AT899" t="s">
        <v>17246</v>
      </c>
      <c r="AU899">
        <v>2022</v>
      </c>
      <c r="AV899">
        <v>49</v>
      </c>
      <c r="AW899">
        <v>12</v>
      </c>
      <c r="AX899" t="s">
        <v>74</v>
      </c>
      <c r="AY899" t="s">
        <v>74</v>
      </c>
      <c r="AZ899" t="s">
        <v>74</v>
      </c>
      <c r="BA899" t="s">
        <v>74</v>
      </c>
      <c r="BB899" t="s">
        <v>74</v>
      </c>
      <c r="BC899" t="s">
        <v>74</v>
      </c>
      <c r="BD899" t="s">
        <v>17415</v>
      </c>
      <c r="BE899" t="s">
        <v>17416</v>
      </c>
      <c r="BF899" t="str">
        <f>HYPERLINK("http://dx.doi.org/10.1029/2021GL097616","http://dx.doi.org/10.1029/2021GL097616")</f>
        <v>http://dx.doi.org/10.1029/2021GL097616</v>
      </c>
      <c r="BG899" t="s">
        <v>74</v>
      </c>
      <c r="BH899" t="s">
        <v>74</v>
      </c>
      <c r="BI899">
        <v>10</v>
      </c>
      <c r="BJ899" t="s">
        <v>129</v>
      </c>
      <c r="BK899" t="s">
        <v>100</v>
      </c>
      <c r="BL899" t="s">
        <v>130</v>
      </c>
      <c r="BM899" t="s">
        <v>17417</v>
      </c>
      <c r="BN899" t="s">
        <v>74</v>
      </c>
      <c r="BO899" t="s">
        <v>2512</v>
      </c>
      <c r="BP899" t="s">
        <v>74</v>
      </c>
      <c r="BQ899" t="s">
        <v>74</v>
      </c>
      <c r="BR899" t="s">
        <v>103</v>
      </c>
      <c r="BS899" t="s">
        <v>17418</v>
      </c>
      <c r="BT899" t="str">
        <f>HYPERLINK("https%3A%2F%2Fwww.webofscience.com%2Fwos%2Fwoscc%2Ffull-record%2FWOS:000812250500001","View Full Record in Web of Science")</f>
        <v>View Full Record in Web of Science</v>
      </c>
    </row>
    <row r="900" spans="1:72" x14ac:dyDescent="0.15">
      <c r="A900" t="s">
        <v>72</v>
      </c>
      <c r="B900" t="s">
        <v>17419</v>
      </c>
      <c r="C900" t="s">
        <v>74</v>
      </c>
      <c r="D900" t="s">
        <v>74</v>
      </c>
      <c r="E900" t="s">
        <v>74</v>
      </c>
      <c r="F900" t="s">
        <v>17420</v>
      </c>
      <c r="G900" t="s">
        <v>74</v>
      </c>
      <c r="H900" t="s">
        <v>74</v>
      </c>
      <c r="I900" t="s">
        <v>17421</v>
      </c>
      <c r="J900" t="s">
        <v>2551</v>
      </c>
      <c r="K900" t="s">
        <v>74</v>
      </c>
      <c r="L900" t="s">
        <v>74</v>
      </c>
      <c r="M900" t="s">
        <v>78</v>
      </c>
      <c r="N900" t="s">
        <v>79</v>
      </c>
      <c r="O900" t="s">
        <v>74</v>
      </c>
      <c r="P900" t="s">
        <v>74</v>
      </c>
      <c r="Q900" t="s">
        <v>74</v>
      </c>
      <c r="R900" t="s">
        <v>74</v>
      </c>
      <c r="S900" t="s">
        <v>74</v>
      </c>
      <c r="T900" t="s">
        <v>17422</v>
      </c>
      <c r="U900" t="s">
        <v>17423</v>
      </c>
      <c r="V900" t="s">
        <v>17424</v>
      </c>
      <c r="W900" t="s">
        <v>17425</v>
      </c>
      <c r="X900" t="s">
        <v>17426</v>
      </c>
      <c r="Y900" t="s">
        <v>17427</v>
      </c>
      <c r="Z900" t="s">
        <v>17428</v>
      </c>
      <c r="AA900" t="s">
        <v>17429</v>
      </c>
      <c r="AB900" t="s">
        <v>17430</v>
      </c>
      <c r="AC900" t="s">
        <v>17431</v>
      </c>
      <c r="AD900" t="s">
        <v>17432</v>
      </c>
      <c r="AE900" t="s">
        <v>17433</v>
      </c>
      <c r="AF900" t="s">
        <v>74</v>
      </c>
      <c r="AG900">
        <v>91</v>
      </c>
      <c r="AH900">
        <v>7</v>
      </c>
      <c r="AI900">
        <v>7</v>
      </c>
      <c r="AJ900">
        <v>6</v>
      </c>
      <c r="AK900">
        <v>32</v>
      </c>
      <c r="AL900" t="s">
        <v>946</v>
      </c>
      <c r="AM900" t="s">
        <v>207</v>
      </c>
      <c r="AN900" t="s">
        <v>947</v>
      </c>
      <c r="AO900" t="s">
        <v>2563</v>
      </c>
      <c r="AP900" t="s">
        <v>2564</v>
      </c>
      <c r="AQ900" t="s">
        <v>74</v>
      </c>
      <c r="AR900" t="s">
        <v>2565</v>
      </c>
      <c r="AS900" t="s">
        <v>2566</v>
      </c>
      <c r="AT900" t="s">
        <v>17246</v>
      </c>
      <c r="AU900">
        <v>2022</v>
      </c>
      <c r="AV900">
        <v>49</v>
      </c>
      <c r="AW900">
        <v>12</v>
      </c>
      <c r="AX900" t="s">
        <v>74</v>
      </c>
      <c r="AY900" t="s">
        <v>74</v>
      </c>
      <c r="AZ900" t="s">
        <v>74</v>
      </c>
      <c r="BA900" t="s">
        <v>74</v>
      </c>
      <c r="BB900" t="s">
        <v>74</v>
      </c>
      <c r="BC900" t="s">
        <v>74</v>
      </c>
      <c r="BD900" t="s">
        <v>17434</v>
      </c>
      <c r="BE900" t="s">
        <v>17435</v>
      </c>
      <c r="BF900" t="str">
        <f>HYPERLINK("http://dx.doi.org/10.1029/2022GL098087","http://dx.doi.org/10.1029/2022GL098087")</f>
        <v>http://dx.doi.org/10.1029/2022GL098087</v>
      </c>
      <c r="BG900" t="s">
        <v>74</v>
      </c>
      <c r="BH900" t="s">
        <v>74</v>
      </c>
      <c r="BI900">
        <v>9</v>
      </c>
      <c r="BJ900" t="s">
        <v>129</v>
      </c>
      <c r="BK900" t="s">
        <v>100</v>
      </c>
      <c r="BL900" t="s">
        <v>130</v>
      </c>
      <c r="BM900" t="s">
        <v>17436</v>
      </c>
      <c r="BN900" t="s">
        <v>74</v>
      </c>
      <c r="BO900" t="s">
        <v>2588</v>
      </c>
      <c r="BP900" t="s">
        <v>74</v>
      </c>
      <c r="BQ900" t="s">
        <v>74</v>
      </c>
      <c r="BR900" t="s">
        <v>103</v>
      </c>
      <c r="BS900" t="s">
        <v>17437</v>
      </c>
      <c r="BT900" t="str">
        <f>HYPERLINK("https%3A%2F%2Fwww.webofscience.com%2Fwos%2Fwoscc%2Ffull-record%2FWOS:000813553900001","View Full Record in Web of Science")</f>
        <v>View Full Record in Web of Science</v>
      </c>
    </row>
    <row r="901" spans="1:72" x14ac:dyDescent="0.15">
      <c r="A901" t="s">
        <v>72</v>
      </c>
      <c r="B901" t="s">
        <v>17438</v>
      </c>
      <c r="C901" t="s">
        <v>74</v>
      </c>
      <c r="D901" t="s">
        <v>74</v>
      </c>
      <c r="E901" t="s">
        <v>74</v>
      </c>
      <c r="F901" t="s">
        <v>17439</v>
      </c>
      <c r="G901" t="s">
        <v>74</v>
      </c>
      <c r="H901" t="s">
        <v>74</v>
      </c>
      <c r="I901" t="s">
        <v>17440</v>
      </c>
      <c r="J901" t="s">
        <v>2551</v>
      </c>
      <c r="K901" t="s">
        <v>74</v>
      </c>
      <c r="L901" t="s">
        <v>74</v>
      </c>
      <c r="M901" t="s">
        <v>78</v>
      </c>
      <c r="N901" t="s">
        <v>79</v>
      </c>
      <c r="O901" t="s">
        <v>74</v>
      </c>
      <c r="P901" t="s">
        <v>74</v>
      </c>
      <c r="Q901" t="s">
        <v>74</v>
      </c>
      <c r="R901" t="s">
        <v>74</v>
      </c>
      <c r="S901" t="s">
        <v>74</v>
      </c>
      <c r="T901" t="s">
        <v>17441</v>
      </c>
      <c r="U901" t="s">
        <v>17442</v>
      </c>
      <c r="V901" t="s">
        <v>17443</v>
      </c>
      <c r="W901" t="s">
        <v>17444</v>
      </c>
      <c r="X901" t="s">
        <v>17445</v>
      </c>
      <c r="Y901" t="s">
        <v>17446</v>
      </c>
      <c r="Z901" t="s">
        <v>17447</v>
      </c>
      <c r="AA901" t="s">
        <v>17448</v>
      </c>
      <c r="AB901" t="s">
        <v>17449</v>
      </c>
      <c r="AC901" t="s">
        <v>17450</v>
      </c>
      <c r="AD901" t="s">
        <v>17451</v>
      </c>
      <c r="AE901" t="s">
        <v>17452</v>
      </c>
      <c r="AF901" t="s">
        <v>74</v>
      </c>
      <c r="AG901">
        <v>33</v>
      </c>
      <c r="AH901">
        <v>51</v>
      </c>
      <c r="AI901">
        <v>60</v>
      </c>
      <c r="AJ901">
        <v>5</v>
      </c>
      <c r="AK901">
        <v>27</v>
      </c>
      <c r="AL901" t="s">
        <v>946</v>
      </c>
      <c r="AM901" t="s">
        <v>207</v>
      </c>
      <c r="AN901" t="s">
        <v>947</v>
      </c>
      <c r="AO901" t="s">
        <v>2563</v>
      </c>
      <c r="AP901" t="s">
        <v>2564</v>
      </c>
      <c r="AQ901" t="s">
        <v>74</v>
      </c>
      <c r="AR901" t="s">
        <v>2565</v>
      </c>
      <c r="AS901" t="s">
        <v>2566</v>
      </c>
      <c r="AT901" t="s">
        <v>17246</v>
      </c>
      <c r="AU901">
        <v>2022</v>
      </c>
      <c r="AV901">
        <v>49</v>
      </c>
      <c r="AW901">
        <v>12</v>
      </c>
      <c r="AX901" t="s">
        <v>74</v>
      </c>
      <c r="AY901" t="s">
        <v>74</v>
      </c>
      <c r="AZ901" t="s">
        <v>74</v>
      </c>
      <c r="BA901" t="s">
        <v>74</v>
      </c>
      <c r="BB901" t="s">
        <v>74</v>
      </c>
      <c r="BC901" t="s">
        <v>74</v>
      </c>
      <c r="BD901" t="s">
        <v>17453</v>
      </c>
      <c r="BE901" t="s">
        <v>17454</v>
      </c>
      <c r="BF901" t="str">
        <f>HYPERLINK("http://dx.doi.org/10.1029/2022GL098904","http://dx.doi.org/10.1029/2022GL098904")</f>
        <v>http://dx.doi.org/10.1029/2022GL098904</v>
      </c>
      <c r="BG901" t="s">
        <v>74</v>
      </c>
      <c r="BH901" t="s">
        <v>74</v>
      </c>
      <c r="BI901">
        <v>11</v>
      </c>
      <c r="BJ901" t="s">
        <v>129</v>
      </c>
      <c r="BK901" t="s">
        <v>100</v>
      </c>
      <c r="BL901" t="s">
        <v>130</v>
      </c>
      <c r="BM901" t="s">
        <v>17455</v>
      </c>
      <c r="BN901" t="s">
        <v>74</v>
      </c>
      <c r="BO901" t="s">
        <v>4217</v>
      </c>
      <c r="BP901" t="s">
        <v>4887</v>
      </c>
      <c r="BQ901" t="s">
        <v>17456</v>
      </c>
      <c r="BR901" t="s">
        <v>103</v>
      </c>
      <c r="BS901" t="s">
        <v>17457</v>
      </c>
      <c r="BT901" t="str">
        <f>HYPERLINK("https%3A%2F%2Fwww.webofscience.com%2Fwos%2Fwoscc%2Ffull-record%2FWOS:000812255600001","View Full Record in Web of Science")</f>
        <v>View Full Record in Web of Science</v>
      </c>
    </row>
    <row r="902" spans="1:72" x14ac:dyDescent="0.15">
      <c r="A902" t="s">
        <v>72</v>
      </c>
      <c r="B902" t="s">
        <v>17458</v>
      </c>
      <c r="C902" t="s">
        <v>74</v>
      </c>
      <c r="D902" t="s">
        <v>74</v>
      </c>
      <c r="E902" t="s">
        <v>74</v>
      </c>
      <c r="F902" t="s">
        <v>17459</v>
      </c>
      <c r="G902" t="s">
        <v>74</v>
      </c>
      <c r="H902" t="s">
        <v>74</v>
      </c>
      <c r="I902" t="s">
        <v>17460</v>
      </c>
      <c r="J902" t="s">
        <v>247</v>
      </c>
      <c r="K902" t="s">
        <v>74</v>
      </c>
      <c r="L902" t="s">
        <v>74</v>
      </c>
      <c r="M902" t="s">
        <v>78</v>
      </c>
      <c r="N902" t="s">
        <v>165</v>
      </c>
      <c r="O902" t="s">
        <v>74</v>
      </c>
      <c r="P902" t="s">
        <v>74</v>
      </c>
      <c r="Q902" t="s">
        <v>74</v>
      </c>
      <c r="R902" t="s">
        <v>74</v>
      </c>
      <c r="S902" t="s">
        <v>74</v>
      </c>
      <c r="T902" t="s">
        <v>17461</v>
      </c>
      <c r="U902" t="s">
        <v>17462</v>
      </c>
      <c r="V902" t="s">
        <v>17463</v>
      </c>
      <c r="W902" t="s">
        <v>17464</v>
      </c>
      <c r="X902" t="s">
        <v>17465</v>
      </c>
      <c r="Y902" t="s">
        <v>17466</v>
      </c>
      <c r="Z902" t="s">
        <v>17467</v>
      </c>
      <c r="AA902" t="s">
        <v>17468</v>
      </c>
      <c r="AB902" t="s">
        <v>17469</v>
      </c>
      <c r="AC902" t="s">
        <v>74</v>
      </c>
      <c r="AD902" t="s">
        <v>74</v>
      </c>
      <c r="AE902" t="s">
        <v>74</v>
      </c>
      <c r="AF902" t="s">
        <v>74</v>
      </c>
      <c r="AG902">
        <v>91</v>
      </c>
      <c r="AH902">
        <v>5</v>
      </c>
      <c r="AI902">
        <v>5</v>
      </c>
      <c r="AJ902">
        <v>4</v>
      </c>
      <c r="AK902">
        <v>21</v>
      </c>
      <c r="AL902" t="s">
        <v>121</v>
      </c>
      <c r="AM902" t="s">
        <v>122</v>
      </c>
      <c r="AN902" t="s">
        <v>123</v>
      </c>
      <c r="AO902" t="s">
        <v>74</v>
      </c>
      <c r="AP902" t="s">
        <v>258</v>
      </c>
      <c r="AQ902" t="s">
        <v>74</v>
      </c>
      <c r="AR902" t="s">
        <v>259</v>
      </c>
      <c r="AS902" t="s">
        <v>260</v>
      </c>
      <c r="AT902" t="s">
        <v>17470</v>
      </c>
      <c r="AU902">
        <v>2022</v>
      </c>
      <c r="AV902">
        <v>9</v>
      </c>
      <c r="AW902" t="s">
        <v>74</v>
      </c>
      <c r="AX902" t="s">
        <v>74</v>
      </c>
      <c r="AY902" t="s">
        <v>74</v>
      </c>
      <c r="AZ902" t="s">
        <v>74</v>
      </c>
      <c r="BA902" t="s">
        <v>74</v>
      </c>
      <c r="BB902" t="s">
        <v>74</v>
      </c>
      <c r="BC902" t="s">
        <v>74</v>
      </c>
      <c r="BD902">
        <v>870145</v>
      </c>
      <c r="BE902" t="s">
        <v>17471</v>
      </c>
      <c r="BF902" t="str">
        <f>HYPERLINK("http://dx.doi.org/10.3389/fmars.2022.870145","http://dx.doi.org/10.3389/fmars.2022.870145")</f>
        <v>http://dx.doi.org/10.3389/fmars.2022.870145</v>
      </c>
      <c r="BG902" t="s">
        <v>74</v>
      </c>
      <c r="BH902" t="s">
        <v>74</v>
      </c>
      <c r="BI902">
        <v>12</v>
      </c>
      <c r="BJ902" t="s">
        <v>263</v>
      </c>
      <c r="BK902" t="s">
        <v>100</v>
      </c>
      <c r="BL902" t="s">
        <v>264</v>
      </c>
      <c r="BM902" t="s">
        <v>17472</v>
      </c>
      <c r="BN902" t="s">
        <v>74</v>
      </c>
      <c r="BO902" t="s">
        <v>132</v>
      </c>
      <c r="BP902" t="s">
        <v>74</v>
      </c>
      <c r="BQ902" t="s">
        <v>74</v>
      </c>
      <c r="BR902" t="s">
        <v>103</v>
      </c>
      <c r="BS902" t="s">
        <v>17473</v>
      </c>
      <c r="BT902" t="str">
        <f>HYPERLINK("https%3A%2F%2Fwww.webofscience.com%2Fwos%2Fwoscc%2Ffull-record%2FWOS:000838304700001","View Full Record in Web of Science")</f>
        <v>View Full Record in Web of Science</v>
      </c>
    </row>
    <row r="903" spans="1:72" x14ac:dyDescent="0.15">
      <c r="A903" t="s">
        <v>72</v>
      </c>
      <c r="B903" t="s">
        <v>17474</v>
      </c>
      <c r="C903" t="s">
        <v>74</v>
      </c>
      <c r="D903" t="s">
        <v>74</v>
      </c>
      <c r="E903" t="s">
        <v>74</v>
      </c>
      <c r="F903" t="s">
        <v>17475</v>
      </c>
      <c r="G903" t="s">
        <v>74</v>
      </c>
      <c r="H903" t="s">
        <v>17476</v>
      </c>
      <c r="I903" t="s">
        <v>17477</v>
      </c>
      <c r="J903" t="s">
        <v>2891</v>
      </c>
      <c r="K903" t="s">
        <v>74</v>
      </c>
      <c r="L903" t="s">
        <v>74</v>
      </c>
      <c r="M903" t="s">
        <v>78</v>
      </c>
      <c r="N903" t="s">
        <v>79</v>
      </c>
      <c r="O903" t="s">
        <v>74</v>
      </c>
      <c r="P903" t="s">
        <v>74</v>
      </c>
      <c r="Q903" t="s">
        <v>74</v>
      </c>
      <c r="R903" t="s">
        <v>74</v>
      </c>
      <c r="S903" t="s">
        <v>74</v>
      </c>
      <c r="T903" t="s">
        <v>74</v>
      </c>
      <c r="U903" t="s">
        <v>17478</v>
      </c>
      <c r="V903" t="s">
        <v>17479</v>
      </c>
      <c r="W903" t="s">
        <v>17480</v>
      </c>
      <c r="X903" t="s">
        <v>17481</v>
      </c>
      <c r="Y903" t="s">
        <v>17482</v>
      </c>
      <c r="Z903" t="s">
        <v>17483</v>
      </c>
      <c r="AA903" t="s">
        <v>17484</v>
      </c>
      <c r="AB903" t="s">
        <v>17485</v>
      </c>
      <c r="AC903" t="s">
        <v>17486</v>
      </c>
      <c r="AD903" t="s">
        <v>17487</v>
      </c>
      <c r="AE903" t="s">
        <v>17488</v>
      </c>
      <c r="AF903" t="s">
        <v>74</v>
      </c>
      <c r="AG903">
        <v>42</v>
      </c>
      <c r="AH903">
        <v>3</v>
      </c>
      <c r="AI903">
        <v>3</v>
      </c>
      <c r="AJ903">
        <v>0</v>
      </c>
      <c r="AK903">
        <v>1</v>
      </c>
      <c r="AL903" t="s">
        <v>2900</v>
      </c>
      <c r="AM903" t="s">
        <v>2901</v>
      </c>
      <c r="AN903" t="s">
        <v>2902</v>
      </c>
      <c r="AO903" t="s">
        <v>2903</v>
      </c>
      <c r="AP903" t="s">
        <v>2904</v>
      </c>
      <c r="AQ903" t="s">
        <v>74</v>
      </c>
      <c r="AR903" t="s">
        <v>2905</v>
      </c>
      <c r="AS903" t="s">
        <v>2906</v>
      </c>
      <c r="AT903" t="s">
        <v>17470</v>
      </c>
      <c r="AU903">
        <v>2022</v>
      </c>
      <c r="AV903">
        <v>105</v>
      </c>
      <c r="AW903">
        <v>12</v>
      </c>
      <c r="AX903" t="s">
        <v>74</v>
      </c>
      <c r="AY903" t="s">
        <v>74</v>
      </c>
      <c r="AZ903" t="s">
        <v>74</v>
      </c>
      <c r="BA903" t="s">
        <v>74</v>
      </c>
      <c r="BB903" t="s">
        <v>74</v>
      </c>
      <c r="BC903" t="s">
        <v>74</v>
      </c>
      <c r="BD903">
        <v>122006</v>
      </c>
      <c r="BE903" t="s">
        <v>17489</v>
      </c>
      <c r="BF903" t="str">
        <f>HYPERLINK("http://dx.doi.org/10.1103/PhysRevD.105.122006","http://dx.doi.org/10.1103/PhysRevD.105.122006")</f>
        <v>http://dx.doi.org/10.1103/PhysRevD.105.122006</v>
      </c>
      <c r="BG903" t="s">
        <v>74</v>
      </c>
      <c r="BH903" t="s">
        <v>74</v>
      </c>
      <c r="BI903">
        <v>15</v>
      </c>
      <c r="BJ903" t="s">
        <v>2908</v>
      </c>
      <c r="BK903" t="s">
        <v>100</v>
      </c>
      <c r="BL903" t="s">
        <v>2909</v>
      </c>
      <c r="BM903" t="s">
        <v>17490</v>
      </c>
      <c r="BN903" t="s">
        <v>74</v>
      </c>
      <c r="BO903" t="s">
        <v>1779</v>
      </c>
      <c r="BP903" t="s">
        <v>74</v>
      </c>
      <c r="BQ903" t="s">
        <v>74</v>
      </c>
      <c r="BR903" t="s">
        <v>103</v>
      </c>
      <c r="BS903" t="s">
        <v>17491</v>
      </c>
      <c r="BT903" t="str">
        <f>HYPERLINK("https%3A%2F%2Fwww.webofscience.com%2Fwos%2Fwoscc%2Ffull-record%2FWOS:000835379100002","View Full Record in Web of Science")</f>
        <v>View Full Record in Web of Science</v>
      </c>
    </row>
    <row r="904" spans="1:72" x14ac:dyDescent="0.15">
      <c r="A904" t="s">
        <v>72</v>
      </c>
      <c r="B904" t="s">
        <v>17492</v>
      </c>
      <c r="C904" t="s">
        <v>74</v>
      </c>
      <c r="D904" t="s">
        <v>74</v>
      </c>
      <c r="E904" t="s">
        <v>74</v>
      </c>
      <c r="F904" t="s">
        <v>17493</v>
      </c>
      <c r="G904" t="s">
        <v>74</v>
      </c>
      <c r="H904" t="s">
        <v>74</v>
      </c>
      <c r="I904" t="s">
        <v>17494</v>
      </c>
      <c r="J904" t="s">
        <v>12311</v>
      </c>
      <c r="K904" t="s">
        <v>74</v>
      </c>
      <c r="L904" t="s">
        <v>74</v>
      </c>
      <c r="M904" t="s">
        <v>78</v>
      </c>
      <c r="N904" t="s">
        <v>79</v>
      </c>
      <c r="O904" t="s">
        <v>74</v>
      </c>
      <c r="P904" t="s">
        <v>74</v>
      </c>
      <c r="Q904" t="s">
        <v>74</v>
      </c>
      <c r="R904" t="s">
        <v>74</v>
      </c>
      <c r="S904" t="s">
        <v>74</v>
      </c>
      <c r="T904" t="s">
        <v>74</v>
      </c>
      <c r="U904" t="s">
        <v>17495</v>
      </c>
      <c r="V904" t="s">
        <v>17496</v>
      </c>
      <c r="W904" t="s">
        <v>17497</v>
      </c>
      <c r="X904" t="s">
        <v>17498</v>
      </c>
      <c r="Y904" t="s">
        <v>17499</v>
      </c>
      <c r="Z904" t="s">
        <v>17500</v>
      </c>
      <c r="AA904" t="s">
        <v>17501</v>
      </c>
      <c r="AB904" t="s">
        <v>17502</v>
      </c>
      <c r="AC904" t="s">
        <v>17503</v>
      </c>
      <c r="AD904" t="s">
        <v>2200</v>
      </c>
      <c r="AE904" t="s">
        <v>17504</v>
      </c>
      <c r="AF904" t="s">
        <v>74</v>
      </c>
      <c r="AG904">
        <v>56</v>
      </c>
      <c r="AH904">
        <v>3</v>
      </c>
      <c r="AI904">
        <v>3</v>
      </c>
      <c r="AJ904">
        <v>0</v>
      </c>
      <c r="AK904">
        <v>6</v>
      </c>
      <c r="AL904" t="s">
        <v>2876</v>
      </c>
      <c r="AM904" t="s">
        <v>346</v>
      </c>
      <c r="AN904" t="s">
        <v>2877</v>
      </c>
      <c r="AO904" t="s">
        <v>74</v>
      </c>
      <c r="AP904" t="s">
        <v>12323</v>
      </c>
      <c r="AQ904" t="s">
        <v>74</v>
      </c>
      <c r="AR904" t="s">
        <v>12311</v>
      </c>
      <c r="AS904" t="s">
        <v>12324</v>
      </c>
      <c r="AT904" t="s">
        <v>14065</v>
      </c>
      <c r="AU904">
        <v>2022</v>
      </c>
      <c r="AV904">
        <v>25</v>
      </c>
      <c r="AW904">
        <v>7</v>
      </c>
      <c r="AX904" t="s">
        <v>74</v>
      </c>
      <c r="AY904" t="s">
        <v>74</v>
      </c>
      <c r="AZ904" t="s">
        <v>74</v>
      </c>
      <c r="BA904" t="s">
        <v>74</v>
      </c>
      <c r="BB904" t="s">
        <v>74</v>
      </c>
      <c r="BC904" t="s">
        <v>74</v>
      </c>
      <c r="BD904">
        <v>104588</v>
      </c>
      <c r="BE904" t="s">
        <v>17505</v>
      </c>
      <c r="BF904" t="str">
        <f>HYPERLINK("http://dx.doi.org/10.1016/j.isci.2022.104588","http://dx.doi.org/10.1016/j.isci.2022.104588")</f>
        <v>http://dx.doi.org/10.1016/j.isci.2022.104588</v>
      </c>
      <c r="BG904" t="s">
        <v>74</v>
      </c>
      <c r="BH904" t="s">
        <v>17025</v>
      </c>
      <c r="BI904">
        <v>20</v>
      </c>
      <c r="BJ904" t="s">
        <v>156</v>
      </c>
      <c r="BK904" t="s">
        <v>100</v>
      </c>
      <c r="BL904" t="s">
        <v>157</v>
      </c>
      <c r="BM904" t="s">
        <v>17506</v>
      </c>
      <c r="BN904">
        <v>35800770</v>
      </c>
      <c r="BO904" t="s">
        <v>132</v>
      </c>
      <c r="BP904" t="s">
        <v>74</v>
      </c>
      <c r="BQ904" t="s">
        <v>74</v>
      </c>
      <c r="BR904" t="s">
        <v>103</v>
      </c>
      <c r="BS904" t="s">
        <v>17507</v>
      </c>
      <c r="BT904" t="str">
        <f>HYPERLINK("https%3A%2F%2Fwww.webofscience.com%2Fwos%2Fwoscc%2Ffull-record%2FWOS:000828647700001","View Full Record in Web of Science")</f>
        <v>View Full Record in Web of Science</v>
      </c>
    </row>
    <row r="905" spans="1:72" x14ac:dyDescent="0.15">
      <c r="A905" t="s">
        <v>72</v>
      </c>
      <c r="B905" t="s">
        <v>17508</v>
      </c>
      <c r="C905" t="s">
        <v>74</v>
      </c>
      <c r="D905" t="s">
        <v>74</v>
      </c>
      <c r="E905" t="s">
        <v>74</v>
      </c>
      <c r="F905" t="s">
        <v>17509</v>
      </c>
      <c r="G905" t="s">
        <v>74</v>
      </c>
      <c r="H905" t="s">
        <v>74</v>
      </c>
      <c r="I905" t="s">
        <v>17510</v>
      </c>
      <c r="J905" t="s">
        <v>12764</v>
      </c>
      <c r="K905" t="s">
        <v>74</v>
      </c>
      <c r="L905" t="s">
        <v>74</v>
      </c>
      <c r="M905" t="s">
        <v>78</v>
      </c>
      <c r="N905" t="s">
        <v>79</v>
      </c>
      <c r="O905" t="s">
        <v>74</v>
      </c>
      <c r="P905" t="s">
        <v>74</v>
      </c>
      <c r="Q905" t="s">
        <v>74</v>
      </c>
      <c r="R905" t="s">
        <v>74</v>
      </c>
      <c r="S905" t="s">
        <v>74</v>
      </c>
      <c r="T905" t="s">
        <v>74</v>
      </c>
      <c r="U905" t="s">
        <v>17511</v>
      </c>
      <c r="V905" t="s">
        <v>74</v>
      </c>
      <c r="W905" t="s">
        <v>17512</v>
      </c>
      <c r="X905" t="s">
        <v>12478</v>
      </c>
      <c r="Y905" t="s">
        <v>17513</v>
      </c>
      <c r="Z905" t="s">
        <v>17514</v>
      </c>
      <c r="AA905" t="s">
        <v>17515</v>
      </c>
      <c r="AB905" t="s">
        <v>17516</v>
      </c>
      <c r="AC905" t="s">
        <v>17517</v>
      </c>
      <c r="AD905" t="s">
        <v>17518</v>
      </c>
      <c r="AE905" t="s">
        <v>17519</v>
      </c>
      <c r="AF905" t="s">
        <v>74</v>
      </c>
      <c r="AG905">
        <v>214</v>
      </c>
      <c r="AH905">
        <v>10</v>
      </c>
      <c r="AI905">
        <v>10</v>
      </c>
      <c r="AJ905">
        <v>0</v>
      </c>
      <c r="AK905">
        <v>3</v>
      </c>
      <c r="AL905" t="s">
        <v>12776</v>
      </c>
      <c r="AM905" t="s">
        <v>12777</v>
      </c>
      <c r="AN905" t="s">
        <v>12778</v>
      </c>
      <c r="AO905" t="s">
        <v>12779</v>
      </c>
      <c r="AP905" t="s">
        <v>12780</v>
      </c>
      <c r="AQ905" t="s">
        <v>74</v>
      </c>
      <c r="AR905" t="s">
        <v>12764</v>
      </c>
      <c r="AS905" t="s">
        <v>12781</v>
      </c>
      <c r="AT905" t="s">
        <v>17470</v>
      </c>
      <c r="AU905">
        <v>2022</v>
      </c>
      <c r="AV905">
        <v>5156</v>
      </c>
      <c r="AW905">
        <v>1</v>
      </c>
      <c r="AX905" t="s">
        <v>74</v>
      </c>
      <c r="AY905" t="s">
        <v>74</v>
      </c>
      <c r="AZ905" t="s">
        <v>74</v>
      </c>
      <c r="BA905" t="s">
        <v>74</v>
      </c>
      <c r="BB905">
        <v>1</v>
      </c>
      <c r="BC905">
        <v>238</v>
      </c>
      <c r="BD905" t="s">
        <v>74</v>
      </c>
      <c r="BE905" t="s">
        <v>17520</v>
      </c>
      <c r="BF905" t="str">
        <f>HYPERLINK("http://dx.doi.org/10.11646/zootaxa.5156.1.1","http://dx.doi.org/10.11646/zootaxa.5156.1.1")</f>
        <v>http://dx.doi.org/10.11646/zootaxa.5156.1.1</v>
      </c>
      <c r="BG905" t="s">
        <v>74</v>
      </c>
      <c r="BH905" t="s">
        <v>74</v>
      </c>
      <c r="BI905">
        <v>238</v>
      </c>
      <c r="BJ905" t="s">
        <v>2211</v>
      </c>
      <c r="BK905" t="s">
        <v>100</v>
      </c>
      <c r="BL905" t="s">
        <v>2211</v>
      </c>
      <c r="BM905" t="s">
        <v>17521</v>
      </c>
      <c r="BN905">
        <v>36095563</v>
      </c>
      <c r="BO905" t="s">
        <v>404</v>
      </c>
      <c r="BP905" t="s">
        <v>74</v>
      </c>
      <c r="BQ905" t="s">
        <v>74</v>
      </c>
      <c r="BR905" t="s">
        <v>103</v>
      </c>
      <c r="BS905" t="s">
        <v>17522</v>
      </c>
      <c r="BT905" t="str">
        <f>HYPERLINK("https%3A%2F%2Fwww.webofscience.com%2Fwos%2Fwoscc%2Ffull-record%2FWOS:000820801200001","View Full Record in Web of Science")</f>
        <v>View Full Record in Web of Science</v>
      </c>
    </row>
    <row r="906" spans="1:72" x14ac:dyDescent="0.15">
      <c r="A906" t="s">
        <v>72</v>
      </c>
      <c r="B906" t="s">
        <v>17523</v>
      </c>
      <c r="C906" t="s">
        <v>74</v>
      </c>
      <c r="D906" t="s">
        <v>74</v>
      </c>
      <c r="E906" t="s">
        <v>74</v>
      </c>
      <c r="F906" t="s">
        <v>17524</v>
      </c>
      <c r="G906" t="s">
        <v>74</v>
      </c>
      <c r="H906" t="s">
        <v>74</v>
      </c>
      <c r="I906" t="s">
        <v>17525</v>
      </c>
      <c r="J906" t="s">
        <v>271</v>
      </c>
      <c r="K906" t="s">
        <v>74</v>
      </c>
      <c r="L906" t="s">
        <v>74</v>
      </c>
      <c r="M906" t="s">
        <v>78</v>
      </c>
      <c r="N906" t="s">
        <v>79</v>
      </c>
      <c r="O906" t="s">
        <v>74</v>
      </c>
      <c r="P906" t="s">
        <v>74</v>
      </c>
      <c r="Q906" t="s">
        <v>74</v>
      </c>
      <c r="R906" t="s">
        <v>74</v>
      </c>
      <c r="S906" t="s">
        <v>74</v>
      </c>
      <c r="T906" t="s">
        <v>74</v>
      </c>
      <c r="U906" t="s">
        <v>17526</v>
      </c>
      <c r="V906" t="s">
        <v>17527</v>
      </c>
      <c r="W906" t="s">
        <v>17528</v>
      </c>
      <c r="X906" t="s">
        <v>17529</v>
      </c>
      <c r="Y906" t="s">
        <v>17530</v>
      </c>
      <c r="Z906" t="s">
        <v>17531</v>
      </c>
      <c r="AA906" t="s">
        <v>17532</v>
      </c>
      <c r="AB906" t="s">
        <v>17533</v>
      </c>
      <c r="AC906" t="s">
        <v>17534</v>
      </c>
      <c r="AD906" t="s">
        <v>17535</v>
      </c>
      <c r="AE906" t="s">
        <v>17536</v>
      </c>
      <c r="AF906" t="s">
        <v>74</v>
      </c>
      <c r="AG906">
        <v>64</v>
      </c>
      <c r="AH906">
        <v>9</v>
      </c>
      <c r="AI906">
        <v>9</v>
      </c>
      <c r="AJ906">
        <v>3</v>
      </c>
      <c r="AK906">
        <v>8</v>
      </c>
      <c r="AL906" t="s">
        <v>149</v>
      </c>
      <c r="AM906" t="s">
        <v>150</v>
      </c>
      <c r="AN906" t="s">
        <v>151</v>
      </c>
      <c r="AO906" t="s">
        <v>283</v>
      </c>
      <c r="AP906" t="s">
        <v>74</v>
      </c>
      <c r="AQ906" t="s">
        <v>74</v>
      </c>
      <c r="AR906" t="s">
        <v>284</v>
      </c>
      <c r="AS906" t="s">
        <v>285</v>
      </c>
      <c r="AT906" t="s">
        <v>17470</v>
      </c>
      <c r="AU906">
        <v>2022</v>
      </c>
      <c r="AV906">
        <v>12</v>
      </c>
      <c r="AW906">
        <v>1</v>
      </c>
      <c r="AX906" t="s">
        <v>74</v>
      </c>
      <c r="AY906" t="s">
        <v>74</v>
      </c>
      <c r="AZ906" t="s">
        <v>74</v>
      </c>
      <c r="BA906" t="s">
        <v>74</v>
      </c>
      <c r="BB906" t="s">
        <v>74</v>
      </c>
      <c r="BC906" t="s">
        <v>74</v>
      </c>
      <c r="BD906">
        <v>10842</v>
      </c>
      <c r="BE906" t="s">
        <v>17537</v>
      </c>
      <c r="BF906" t="str">
        <f>HYPERLINK("http://dx.doi.org/10.1038/s41598-022-14921-4","http://dx.doi.org/10.1038/s41598-022-14921-4")</f>
        <v>http://dx.doi.org/10.1038/s41598-022-14921-4</v>
      </c>
      <c r="BG906" t="s">
        <v>74</v>
      </c>
      <c r="BH906" t="s">
        <v>74</v>
      </c>
      <c r="BI906">
        <v>11</v>
      </c>
      <c r="BJ906" t="s">
        <v>156</v>
      </c>
      <c r="BK906" t="s">
        <v>100</v>
      </c>
      <c r="BL906" t="s">
        <v>157</v>
      </c>
      <c r="BM906" t="s">
        <v>17538</v>
      </c>
      <c r="BN906">
        <v>35761034</v>
      </c>
      <c r="BO906" t="s">
        <v>132</v>
      </c>
      <c r="BP906" t="s">
        <v>74</v>
      </c>
      <c r="BQ906" t="s">
        <v>74</v>
      </c>
      <c r="BR906" t="s">
        <v>103</v>
      </c>
      <c r="BS906" t="s">
        <v>17539</v>
      </c>
      <c r="BT906" t="str">
        <f>HYPERLINK("https%3A%2F%2Fwww.webofscience.com%2Fwos%2Fwoscc%2Ffull-record%2FWOS:000818980100003","View Full Record in Web of Science")</f>
        <v>View Full Record in Web of Science</v>
      </c>
    </row>
    <row r="907" spans="1:72" x14ac:dyDescent="0.15">
      <c r="A907" t="s">
        <v>72</v>
      </c>
      <c r="B907" t="s">
        <v>17540</v>
      </c>
      <c r="C907" t="s">
        <v>74</v>
      </c>
      <c r="D907" t="s">
        <v>74</v>
      </c>
      <c r="E907" t="s">
        <v>74</v>
      </c>
      <c r="F907" t="s">
        <v>17541</v>
      </c>
      <c r="G907" t="s">
        <v>74</v>
      </c>
      <c r="H907" t="s">
        <v>74</v>
      </c>
      <c r="I907" t="s">
        <v>17542</v>
      </c>
      <c r="J907" t="s">
        <v>4627</v>
      </c>
      <c r="K907" t="s">
        <v>74</v>
      </c>
      <c r="L907" t="s">
        <v>74</v>
      </c>
      <c r="M907" t="s">
        <v>78</v>
      </c>
      <c r="N907" t="s">
        <v>79</v>
      </c>
      <c r="O907" t="s">
        <v>74</v>
      </c>
      <c r="P907" t="s">
        <v>74</v>
      </c>
      <c r="Q907" t="s">
        <v>74</v>
      </c>
      <c r="R907" t="s">
        <v>74</v>
      </c>
      <c r="S907" t="s">
        <v>74</v>
      </c>
      <c r="T907" t="s">
        <v>74</v>
      </c>
      <c r="U907" t="s">
        <v>17543</v>
      </c>
      <c r="V907" t="s">
        <v>17544</v>
      </c>
      <c r="W907" t="s">
        <v>17545</v>
      </c>
      <c r="X907" t="s">
        <v>17546</v>
      </c>
      <c r="Y907" t="s">
        <v>17547</v>
      </c>
      <c r="Z907" t="s">
        <v>17548</v>
      </c>
      <c r="AA907" t="s">
        <v>17549</v>
      </c>
      <c r="AB907" t="s">
        <v>17550</v>
      </c>
      <c r="AC907" t="s">
        <v>17551</v>
      </c>
      <c r="AD907" t="s">
        <v>17552</v>
      </c>
      <c r="AE907" t="s">
        <v>17553</v>
      </c>
      <c r="AF907" t="s">
        <v>74</v>
      </c>
      <c r="AG907">
        <v>111</v>
      </c>
      <c r="AH907">
        <v>2</v>
      </c>
      <c r="AI907">
        <v>2</v>
      </c>
      <c r="AJ907">
        <v>0</v>
      </c>
      <c r="AK907">
        <v>2</v>
      </c>
      <c r="AL907" t="s">
        <v>2460</v>
      </c>
      <c r="AM907" t="s">
        <v>2461</v>
      </c>
      <c r="AN907" t="s">
        <v>2462</v>
      </c>
      <c r="AO907" t="s">
        <v>4638</v>
      </c>
      <c r="AP907" t="s">
        <v>4639</v>
      </c>
      <c r="AQ907" t="s">
        <v>74</v>
      </c>
      <c r="AR907" t="s">
        <v>4640</v>
      </c>
      <c r="AS907" t="s">
        <v>4641</v>
      </c>
      <c r="AT907" t="s">
        <v>17470</v>
      </c>
      <c r="AU907">
        <v>2022</v>
      </c>
      <c r="AV907">
        <v>18</v>
      </c>
      <c r="AW907">
        <v>6</v>
      </c>
      <c r="AX907" t="s">
        <v>74</v>
      </c>
      <c r="AY907" t="s">
        <v>74</v>
      </c>
      <c r="AZ907" t="s">
        <v>74</v>
      </c>
      <c r="BA907" t="s">
        <v>74</v>
      </c>
      <c r="BB907">
        <v>1429</v>
      </c>
      <c r="BC907">
        <v>1451</v>
      </c>
      <c r="BD907" t="s">
        <v>74</v>
      </c>
      <c r="BE907" t="s">
        <v>17554</v>
      </c>
      <c r="BF907" t="str">
        <f>HYPERLINK("http://dx.doi.org/10.5194/cp-18-1429-2022","http://dx.doi.org/10.5194/cp-18-1429-2022")</f>
        <v>http://dx.doi.org/10.5194/cp-18-1429-2022</v>
      </c>
      <c r="BG907" t="s">
        <v>74</v>
      </c>
      <c r="BH907" t="s">
        <v>74</v>
      </c>
      <c r="BI907">
        <v>23</v>
      </c>
      <c r="BJ907" t="s">
        <v>3373</v>
      </c>
      <c r="BK907" t="s">
        <v>100</v>
      </c>
      <c r="BL907" t="s">
        <v>3374</v>
      </c>
      <c r="BM907" t="s">
        <v>17555</v>
      </c>
      <c r="BN907" t="s">
        <v>74</v>
      </c>
      <c r="BO907" t="s">
        <v>3262</v>
      </c>
      <c r="BP907" t="s">
        <v>74</v>
      </c>
      <c r="BQ907" t="s">
        <v>74</v>
      </c>
      <c r="BR907" t="s">
        <v>103</v>
      </c>
      <c r="BS907" t="s">
        <v>17556</v>
      </c>
      <c r="BT907" t="str">
        <f>HYPERLINK("https%3A%2F%2Fwww.webofscience.com%2Fwos%2Fwoscc%2Ffull-record%2FWOS:000816716700001","View Full Record in Web of Science")</f>
        <v>View Full Record in Web of Science</v>
      </c>
    </row>
    <row r="908" spans="1:72" x14ac:dyDescent="0.15">
      <c r="A908" t="s">
        <v>72</v>
      </c>
      <c r="B908" t="s">
        <v>17557</v>
      </c>
      <c r="C908" t="s">
        <v>74</v>
      </c>
      <c r="D908" t="s">
        <v>74</v>
      </c>
      <c r="E908" t="s">
        <v>74</v>
      </c>
      <c r="F908" t="s">
        <v>17558</v>
      </c>
      <c r="G908" t="s">
        <v>74</v>
      </c>
      <c r="H908" t="s">
        <v>74</v>
      </c>
      <c r="I908" t="s">
        <v>17559</v>
      </c>
      <c r="J908" t="s">
        <v>17560</v>
      </c>
      <c r="K908" t="s">
        <v>74</v>
      </c>
      <c r="L908" t="s">
        <v>74</v>
      </c>
      <c r="M908" t="s">
        <v>78</v>
      </c>
      <c r="N908" t="s">
        <v>79</v>
      </c>
      <c r="O908" t="s">
        <v>74</v>
      </c>
      <c r="P908" t="s">
        <v>74</v>
      </c>
      <c r="Q908" t="s">
        <v>74</v>
      </c>
      <c r="R908" t="s">
        <v>74</v>
      </c>
      <c r="S908" t="s">
        <v>74</v>
      </c>
      <c r="T908" t="s">
        <v>17561</v>
      </c>
      <c r="U908" t="s">
        <v>17562</v>
      </c>
      <c r="V908" t="s">
        <v>17563</v>
      </c>
      <c r="W908" t="s">
        <v>17564</v>
      </c>
      <c r="X908" t="s">
        <v>17565</v>
      </c>
      <c r="Y908" t="s">
        <v>17566</v>
      </c>
      <c r="Z908" t="s">
        <v>17567</v>
      </c>
      <c r="AA908" t="s">
        <v>17568</v>
      </c>
      <c r="AB908" t="s">
        <v>74</v>
      </c>
      <c r="AC908" t="s">
        <v>17569</v>
      </c>
      <c r="AD908" t="s">
        <v>16106</v>
      </c>
      <c r="AE908" t="s">
        <v>17570</v>
      </c>
      <c r="AF908" t="s">
        <v>74</v>
      </c>
      <c r="AG908">
        <v>35</v>
      </c>
      <c r="AH908">
        <v>4</v>
      </c>
      <c r="AI908">
        <v>4</v>
      </c>
      <c r="AJ908">
        <v>0</v>
      </c>
      <c r="AK908">
        <v>6</v>
      </c>
      <c r="AL908" t="s">
        <v>17571</v>
      </c>
      <c r="AM908" t="s">
        <v>17572</v>
      </c>
      <c r="AN908" t="s">
        <v>17573</v>
      </c>
      <c r="AO908" t="s">
        <v>17574</v>
      </c>
      <c r="AP908" t="s">
        <v>17575</v>
      </c>
      <c r="AQ908" t="s">
        <v>74</v>
      </c>
      <c r="AR908" t="s">
        <v>17576</v>
      </c>
      <c r="AS908" t="s">
        <v>17577</v>
      </c>
      <c r="AT908" t="s">
        <v>428</v>
      </c>
      <c r="AU908">
        <v>2022</v>
      </c>
      <c r="AV908">
        <v>26</v>
      </c>
      <c r="AW908">
        <v>5</v>
      </c>
      <c r="AX908" t="s">
        <v>74</v>
      </c>
      <c r="AY908" t="s">
        <v>74</v>
      </c>
      <c r="AZ908" t="s">
        <v>74</v>
      </c>
      <c r="BA908" t="s">
        <v>74</v>
      </c>
      <c r="BB908">
        <v>637</v>
      </c>
      <c r="BC908">
        <v>647</v>
      </c>
      <c r="BD908" t="s">
        <v>74</v>
      </c>
      <c r="BE908" t="s">
        <v>17578</v>
      </c>
      <c r="BF908" t="str">
        <f>HYPERLINK("http://dx.doi.org/10.1007/s12303-022-0009-y","http://dx.doi.org/10.1007/s12303-022-0009-y")</f>
        <v>http://dx.doi.org/10.1007/s12303-022-0009-y</v>
      </c>
      <c r="BG908" t="s">
        <v>74</v>
      </c>
      <c r="BH908" t="s">
        <v>17025</v>
      </c>
      <c r="BI908">
        <v>11</v>
      </c>
      <c r="BJ908" t="s">
        <v>129</v>
      </c>
      <c r="BK908" t="s">
        <v>100</v>
      </c>
      <c r="BL908" t="s">
        <v>130</v>
      </c>
      <c r="BM908" t="s">
        <v>17579</v>
      </c>
      <c r="BN908" t="s">
        <v>74</v>
      </c>
      <c r="BO908" t="s">
        <v>74</v>
      </c>
      <c r="BP908" t="s">
        <v>74</v>
      </c>
      <c r="BQ908" t="s">
        <v>74</v>
      </c>
      <c r="BR908" t="s">
        <v>103</v>
      </c>
      <c r="BS908" t="s">
        <v>17580</v>
      </c>
      <c r="BT908" t="str">
        <f>HYPERLINK("https%3A%2F%2Fwww.webofscience.com%2Fwos%2Fwoscc%2Ffull-record%2FWOS:000817040400002","View Full Record in Web of Science")</f>
        <v>View Full Record in Web of Science</v>
      </c>
    </row>
    <row r="909" spans="1:72" x14ac:dyDescent="0.15">
      <c r="A909" t="s">
        <v>72</v>
      </c>
      <c r="B909" t="s">
        <v>17581</v>
      </c>
      <c r="C909" t="s">
        <v>74</v>
      </c>
      <c r="D909" t="s">
        <v>74</v>
      </c>
      <c r="E909" t="s">
        <v>74</v>
      </c>
      <c r="F909" t="s">
        <v>17582</v>
      </c>
      <c r="G909" t="s">
        <v>74</v>
      </c>
      <c r="H909" t="s">
        <v>74</v>
      </c>
      <c r="I909" t="s">
        <v>17583</v>
      </c>
      <c r="J909" t="s">
        <v>17584</v>
      </c>
      <c r="K909" t="s">
        <v>74</v>
      </c>
      <c r="L909" t="s">
        <v>74</v>
      </c>
      <c r="M909" t="s">
        <v>78</v>
      </c>
      <c r="N909" t="s">
        <v>79</v>
      </c>
      <c r="O909" t="s">
        <v>74</v>
      </c>
      <c r="P909" t="s">
        <v>74</v>
      </c>
      <c r="Q909" t="s">
        <v>74</v>
      </c>
      <c r="R909" t="s">
        <v>74</v>
      </c>
      <c r="S909" t="s">
        <v>74</v>
      </c>
      <c r="T909" t="s">
        <v>74</v>
      </c>
      <c r="U909" t="s">
        <v>17585</v>
      </c>
      <c r="V909" t="s">
        <v>17586</v>
      </c>
      <c r="W909" t="s">
        <v>17587</v>
      </c>
      <c r="X909" t="s">
        <v>17588</v>
      </c>
      <c r="Y909" t="s">
        <v>17589</v>
      </c>
      <c r="Z909" t="s">
        <v>17590</v>
      </c>
      <c r="AA909" t="s">
        <v>17591</v>
      </c>
      <c r="AB909" t="s">
        <v>17592</v>
      </c>
      <c r="AC909" t="s">
        <v>74</v>
      </c>
      <c r="AD909" t="s">
        <v>74</v>
      </c>
      <c r="AE909" t="s">
        <v>74</v>
      </c>
      <c r="AF909" t="s">
        <v>74</v>
      </c>
      <c r="AG909">
        <v>61</v>
      </c>
      <c r="AH909">
        <v>2</v>
      </c>
      <c r="AI909">
        <v>2</v>
      </c>
      <c r="AJ909">
        <v>1</v>
      </c>
      <c r="AK909">
        <v>9</v>
      </c>
      <c r="AL909" t="s">
        <v>231</v>
      </c>
      <c r="AM909" t="s">
        <v>232</v>
      </c>
      <c r="AN909" t="s">
        <v>233</v>
      </c>
      <c r="AO909" t="s">
        <v>17593</v>
      </c>
      <c r="AP909" t="s">
        <v>17594</v>
      </c>
      <c r="AQ909" t="s">
        <v>74</v>
      </c>
      <c r="AR909" t="s">
        <v>17595</v>
      </c>
      <c r="AS909" t="s">
        <v>17596</v>
      </c>
      <c r="AT909" t="s">
        <v>352</v>
      </c>
      <c r="AU909">
        <v>2022</v>
      </c>
      <c r="AV909">
        <v>13</v>
      </c>
      <c r="AW909">
        <v>3</v>
      </c>
      <c r="AX909" t="s">
        <v>74</v>
      </c>
      <c r="AY909" t="s">
        <v>74</v>
      </c>
      <c r="AZ909" t="s">
        <v>74</v>
      </c>
      <c r="BA909" t="s">
        <v>74</v>
      </c>
      <c r="BB909">
        <v>346</v>
      </c>
      <c r="BC909">
        <v>357</v>
      </c>
      <c r="BD909" t="s">
        <v>74</v>
      </c>
      <c r="BE909" t="s">
        <v>17597</v>
      </c>
      <c r="BF909" t="str">
        <f>HYPERLINK("http://dx.doi.org/10.1111/1758-5899.13104","http://dx.doi.org/10.1111/1758-5899.13104")</f>
        <v>http://dx.doi.org/10.1111/1758-5899.13104</v>
      </c>
      <c r="BG909" t="s">
        <v>74</v>
      </c>
      <c r="BH909" t="s">
        <v>17025</v>
      </c>
      <c r="BI909">
        <v>12</v>
      </c>
      <c r="BJ909" t="s">
        <v>17598</v>
      </c>
      <c r="BK909" t="s">
        <v>2257</v>
      </c>
      <c r="BL909" t="s">
        <v>17599</v>
      </c>
      <c r="BM909" t="s">
        <v>17600</v>
      </c>
      <c r="BN909" t="s">
        <v>74</v>
      </c>
      <c r="BO909" t="s">
        <v>9603</v>
      </c>
      <c r="BP909" t="s">
        <v>74</v>
      </c>
      <c r="BQ909" t="s">
        <v>74</v>
      </c>
      <c r="BR909" t="s">
        <v>103</v>
      </c>
      <c r="BS909" t="s">
        <v>17601</v>
      </c>
      <c r="BT909" t="str">
        <f>HYPERLINK("https%3A%2F%2Fwww.webofscience.com%2Fwos%2Fwoscc%2Ffull-record%2FWOS:000816976700001","View Full Record in Web of Science")</f>
        <v>View Full Record in Web of Science</v>
      </c>
    </row>
    <row r="910" spans="1:72" x14ac:dyDescent="0.15">
      <c r="A910" t="s">
        <v>72</v>
      </c>
      <c r="B910" t="s">
        <v>17602</v>
      </c>
      <c r="C910" t="s">
        <v>74</v>
      </c>
      <c r="D910" t="s">
        <v>74</v>
      </c>
      <c r="E910" t="s">
        <v>74</v>
      </c>
      <c r="F910" t="s">
        <v>17603</v>
      </c>
      <c r="G910" t="s">
        <v>74</v>
      </c>
      <c r="H910" t="s">
        <v>74</v>
      </c>
      <c r="I910" t="s">
        <v>17604</v>
      </c>
      <c r="J910" t="s">
        <v>2738</v>
      </c>
      <c r="K910" t="s">
        <v>74</v>
      </c>
      <c r="L910" t="s">
        <v>74</v>
      </c>
      <c r="M910" t="s">
        <v>78</v>
      </c>
      <c r="N910" t="s">
        <v>79</v>
      </c>
      <c r="O910" t="s">
        <v>74</v>
      </c>
      <c r="P910" t="s">
        <v>74</v>
      </c>
      <c r="Q910" t="s">
        <v>74</v>
      </c>
      <c r="R910" t="s">
        <v>74</v>
      </c>
      <c r="S910" t="s">
        <v>74</v>
      </c>
      <c r="T910" t="s">
        <v>17605</v>
      </c>
      <c r="U910" t="s">
        <v>17606</v>
      </c>
      <c r="V910" t="s">
        <v>17607</v>
      </c>
      <c r="W910" t="s">
        <v>17608</v>
      </c>
      <c r="X910" t="s">
        <v>2791</v>
      </c>
      <c r="Y910" t="s">
        <v>17609</v>
      </c>
      <c r="Z910" t="s">
        <v>17610</v>
      </c>
      <c r="AA910" t="s">
        <v>17611</v>
      </c>
      <c r="AB910" t="s">
        <v>17612</v>
      </c>
      <c r="AC910" t="s">
        <v>17613</v>
      </c>
      <c r="AD910" t="s">
        <v>17613</v>
      </c>
      <c r="AE910" t="s">
        <v>17614</v>
      </c>
      <c r="AF910" t="s">
        <v>74</v>
      </c>
      <c r="AG910">
        <v>81</v>
      </c>
      <c r="AH910">
        <v>4</v>
      </c>
      <c r="AI910">
        <v>4</v>
      </c>
      <c r="AJ910">
        <v>5</v>
      </c>
      <c r="AK910">
        <v>21</v>
      </c>
      <c r="AL910" t="s">
        <v>946</v>
      </c>
      <c r="AM910" t="s">
        <v>207</v>
      </c>
      <c r="AN910" t="s">
        <v>947</v>
      </c>
      <c r="AO910" t="s">
        <v>2751</v>
      </c>
      <c r="AP910" t="s">
        <v>2752</v>
      </c>
      <c r="AQ910" t="s">
        <v>74</v>
      </c>
      <c r="AR910" t="s">
        <v>2753</v>
      </c>
      <c r="AS910" t="s">
        <v>2754</v>
      </c>
      <c r="AT910" t="s">
        <v>17470</v>
      </c>
      <c r="AU910">
        <v>2022</v>
      </c>
      <c r="AV910">
        <v>127</v>
      </c>
      <c r="AW910">
        <v>12</v>
      </c>
      <c r="AX910" t="s">
        <v>74</v>
      </c>
      <c r="AY910" t="s">
        <v>74</v>
      </c>
      <c r="AZ910" t="s">
        <v>74</v>
      </c>
      <c r="BA910" t="s">
        <v>74</v>
      </c>
      <c r="BB910" t="s">
        <v>74</v>
      </c>
      <c r="BC910" t="s">
        <v>74</v>
      </c>
      <c r="BD910" t="s">
        <v>17615</v>
      </c>
      <c r="BE910" t="s">
        <v>17616</v>
      </c>
      <c r="BF910" t="str">
        <f>HYPERLINK("http://dx.doi.org/10.1029/2021JD035058","http://dx.doi.org/10.1029/2021JD035058")</f>
        <v>http://dx.doi.org/10.1029/2021JD035058</v>
      </c>
      <c r="BG910" t="s">
        <v>74</v>
      </c>
      <c r="BH910" t="s">
        <v>74</v>
      </c>
      <c r="BI910">
        <v>16</v>
      </c>
      <c r="BJ910" t="s">
        <v>457</v>
      </c>
      <c r="BK910" t="s">
        <v>100</v>
      </c>
      <c r="BL910" t="s">
        <v>457</v>
      </c>
      <c r="BM910" t="s">
        <v>17617</v>
      </c>
      <c r="BN910" t="s">
        <v>74</v>
      </c>
      <c r="BO910" t="s">
        <v>831</v>
      </c>
      <c r="BP910" t="s">
        <v>74</v>
      </c>
      <c r="BQ910" t="s">
        <v>74</v>
      </c>
      <c r="BR910" t="s">
        <v>103</v>
      </c>
      <c r="BS910" t="s">
        <v>17618</v>
      </c>
      <c r="BT910" t="str">
        <f>HYPERLINK("https%3A%2F%2Fwww.webofscience.com%2Fwos%2Fwoscc%2Ffull-record%2FWOS:000813959100001","View Full Record in Web of Science")</f>
        <v>View Full Record in Web of Science</v>
      </c>
    </row>
    <row r="911" spans="1:72" x14ac:dyDescent="0.15">
      <c r="A911" t="s">
        <v>72</v>
      </c>
      <c r="B911" t="s">
        <v>17619</v>
      </c>
      <c r="C911" t="s">
        <v>74</v>
      </c>
      <c r="D911" t="s">
        <v>74</v>
      </c>
      <c r="E911" t="s">
        <v>74</v>
      </c>
      <c r="F911" t="s">
        <v>17620</v>
      </c>
      <c r="G911" t="s">
        <v>74</v>
      </c>
      <c r="H911" t="s">
        <v>74</v>
      </c>
      <c r="I911" t="s">
        <v>17621</v>
      </c>
      <c r="J911" t="s">
        <v>2473</v>
      </c>
      <c r="K911" t="s">
        <v>74</v>
      </c>
      <c r="L911" t="s">
        <v>74</v>
      </c>
      <c r="M911" t="s">
        <v>78</v>
      </c>
      <c r="N911" t="s">
        <v>79</v>
      </c>
      <c r="O911" t="s">
        <v>74</v>
      </c>
      <c r="P911" t="s">
        <v>74</v>
      </c>
      <c r="Q911" t="s">
        <v>74</v>
      </c>
      <c r="R911" t="s">
        <v>74</v>
      </c>
      <c r="S911" t="s">
        <v>74</v>
      </c>
      <c r="T911" t="s">
        <v>74</v>
      </c>
      <c r="U911" t="s">
        <v>74</v>
      </c>
      <c r="V911" t="s">
        <v>17622</v>
      </c>
      <c r="W911" t="s">
        <v>17623</v>
      </c>
      <c r="X911" t="s">
        <v>17624</v>
      </c>
      <c r="Y911" t="s">
        <v>17625</v>
      </c>
      <c r="Z911" t="s">
        <v>17626</v>
      </c>
      <c r="AA911" t="s">
        <v>74</v>
      </c>
      <c r="AB911" t="s">
        <v>17627</v>
      </c>
      <c r="AC911" t="s">
        <v>17628</v>
      </c>
      <c r="AD911" t="s">
        <v>17629</v>
      </c>
      <c r="AE911" t="s">
        <v>17630</v>
      </c>
      <c r="AF911" t="s">
        <v>74</v>
      </c>
      <c r="AG911">
        <v>56</v>
      </c>
      <c r="AH911">
        <v>7</v>
      </c>
      <c r="AI911">
        <v>9</v>
      </c>
      <c r="AJ911">
        <v>0</v>
      </c>
      <c r="AK911">
        <v>0</v>
      </c>
      <c r="AL911" t="s">
        <v>2460</v>
      </c>
      <c r="AM911" t="s">
        <v>2461</v>
      </c>
      <c r="AN911" t="s">
        <v>2462</v>
      </c>
      <c r="AO911" t="s">
        <v>2485</v>
      </c>
      <c r="AP911" t="s">
        <v>2486</v>
      </c>
      <c r="AQ911" t="s">
        <v>74</v>
      </c>
      <c r="AR911" t="s">
        <v>2473</v>
      </c>
      <c r="AS911" t="s">
        <v>2487</v>
      </c>
      <c r="AT911" t="s">
        <v>17470</v>
      </c>
      <c r="AU911">
        <v>2022</v>
      </c>
      <c r="AV911">
        <v>16</v>
      </c>
      <c r="AW911">
        <v>6</v>
      </c>
      <c r="AX911" t="s">
        <v>74</v>
      </c>
      <c r="AY911" t="s">
        <v>74</v>
      </c>
      <c r="AZ911" t="s">
        <v>74</v>
      </c>
      <c r="BA911" t="s">
        <v>74</v>
      </c>
      <c r="BB911">
        <v>2545</v>
      </c>
      <c r="BC911">
        <v>2564</v>
      </c>
      <c r="BD911" t="s">
        <v>74</v>
      </c>
      <c r="BE911" t="s">
        <v>17631</v>
      </c>
      <c r="BF911" t="str">
        <f>HYPERLINK("http://dx.doi.org/10.5194/tc-16-2545-2022","http://dx.doi.org/10.5194/tc-16-2545-2022")</f>
        <v>http://dx.doi.org/10.5194/tc-16-2545-2022</v>
      </c>
      <c r="BG911" t="s">
        <v>74</v>
      </c>
      <c r="BH911" t="s">
        <v>74</v>
      </c>
      <c r="BI911">
        <v>20</v>
      </c>
      <c r="BJ911" t="s">
        <v>354</v>
      </c>
      <c r="BK911" t="s">
        <v>100</v>
      </c>
      <c r="BL911" t="s">
        <v>241</v>
      </c>
      <c r="BM911" t="s">
        <v>17632</v>
      </c>
      <c r="BN911" t="s">
        <v>74</v>
      </c>
      <c r="BO911" t="s">
        <v>4126</v>
      </c>
      <c r="BP911" t="s">
        <v>74</v>
      </c>
      <c r="BQ911" t="s">
        <v>74</v>
      </c>
      <c r="BR911" t="s">
        <v>103</v>
      </c>
      <c r="BS911" t="s">
        <v>17633</v>
      </c>
      <c r="BT911" t="str">
        <f>HYPERLINK("https%3A%2F%2Fwww.webofscience.com%2Fwos%2Fwoscc%2Ffull-record%2FWOS:001196007900001","View Full Record in Web of Science")</f>
        <v>View Full Record in Web of Science</v>
      </c>
    </row>
    <row r="912" spans="1:72" x14ac:dyDescent="0.15">
      <c r="A912" t="s">
        <v>72</v>
      </c>
      <c r="B912" t="s">
        <v>17634</v>
      </c>
      <c r="C912" t="s">
        <v>74</v>
      </c>
      <c r="D912" t="s">
        <v>74</v>
      </c>
      <c r="E912" t="s">
        <v>74</v>
      </c>
      <c r="F912" t="s">
        <v>17635</v>
      </c>
      <c r="G912" t="s">
        <v>74</v>
      </c>
      <c r="H912" t="s">
        <v>74</v>
      </c>
      <c r="I912" t="s">
        <v>17636</v>
      </c>
      <c r="J912" t="s">
        <v>4327</v>
      </c>
      <c r="K912" t="s">
        <v>74</v>
      </c>
      <c r="L912" t="s">
        <v>74</v>
      </c>
      <c r="M912" t="s">
        <v>78</v>
      </c>
      <c r="N912" t="s">
        <v>165</v>
      </c>
      <c r="O912" t="s">
        <v>74</v>
      </c>
      <c r="P912" t="s">
        <v>74</v>
      </c>
      <c r="Q912" t="s">
        <v>74</v>
      </c>
      <c r="R912" t="s">
        <v>74</v>
      </c>
      <c r="S912" t="s">
        <v>74</v>
      </c>
      <c r="T912" t="s">
        <v>17637</v>
      </c>
      <c r="U912" t="s">
        <v>17638</v>
      </c>
      <c r="V912" t="s">
        <v>17639</v>
      </c>
      <c r="W912" t="s">
        <v>17640</v>
      </c>
      <c r="X912" t="s">
        <v>17641</v>
      </c>
      <c r="Y912" t="s">
        <v>17642</v>
      </c>
      <c r="Z912" t="s">
        <v>17643</v>
      </c>
      <c r="AA912" t="s">
        <v>17644</v>
      </c>
      <c r="AB912" t="s">
        <v>17645</v>
      </c>
      <c r="AC912" t="s">
        <v>17646</v>
      </c>
      <c r="AD912" t="s">
        <v>17646</v>
      </c>
      <c r="AE912" t="s">
        <v>17647</v>
      </c>
      <c r="AF912" t="s">
        <v>74</v>
      </c>
      <c r="AG912">
        <v>84</v>
      </c>
      <c r="AH912">
        <v>4</v>
      </c>
      <c r="AI912">
        <v>4</v>
      </c>
      <c r="AJ912">
        <v>0</v>
      </c>
      <c r="AK912">
        <v>25</v>
      </c>
      <c r="AL912" t="s">
        <v>178</v>
      </c>
      <c r="AM912" t="s">
        <v>450</v>
      </c>
      <c r="AN912" t="s">
        <v>668</v>
      </c>
      <c r="AO912" t="s">
        <v>4340</v>
      </c>
      <c r="AP912" t="s">
        <v>4341</v>
      </c>
      <c r="AQ912" t="s">
        <v>74</v>
      </c>
      <c r="AR912" t="s">
        <v>4342</v>
      </c>
      <c r="AS912" t="s">
        <v>4343</v>
      </c>
      <c r="AT912" t="s">
        <v>184</v>
      </c>
      <c r="AU912">
        <v>2022</v>
      </c>
      <c r="AV912">
        <v>45</v>
      </c>
      <c r="AW912">
        <v>7</v>
      </c>
      <c r="AX912" t="s">
        <v>74</v>
      </c>
      <c r="AY912" t="s">
        <v>74</v>
      </c>
      <c r="AZ912" t="s">
        <v>74</v>
      </c>
      <c r="BA912" t="s">
        <v>74</v>
      </c>
      <c r="BB912">
        <v>1193</v>
      </c>
      <c r="BC912">
        <v>1209</v>
      </c>
      <c r="BD912" t="s">
        <v>74</v>
      </c>
      <c r="BE912" t="s">
        <v>17648</v>
      </c>
      <c r="BF912" t="str">
        <f>HYPERLINK("http://dx.doi.org/10.1007/s00300-022-03053-0","http://dx.doi.org/10.1007/s00300-022-03053-0")</f>
        <v>http://dx.doi.org/10.1007/s00300-022-03053-0</v>
      </c>
      <c r="BG912" t="s">
        <v>74</v>
      </c>
      <c r="BH912" t="s">
        <v>17025</v>
      </c>
      <c r="BI912">
        <v>17</v>
      </c>
      <c r="BJ912" t="s">
        <v>1169</v>
      </c>
      <c r="BK912" t="s">
        <v>100</v>
      </c>
      <c r="BL912" t="s">
        <v>1170</v>
      </c>
      <c r="BM912" t="s">
        <v>12991</v>
      </c>
      <c r="BN912" t="s">
        <v>74</v>
      </c>
      <c r="BO912" t="s">
        <v>4217</v>
      </c>
      <c r="BP912" t="s">
        <v>74</v>
      </c>
      <c r="BQ912" t="s">
        <v>74</v>
      </c>
      <c r="BR912" t="s">
        <v>103</v>
      </c>
      <c r="BS912" t="s">
        <v>17649</v>
      </c>
      <c r="BT912" t="str">
        <f>HYPERLINK("https%3A%2F%2Fwww.webofscience.com%2Fwos%2Fwoscc%2Ffull-record%2FWOS:000817065200001","View Full Record in Web of Science")</f>
        <v>View Full Record in Web of Science</v>
      </c>
    </row>
    <row r="913" spans="1:72" x14ac:dyDescent="0.15">
      <c r="A913" t="s">
        <v>72</v>
      </c>
      <c r="B913" t="s">
        <v>17650</v>
      </c>
      <c r="C913" t="s">
        <v>74</v>
      </c>
      <c r="D913" t="s">
        <v>74</v>
      </c>
      <c r="E913" t="s">
        <v>74</v>
      </c>
      <c r="F913" t="s">
        <v>17651</v>
      </c>
      <c r="G913" t="s">
        <v>74</v>
      </c>
      <c r="H913" t="s">
        <v>74</v>
      </c>
      <c r="I913" t="s">
        <v>17652</v>
      </c>
      <c r="J913" t="s">
        <v>17653</v>
      </c>
      <c r="K913" t="s">
        <v>74</v>
      </c>
      <c r="L913" t="s">
        <v>74</v>
      </c>
      <c r="M913" t="s">
        <v>78</v>
      </c>
      <c r="N913" t="s">
        <v>79</v>
      </c>
      <c r="O913" t="s">
        <v>74</v>
      </c>
      <c r="P913" t="s">
        <v>74</v>
      </c>
      <c r="Q913" t="s">
        <v>74</v>
      </c>
      <c r="R913" t="s">
        <v>74</v>
      </c>
      <c r="S913" t="s">
        <v>74</v>
      </c>
      <c r="T913" t="s">
        <v>17654</v>
      </c>
      <c r="U913" t="s">
        <v>17655</v>
      </c>
      <c r="V913" t="s">
        <v>17656</v>
      </c>
      <c r="W913" t="s">
        <v>17657</v>
      </c>
      <c r="X913" t="s">
        <v>17658</v>
      </c>
      <c r="Y913" t="s">
        <v>17659</v>
      </c>
      <c r="Z913" t="s">
        <v>17660</v>
      </c>
      <c r="AA913" t="s">
        <v>74</v>
      </c>
      <c r="AB913" t="s">
        <v>17661</v>
      </c>
      <c r="AC913" t="s">
        <v>17662</v>
      </c>
      <c r="AD913" t="s">
        <v>17663</v>
      </c>
      <c r="AE913" t="s">
        <v>17664</v>
      </c>
      <c r="AF913" t="s">
        <v>74</v>
      </c>
      <c r="AG913">
        <v>61</v>
      </c>
      <c r="AH913">
        <v>4</v>
      </c>
      <c r="AI913">
        <v>4</v>
      </c>
      <c r="AJ913">
        <v>5</v>
      </c>
      <c r="AK913">
        <v>9</v>
      </c>
      <c r="AL913" t="s">
        <v>10573</v>
      </c>
      <c r="AM913" t="s">
        <v>2774</v>
      </c>
      <c r="AN913" t="s">
        <v>10574</v>
      </c>
      <c r="AO913" t="s">
        <v>74</v>
      </c>
      <c r="AP913" t="s">
        <v>17665</v>
      </c>
      <c r="AQ913" t="s">
        <v>74</v>
      </c>
      <c r="AR913" t="s">
        <v>17666</v>
      </c>
      <c r="AS913" t="s">
        <v>17667</v>
      </c>
      <c r="AT913" t="s">
        <v>17668</v>
      </c>
      <c r="AU913">
        <v>2022</v>
      </c>
      <c r="AV913">
        <v>17</v>
      </c>
      <c r="AW913">
        <v>1</v>
      </c>
      <c r="AX913" t="s">
        <v>74</v>
      </c>
      <c r="AY913" t="s">
        <v>74</v>
      </c>
      <c r="AZ913" t="s">
        <v>74</v>
      </c>
      <c r="BA913" t="s">
        <v>74</v>
      </c>
      <c r="BB913" t="s">
        <v>74</v>
      </c>
      <c r="BC913" t="s">
        <v>74</v>
      </c>
      <c r="BD913">
        <v>34</v>
      </c>
      <c r="BE913" t="s">
        <v>17669</v>
      </c>
      <c r="BF913" t="str">
        <f>HYPERLINK("http://dx.doi.org/10.1186/s40793-022-00426-0","http://dx.doi.org/10.1186/s40793-022-00426-0")</f>
        <v>http://dx.doi.org/10.1186/s40793-022-00426-0</v>
      </c>
      <c r="BG913" t="s">
        <v>74</v>
      </c>
      <c r="BH913" t="s">
        <v>74</v>
      </c>
      <c r="BI913">
        <v>12</v>
      </c>
      <c r="BJ913" t="s">
        <v>17670</v>
      </c>
      <c r="BK913" t="s">
        <v>100</v>
      </c>
      <c r="BL913" t="s">
        <v>17670</v>
      </c>
      <c r="BM913" t="s">
        <v>17671</v>
      </c>
      <c r="BN913">
        <v>35752802</v>
      </c>
      <c r="BO913" t="s">
        <v>4714</v>
      </c>
      <c r="BP913" t="s">
        <v>74</v>
      </c>
      <c r="BQ913" t="s">
        <v>74</v>
      </c>
      <c r="BR913" t="s">
        <v>103</v>
      </c>
      <c r="BS913" t="s">
        <v>17672</v>
      </c>
      <c r="BT913" t="str">
        <f>HYPERLINK("https%3A%2F%2Fwww.webofscience.com%2Fwos%2Fwoscc%2Ffull-record%2FWOS:000815630200001","View Full Record in Web of Science")</f>
        <v>View Full Record in Web of Science</v>
      </c>
    </row>
    <row r="914" spans="1:72" x14ac:dyDescent="0.15">
      <c r="A914" t="s">
        <v>72</v>
      </c>
      <c r="B914" t="s">
        <v>17673</v>
      </c>
      <c r="C914" t="s">
        <v>74</v>
      </c>
      <c r="D914" t="s">
        <v>74</v>
      </c>
      <c r="E914" t="s">
        <v>74</v>
      </c>
      <c r="F914" t="s">
        <v>17674</v>
      </c>
      <c r="G914" t="s">
        <v>74</v>
      </c>
      <c r="H914" t="s">
        <v>74</v>
      </c>
      <c r="I914" t="s">
        <v>17675</v>
      </c>
      <c r="J914" t="s">
        <v>17676</v>
      </c>
      <c r="K914" t="s">
        <v>74</v>
      </c>
      <c r="L914" t="s">
        <v>74</v>
      </c>
      <c r="M914" t="s">
        <v>78</v>
      </c>
      <c r="N914" t="s">
        <v>79</v>
      </c>
      <c r="O914" t="s">
        <v>74</v>
      </c>
      <c r="P914" t="s">
        <v>74</v>
      </c>
      <c r="Q914" t="s">
        <v>74</v>
      </c>
      <c r="R914" t="s">
        <v>74</v>
      </c>
      <c r="S914" t="s">
        <v>74</v>
      </c>
      <c r="T914" t="s">
        <v>17677</v>
      </c>
      <c r="U914" t="s">
        <v>17678</v>
      </c>
      <c r="V914" t="s">
        <v>17679</v>
      </c>
      <c r="W914" t="s">
        <v>17680</v>
      </c>
      <c r="X914" t="s">
        <v>17681</v>
      </c>
      <c r="Y914" t="s">
        <v>17682</v>
      </c>
      <c r="Z914" t="s">
        <v>17683</v>
      </c>
      <c r="AA914" t="s">
        <v>17684</v>
      </c>
      <c r="AB914" t="s">
        <v>17685</v>
      </c>
      <c r="AC914" t="s">
        <v>17686</v>
      </c>
      <c r="AD914" t="s">
        <v>17687</v>
      </c>
      <c r="AE914" t="s">
        <v>17688</v>
      </c>
      <c r="AF914" t="s">
        <v>74</v>
      </c>
      <c r="AG914">
        <v>89</v>
      </c>
      <c r="AH914">
        <v>3</v>
      </c>
      <c r="AI914">
        <v>3</v>
      </c>
      <c r="AJ914">
        <v>0</v>
      </c>
      <c r="AK914">
        <v>14</v>
      </c>
      <c r="AL914" t="s">
        <v>178</v>
      </c>
      <c r="AM914" t="s">
        <v>179</v>
      </c>
      <c r="AN914" t="s">
        <v>180</v>
      </c>
      <c r="AO914" t="s">
        <v>17689</v>
      </c>
      <c r="AP914" t="s">
        <v>17690</v>
      </c>
      <c r="AQ914" t="s">
        <v>74</v>
      </c>
      <c r="AR914" t="s">
        <v>17691</v>
      </c>
      <c r="AS914" t="s">
        <v>17692</v>
      </c>
      <c r="AT914" t="s">
        <v>428</v>
      </c>
      <c r="AU914">
        <v>2022</v>
      </c>
      <c r="AV914">
        <v>78</v>
      </c>
      <c r="AW914">
        <v>5</v>
      </c>
      <c r="AX914" t="s">
        <v>74</v>
      </c>
      <c r="AY914" t="s">
        <v>74</v>
      </c>
      <c r="AZ914" t="s">
        <v>74</v>
      </c>
      <c r="BA914" t="s">
        <v>74</v>
      </c>
      <c r="BB914">
        <v>409</v>
      </c>
      <c r="BC914">
        <v>424</v>
      </c>
      <c r="BD914" t="s">
        <v>74</v>
      </c>
      <c r="BE914" t="s">
        <v>17693</v>
      </c>
      <c r="BF914" t="str">
        <f>HYPERLINK("http://dx.doi.org/10.1007/s10872-022-00649-2","http://dx.doi.org/10.1007/s10872-022-00649-2")</f>
        <v>http://dx.doi.org/10.1007/s10872-022-00649-2</v>
      </c>
      <c r="BG914" t="s">
        <v>74</v>
      </c>
      <c r="BH914" t="s">
        <v>17025</v>
      </c>
      <c r="BI914">
        <v>16</v>
      </c>
      <c r="BJ914" t="s">
        <v>674</v>
      </c>
      <c r="BK914" t="s">
        <v>100</v>
      </c>
      <c r="BL914" t="s">
        <v>674</v>
      </c>
      <c r="BM914" t="s">
        <v>17694</v>
      </c>
      <c r="BN914" t="s">
        <v>74</v>
      </c>
      <c r="BO914" t="s">
        <v>74</v>
      </c>
      <c r="BP914" t="s">
        <v>74</v>
      </c>
      <c r="BQ914" t="s">
        <v>74</v>
      </c>
      <c r="BR914" t="s">
        <v>103</v>
      </c>
      <c r="BS914" t="s">
        <v>17695</v>
      </c>
      <c r="BT914" t="str">
        <f>HYPERLINK("https%3A%2F%2Fwww.webofscience.com%2Fwos%2Fwoscc%2Ffull-record%2FWOS:000815581400001","View Full Record in Web of Science")</f>
        <v>View Full Record in Web of Science</v>
      </c>
    </row>
    <row r="915" spans="1:72" x14ac:dyDescent="0.15">
      <c r="A915" t="s">
        <v>72</v>
      </c>
      <c r="B915" t="s">
        <v>17696</v>
      </c>
      <c r="C915" t="s">
        <v>74</v>
      </c>
      <c r="D915" t="s">
        <v>74</v>
      </c>
      <c r="E915" t="s">
        <v>74</v>
      </c>
      <c r="F915" t="s">
        <v>17697</v>
      </c>
      <c r="G915" t="s">
        <v>74</v>
      </c>
      <c r="H915" t="s">
        <v>74</v>
      </c>
      <c r="I915" t="s">
        <v>17698</v>
      </c>
      <c r="J915" t="s">
        <v>5065</v>
      </c>
      <c r="K915" t="s">
        <v>74</v>
      </c>
      <c r="L915" t="s">
        <v>74</v>
      </c>
      <c r="M915" t="s">
        <v>78</v>
      </c>
      <c r="N915" t="s">
        <v>79</v>
      </c>
      <c r="O915" t="s">
        <v>74</v>
      </c>
      <c r="P915" t="s">
        <v>74</v>
      </c>
      <c r="Q915" t="s">
        <v>74</v>
      </c>
      <c r="R915" t="s">
        <v>74</v>
      </c>
      <c r="S915" t="s">
        <v>74</v>
      </c>
      <c r="T915" t="s">
        <v>74</v>
      </c>
      <c r="U915" t="s">
        <v>17699</v>
      </c>
      <c r="V915" t="s">
        <v>17700</v>
      </c>
      <c r="W915" t="s">
        <v>17701</v>
      </c>
      <c r="X915" t="s">
        <v>17702</v>
      </c>
      <c r="Y915" t="s">
        <v>17703</v>
      </c>
      <c r="Z915" t="s">
        <v>17704</v>
      </c>
      <c r="AA915" t="s">
        <v>17705</v>
      </c>
      <c r="AB915" t="s">
        <v>17706</v>
      </c>
      <c r="AC915" t="s">
        <v>17707</v>
      </c>
      <c r="AD915" t="s">
        <v>17708</v>
      </c>
      <c r="AE915" t="s">
        <v>17709</v>
      </c>
      <c r="AF915" t="s">
        <v>74</v>
      </c>
      <c r="AG915">
        <v>85</v>
      </c>
      <c r="AH915">
        <v>4</v>
      </c>
      <c r="AI915">
        <v>4</v>
      </c>
      <c r="AJ915">
        <v>5</v>
      </c>
      <c r="AK915">
        <v>16</v>
      </c>
      <c r="AL915" t="s">
        <v>231</v>
      </c>
      <c r="AM915" t="s">
        <v>232</v>
      </c>
      <c r="AN915" t="s">
        <v>233</v>
      </c>
      <c r="AO915" t="s">
        <v>5077</v>
      </c>
      <c r="AP915" t="s">
        <v>5078</v>
      </c>
      <c r="AQ915" t="s">
        <v>74</v>
      </c>
      <c r="AR915" t="s">
        <v>5079</v>
      </c>
      <c r="AS915" t="s">
        <v>5080</v>
      </c>
      <c r="AT915" t="s">
        <v>3605</v>
      </c>
      <c r="AU915">
        <v>2022</v>
      </c>
      <c r="AV915">
        <v>67</v>
      </c>
      <c r="AW915">
        <v>9</v>
      </c>
      <c r="AX915" t="s">
        <v>74</v>
      </c>
      <c r="AY915" t="s">
        <v>74</v>
      </c>
      <c r="AZ915" t="s">
        <v>74</v>
      </c>
      <c r="BA915" t="s">
        <v>74</v>
      </c>
      <c r="BB915">
        <v>1911</v>
      </c>
      <c r="BC915">
        <v>1930</v>
      </c>
      <c r="BD915" t="s">
        <v>74</v>
      </c>
      <c r="BE915" t="s">
        <v>17710</v>
      </c>
      <c r="BF915" t="str">
        <f>HYPERLINK("http://dx.doi.org/10.1002/lno.12175","http://dx.doi.org/10.1002/lno.12175")</f>
        <v>http://dx.doi.org/10.1002/lno.12175</v>
      </c>
      <c r="BG915" t="s">
        <v>74</v>
      </c>
      <c r="BH915" t="s">
        <v>17025</v>
      </c>
      <c r="BI915">
        <v>20</v>
      </c>
      <c r="BJ915" t="s">
        <v>5082</v>
      </c>
      <c r="BK915" t="s">
        <v>100</v>
      </c>
      <c r="BL915" t="s">
        <v>5083</v>
      </c>
      <c r="BM915" t="s">
        <v>17711</v>
      </c>
      <c r="BN915" t="s">
        <v>74</v>
      </c>
      <c r="BO915" t="s">
        <v>1221</v>
      </c>
      <c r="BP915" t="s">
        <v>74</v>
      </c>
      <c r="BQ915" t="s">
        <v>74</v>
      </c>
      <c r="BR915" t="s">
        <v>103</v>
      </c>
      <c r="BS915" t="s">
        <v>17712</v>
      </c>
      <c r="BT915" t="str">
        <f>HYPERLINK("https%3A%2F%2Fwww.webofscience.com%2Fwos%2Fwoscc%2Ffull-record%2FWOS:000815613400001","View Full Record in Web of Science")</f>
        <v>View Full Record in Web of Science</v>
      </c>
    </row>
    <row r="916" spans="1:72" x14ac:dyDescent="0.15">
      <c r="A916" t="s">
        <v>72</v>
      </c>
      <c r="B916" t="s">
        <v>17713</v>
      </c>
      <c r="C916" t="s">
        <v>74</v>
      </c>
      <c r="D916" t="s">
        <v>74</v>
      </c>
      <c r="E916" t="s">
        <v>74</v>
      </c>
      <c r="F916" t="s">
        <v>17714</v>
      </c>
      <c r="G916" t="s">
        <v>74</v>
      </c>
      <c r="H916" t="s">
        <v>74</v>
      </c>
      <c r="I916" t="s">
        <v>17715</v>
      </c>
      <c r="J916" t="s">
        <v>4327</v>
      </c>
      <c r="K916" t="s">
        <v>74</v>
      </c>
      <c r="L916" t="s">
        <v>74</v>
      </c>
      <c r="M916" t="s">
        <v>78</v>
      </c>
      <c r="N916" t="s">
        <v>79</v>
      </c>
      <c r="O916" t="s">
        <v>74</v>
      </c>
      <c r="P916" t="s">
        <v>74</v>
      </c>
      <c r="Q916" t="s">
        <v>74</v>
      </c>
      <c r="R916" t="s">
        <v>74</v>
      </c>
      <c r="S916" t="s">
        <v>74</v>
      </c>
      <c r="T916" t="s">
        <v>17716</v>
      </c>
      <c r="U916" t="s">
        <v>17717</v>
      </c>
      <c r="V916" t="s">
        <v>17718</v>
      </c>
      <c r="W916" t="s">
        <v>17719</v>
      </c>
      <c r="X916" t="s">
        <v>17720</v>
      </c>
      <c r="Y916" t="s">
        <v>17721</v>
      </c>
      <c r="Z916" t="s">
        <v>17722</v>
      </c>
      <c r="AA916" t="s">
        <v>17723</v>
      </c>
      <c r="AB916" t="s">
        <v>17724</v>
      </c>
      <c r="AC916" t="s">
        <v>1902</v>
      </c>
      <c r="AD916" t="s">
        <v>1902</v>
      </c>
      <c r="AE916" t="s">
        <v>1903</v>
      </c>
      <c r="AF916" t="s">
        <v>74</v>
      </c>
      <c r="AG916">
        <v>71</v>
      </c>
      <c r="AH916">
        <v>3</v>
      </c>
      <c r="AI916">
        <v>3</v>
      </c>
      <c r="AJ916">
        <v>1</v>
      </c>
      <c r="AK916">
        <v>10</v>
      </c>
      <c r="AL916" t="s">
        <v>178</v>
      </c>
      <c r="AM916" t="s">
        <v>450</v>
      </c>
      <c r="AN916" t="s">
        <v>668</v>
      </c>
      <c r="AO916" t="s">
        <v>4340</v>
      </c>
      <c r="AP916" t="s">
        <v>4341</v>
      </c>
      <c r="AQ916" t="s">
        <v>74</v>
      </c>
      <c r="AR916" t="s">
        <v>4342</v>
      </c>
      <c r="AS916" t="s">
        <v>4343</v>
      </c>
      <c r="AT916" t="s">
        <v>184</v>
      </c>
      <c r="AU916">
        <v>2022</v>
      </c>
      <c r="AV916">
        <v>45</v>
      </c>
      <c r="AW916">
        <v>7</v>
      </c>
      <c r="AX916" t="s">
        <v>74</v>
      </c>
      <c r="AY916" t="s">
        <v>74</v>
      </c>
      <c r="AZ916" t="s">
        <v>74</v>
      </c>
      <c r="BA916" t="s">
        <v>74</v>
      </c>
      <c r="BB916">
        <v>1163</v>
      </c>
      <c r="BC916">
        <v>1174</v>
      </c>
      <c r="BD916" t="s">
        <v>74</v>
      </c>
      <c r="BE916" t="s">
        <v>17725</v>
      </c>
      <c r="BF916" t="str">
        <f>HYPERLINK("http://dx.doi.org/10.1007/s00300-022-03058-9","http://dx.doi.org/10.1007/s00300-022-03058-9")</f>
        <v>http://dx.doi.org/10.1007/s00300-022-03058-9</v>
      </c>
      <c r="BG916" t="s">
        <v>74</v>
      </c>
      <c r="BH916" t="s">
        <v>17025</v>
      </c>
      <c r="BI916">
        <v>12</v>
      </c>
      <c r="BJ916" t="s">
        <v>1169</v>
      </c>
      <c r="BK916" t="s">
        <v>100</v>
      </c>
      <c r="BL916" t="s">
        <v>1170</v>
      </c>
      <c r="BM916" t="s">
        <v>12991</v>
      </c>
      <c r="BN916" t="s">
        <v>74</v>
      </c>
      <c r="BO916" t="s">
        <v>1221</v>
      </c>
      <c r="BP916" t="s">
        <v>74</v>
      </c>
      <c r="BQ916" t="s">
        <v>74</v>
      </c>
      <c r="BR916" t="s">
        <v>103</v>
      </c>
      <c r="BS916" t="s">
        <v>17726</v>
      </c>
      <c r="BT916" t="str">
        <f>HYPERLINK("https%3A%2F%2Fwww.webofscience.com%2Fwos%2Fwoscc%2Ffull-record%2FWOS:000815569100001","View Full Record in Web of Science")</f>
        <v>View Full Record in Web of Science</v>
      </c>
    </row>
    <row r="917" spans="1:72" x14ac:dyDescent="0.15">
      <c r="A917" t="s">
        <v>72</v>
      </c>
      <c r="B917" t="s">
        <v>17727</v>
      </c>
      <c r="C917" t="s">
        <v>74</v>
      </c>
      <c r="D917" t="s">
        <v>74</v>
      </c>
      <c r="E917" t="s">
        <v>74</v>
      </c>
      <c r="F917" t="s">
        <v>17728</v>
      </c>
      <c r="G917" t="s">
        <v>74</v>
      </c>
      <c r="H917" t="s">
        <v>74</v>
      </c>
      <c r="I917" t="s">
        <v>17729</v>
      </c>
      <c r="J917" t="s">
        <v>335</v>
      </c>
      <c r="K917" t="s">
        <v>74</v>
      </c>
      <c r="L917" t="s">
        <v>74</v>
      </c>
      <c r="M917" t="s">
        <v>78</v>
      </c>
      <c r="N917" t="s">
        <v>79</v>
      </c>
      <c r="O917" t="s">
        <v>74</v>
      </c>
      <c r="P917" t="s">
        <v>74</v>
      </c>
      <c r="Q917" t="s">
        <v>74</v>
      </c>
      <c r="R917" t="s">
        <v>74</v>
      </c>
      <c r="S917" t="s">
        <v>74</v>
      </c>
      <c r="T917" t="s">
        <v>17730</v>
      </c>
      <c r="U917" t="s">
        <v>17731</v>
      </c>
      <c r="V917" t="s">
        <v>17732</v>
      </c>
      <c r="W917" t="s">
        <v>17733</v>
      </c>
      <c r="X917" t="s">
        <v>17734</v>
      </c>
      <c r="Y917" t="s">
        <v>17735</v>
      </c>
      <c r="Z917" t="s">
        <v>17736</v>
      </c>
      <c r="AA917" t="s">
        <v>17737</v>
      </c>
      <c r="AB917" t="s">
        <v>17738</v>
      </c>
      <c r="AC917" t="s">
        <v>17739</v>
      </c>
      <c r="AD917" t="s">
        <v>17740</v>
      </c>
      <c r="AE917" t="s">
        <v>17741</v>
      </c>
      <c r="AF917" t="s">
        <v>74</v>
      </c>
      <c r="AG917">
        <v>51</v>
      </c>
      <c r="AH917">
        <v>5</v>
      </c>
      <c r="AI917">
        <v>6</v>
      </c>
      <c r="AJ917">
        <v>1</v>
      </c>
      <c r="AK917">
        <v>4</v>
      </c>
      <c r="AL917" t="s">
        <v>345</v>
      </c>
      <c r="AM917" t="s">
        <v>346</v>
      </c>
      <c r="AN917" t="s">
        <v>347</v>
      </c>
      <c r="AO917" t="s">
        <v>348</v>
      </c>
      <c r="AP917" t="s">
        <v>349</v>
      </c>
      <c r="AQ917" t="s">
        <v>74</v>
      </c>
      <c r="AR917" t="s">
        <v>350</v>
      </c>
      <c r="AS917" t="s">
        <v>351</v>
      </c>
      <c r="AT917" t="s">
        <v>325</v>
      </c>
      <c r="AU917">
        <v>2022</v>
      </c>
      <c r="AV917">
        <v>68</v>
      </c>
      <c r="AW917">
        <v>272</v>
      </c>
      <c r="AX917" t="s">
        <v>74</v>
      </c>
      <c r="AY917" t="s">
        <v>74</v>
      </c>
      <c r="AZ917" t="s">
        <v>74</v>
      </c>
      <c r="BA917" t="s">
        <v>74</v>
      </c>
      <c r="BB917">
        <v>1221</v>
      </c>
      <c r="BC917">
        <v>1233</v>
      </c>
      <c r="BD917" t="s">
        <v>74</v>
      </c>
      <c r="BE917" t="s">
        <v>17742</v>
      </c>
      <c r="BF917" t="str">
        <f>HYPERLINK("http://dx.doi.org/10.1017/jog.2022.39","http://dx.doi.org/10.1017/jog.2022.39")</f>
        <v>http://dx.doi.org/10.1017/jog.2022.39</v>
      </c>
      <c r="BG917" t="s">
        <v>74</v>
      </c>
      <c r="BH917" t="s">
        <v>17025</v>
      </c>
      <c r="BI917">
        <v>13</v>
      </c>
      <c r="BJ917" t="s">
        <v>354</v>
      </c>
      <c r="BK917" t="s">
        <v>100</v>
      </c>
      <c r="BL917" t="s">
        <v>241</v>
      </c>
      <c r="BM917" t="s">
        <v>17743</v>
      </c>
      <c r="BN917" t="s">
        <v>74</v>
      </c>
      <c r="BO917" t="s">
        <v>132</v>
      </c>
      <c r="BP917" t="s">
        <v>74</v>
      </c>
      <c r="BQ917" t="s">
        <v>74</v>
      </c>
      <c r="BR917" t="s">
        <v>103</v>
      </c>
      <c r="BS917" t="s">
        <v>17744</v>
      </c>
      <c r="BT917" t="str">
        <f>HYPERLINK("https%3A%2F%2Fwww.webofscience.com%2Fwos%2Fwoscc%2Ffull-record%2FWOS:000815545300001","View Full Record in Web of Science")</f>
        <v>View Full Record in Web of Science</v>
      </c>
    </row>
    <row r="918" spans="1:72" x14ac:dyDescent="0.15">
      <c r="A918" t="s">
        <v>72</v>
      </c>
      <c r="B918" t="s">
        <v>17745</v>
      </c>
      <c r="C918" t="s">
        <v>74</v>
      </c>
      <c r="D918" t="s">
        <v>74</v>
      </c>
      <c r="E918" t="s">
        <v>74</v>
      </c>
      <c r="F918" t="s">
        <v>17746</v>
      </c>
      <c r="G918" t="s">
        <v>74</v>
      </c>
      <c r="H918" t="s">
        <v>74</v>
      </c>
      <c r="I918" t="s">
        <v>17747</v>
      </c>
      <c r="J918" t="s">
        <v>4327</v>
      </c>
      <c r="K918" t="s">
        <v>74</v>
      </c>
      <c r="L918" t="s">
        <v>74</v>
      </c>
      <c r="M918" t="s">
        <v>78</v>
      </c>
      <c r="N918" t="s">
        <v>79</v>
      </c>
      <c r="O918" t="s">
        <v>74</v>
      </c>
      <c r="P918" t="s">
        <v>74</v>
      </c>
      <c r="Q918" t="s">
        <v>74</v>
      </c>
      <c r="R918" t="s">
        <v>74</v>
      </c>
      <c r="S918" t="s">
        <v>74</v>
      </c>
      <c r="T918" t="s">
        <v>17748</v>
      </c>
      <c r="U918" t="s">
        <v>17749</v>
      </c>
      <c r="V918" t="s">
        <v>17750</v>
      </c>
      <c r="W918" t="s">
        <v>17751</v>
      </c>
      <c r="X918" t="s">
        <v>17752</v>
      </c>
      <c r="Y918" t="s">
        <v>17753</v>
      </c>
      <c r="Z918" t="s">
        <v>17754</v>
      </c>
      <c r="AA918" t="s">
        <v>74</v>
      </c>
      <c r="AB918" t="s">
        <v>74</v>
      </c>
      <c r="AC918" t="s">
        <v>17755</v>
      </c>
      <c r="AD918" t="s">
        <v>17756</v>
      </c>
      <c r="AE918" t="s">
        <v>17757</v>
      </c>
      <c r="AF918" t="s">
        <v>74</v>
      </c>
      <c r="AG918">
        <v>75</v>
      </c>
      <c r="AH918">
        <v>2</v>
      </c>
      <c r="AI918">
        <v>2</v>
      </c>
      <c r="AJ918">
        <v>0</v>
      </c>
      <c r="AK918">
        <v>7</v>
      </c>
      <c r="AL918" t="s">
        <v>178</v>
      </c>
      <c r="AM918" t="s">
        <v>450</v>
      </c>
      <c r="AN918" t="s">
        <v>668</v>
      </c>
      <c r="AO918" t="s">
        <v>4340</v>
      </c>
      <c r="AP918" t="s">
        <v>4341</v>
      </c>
      <c r="AQ918" t="s">
        <v>74</v>
      </c>
      <c r="AR918" t="s">
        <v>4342</v>
      </c>
      <c r="AS918" t="s">
        <v>4343</v>
      </c>
      <c r="AT918" t="s">
        <v>352</v>
      </c>
      <c r="AU918">
        <v>2022</v>
      </c>
      <c r="AV918">
        <v>45</v>
      </c>
      <c r="AW918">
        <v>6</v>
      </c>
      <c r="AX918" t="s">
        <v>74</v>
      </c>
      <c r="AY918" t="s">
        <v>74</v>
      </c>
      <c r="AZ918" t="s">
        <v>74</v>
      </c>
      <c r="BA918" t="s">
        <v>74</v>
      </c>
      <c r="BB918">
        <v>1105</v>
      </c>
      <c r="BC918">
        <v>1118</v>
      </c>
      <c r="BD918" t="s">
        <v>74</v>
      </c>
      <c r="BE918" t="s">
        <v>17758</v>
      </c>
      <c r="BF918" t="str">
        <f>HYPERLINK("http://dx.doi.org/10.1007/s00300-022-03060-1","http://dx.doi.org/10.1007/s00300-022-03060-1")</f>
        <v>http://dx.doi.org/10.1007/s00300-022-03060-1</v>
      </c>
      <c r="BG918" t="s">
        <v>74</v>
      </c>
      <c r="BH918" t="s">
        <v>17025</v>
      </c>
      <c r="BI918">
        <v>14</v>
      </c>
      <c r="BJ918" t="s">
        <v>1169</v>
      </c>
      <c r="BK918" t="s">
        <v>100</v>
      </c>
      <c r="BL918" t="s">
        <v>1170</v>
      </c>
      <c r="BM918" t="s">
        <v>17759</v>
      </c>
      <c r="BN918" t="s">
        <v>74</v>
      </c>
      <c r="BO918" t="s">
        <v>6367</v>
      </c>
      <c r="BP918" t="s">
        <v>74</v>
      </c>
      <c r="BQ918" t="s">
        <v>74</v>
      </c>
      <c r="BR918" t="s">
        <v>103</v>
      </c>
      <c r="BS918" t="s">
        <v>17760</v>
      </c>
      <c r="BT918" t="str">
        <f>HYPERLINK("https%3A%2F%2Fwww.webofscience.com%2Fwos%2Fwoscc%2Ffull-record%2FWOS:000815426100002","View Full Record in Web of Science")</f>
        <v>View Full Record in Web of Science</v>
      </c>
    </row>
    <row r="919" spans="1:72" x14ac:dyDescent="0.15">
      <c r="A919" t="s">
        <v>72</v>
      </c>
      <c r="B919" t="s">
        <v>17761</v>
      </c>
      <c r="C919" t="s">
        <v>74</v>
      </c>
      <c r="D919" t="s">
        <v>74</v>
      </c>
      <c r="E919" t="s">
        <v>74</v>
      </c>
      <c r="F919" t="s">
        <v>17762</v>
      </c>
      <c r="G919" t="s">
        <v>74</v>
      </c>
      <c r="H919" t="s">
        <v>74</v>
      </c>
      <c r="I919" t="s">
        <v>17763</v>
      </c>
      <c r="J919" t="s">
        <v>4327</v>
      </c>
      <c r="K919" t="s">
        <v>74</v>
      </c>
      <c r="L919" t="s">
        <v>74</v>
      </c>
      <c r="M919" t="s">
        <v>78</v>
      </c>
      <c r="N919" t="s">
        <v>79</v>
      </c>
      <c r="O919" t="s">
        <v>74</v>
      </c>
      <c r="P919" t="s">
        <v>74</v>
      </c>
      <c r="Q919" t="s">
        <v>74</v>
      </c>
      <c r="R919" t="s">
        <v>74</v>
      </c>
      <c r="S919" t="s">
        <v>74</v>
      </c>
      <c r="T919" t="s">
        <v>17764</v>
      </c>
      <c r="U919" t="s">
        <v>17765</v>
      </c>
      <c r="V919" t="s">
        <v>17766</v>
      </c>
      <c r="W919" t="s">
        <v>17767</v>
      </c>
      <c r="X919" t="s">
        <v>17768</v>
      </c>
      <c r="Y919" t="s">
        <v>17769</v>
      </c>
      <c r="Z919" t="s">
        <v>17770</v>
      </c>
      <c r="AA919" t="s">
        <v>74</v>
      </c>
      <c r="AB919" t="s">
        <v>17771</v>
      </c>
      <c r="AC919" t="s">
        <v>17772</v>
      </c>
      <c r="AD919" t="s">
        <v>17772</v>
      </c>
      <c r="AE919" t="s">
        <v>17773</v>
      </c>
      <c r="AF919" t="s">
        <v>74</v>
      </c>
      <c r="AG919">
        <v>43</v>
      </c>
      <c r="AH919">
        <v>1</v>
      </c>
      <c r="AI919">
        <v>1</v>
      </c>
      <c r="AJ919">
        <v>1</v>
      </c>
      <c r="AK919">
        <v>2</v>
      </c>
      <c r="AL919" t="s">
        <v>178</v>
      </c>
      <c r="AM919" t="s">
        <v>450</v>
      </c>
      <c r="AN919" t="s">
        <v>668</v>
      </c>
      <c r="AO919" t="s">
        <v>4340</v>
      </c>
      <c r="AP919" t="s">
        <v>4341</v>
      </c>
      <c r="AQ919" t="s">
        <v>74</v>
      </c>
      <c r="AR919" t="s">
        <v>4342</v>
      </c>
      <c r="AS919" t="s">
        <v>4343</v>
      </c>
      <c r="AT919" t="s">
        <v>352</v>
      </c>
      <c r="AU919">
        <v>2022</v>
      </c>
      <c r="AV919">
        <v>45</v>
      </c>
      <c r="AW919">
        <v>6</v>
      </c>
      <c r="AX919" t="s">
        <v>74</v>
      </c>
      <c r="AY919" t="s">
        <v>74</v>
      </c>
      <c r="AZ919" t="s">
        <v>74</v>
      </c>
      <c r="BA919" t="s">
        <v>74</v>
      </c>
      <c r="BB919">
        <v>1119</v>
      </c>
      <c r="BC919">
        <v>1130</v>
      </c>
      <c r="BD919" t="s">
        <v>74</v>
      </c>
      <c r="BE919" t="s">
        <v>17774</v>
      </c>
      <c r="BF919" t="str">
        <f>HYPERLINK("http://dx.doi.org/10.1007/s00300-022-03062-z","http://dx.doi.org/10.1007/s00300-022-03062-z")</f>
        <v>http://dx.doi.org/10.1007/s00300-022-03062-z</v>
      </c>
      <c r="BG919" t="s">
        <v>74</v>
      </c>
      <c r="BH919" t="s">
        <v>17025</v>
      </c>
      <c r="BI919">
        <v>12</v>
      </c>
      <c r="BJ919" t="s">
        <v>1169</v>
      </c>
      <c r="BK919" t="s">
        <v>100</v>
      </c>
      <c r="BL919" t="s">
        <v>1170</v>
      </c>
      <c r="BM919" t="s">
        <v>17759</v>
      </c>
      <c r="BN919" t="s">
        <v>74</v>
      </c>
      <c r="BO919" t="s">
        <v>831</v>
      </c>
      <c r="BP919" t="s">
        <v>74</v>
      </c>
      <c r="BQ919" t="s">
        <v>74</v>
      </c>
      <c r="BR919" t="s">
        <v>103</v>
      </c>
      <c r="BS919" t="s">
        <v>17775</v>
      </c>
      <c r="BT919" t="str">
        <f>HYPERLINK("https%3A%2F%2Fwww.webofscience.com%2Fwos%2Fwoscc%2Ffull-record%2FWOS:000815426100003","View Full Record in Web of Science")</f>
        <v>View Full Record in Web of Science</v>
      </c>
    </row>
    <row r="920" spans="1:72" x14ac:dyDescent="0.15">
      <c r="A920" t="s">
        <v>72</v>
      </c>
      <c r="B920" t="s">
        <v>17776</v>
      </c>
      <c r="C920" t="s">
        <v>74</v>
      </c>
      <c r="D920" t="s">
        <v>74</v>
      </c>
      <c r="E920" t="s">
        <v>74</v>
      </c>
      <c r="F920" t="s">
        <v>17777</v>
      </c>
      <c r="G920" t="s">
        <v>74</v>
      </c>
      <c r="H920" t="s">
        <v>74</v>
      </c>
      <c r="I920" t="s">
        <v>17778</v>
      </c>
      <c r="J920" t="s">
        <v>8750</v>
      </c>
      <c r="K920" t="s">
        <v>74</v>
      </c>
      <c r="L920" t="s">
        <v>74</v>
      </c>
      <c r="M920" t="s">
        <v>78</v>
      </c>
      <c r="N920" t="s">
        <v>79</v>
      </c>
      <c r="O920" t="s">
        <v>74</v>
      </c>
      <c r="P920" t="s">
        <v>74</v>
      </c>
      <c r="Q920" t="s">
        <v>74</v>
      </c>
      <c r="R920" t="s">
        <v>74</v>
      </c>
      <c r="S920" t="s">
        <v>74</v>
      </c>
      <c r="T920" t="s">
        <v>17779</v>
      </c>
      <c r="U920" t="s">
        <v>17780</v>
      </c>
      <c r="V920" t="s">
        <v>17781</v>
      </c>
      <c r="W920" t="s">
        <v>17782</v>
      </c>
      <c r="X920" t="s">
        <v>4701</v>
      </c>
      <c r="Y920" t="s">
        <v>17783</v>
      </c>
      <c r="Z920" t="s">
        <v>17784</v>
      </c>
      <c r="AA920" t="s">
        <v>17785</v>
      </c>
      <c r="AB920" t="s">
        <v>17786</v>
      </c>
      <c r="AC920" t="s">
        <v>17787</v>
      </c>
      <c r="AD920" t="s">
        <v>17788</v>
      </c>
      <c r="AE920" t="s">
        <v>17789</v>
      </c>
      <c r="AF920" t="s">
        <v>74</v>
      </c>
      <c r="AG920">
        <v>66</v>
      </c>
      <c r="AH920">
        <v>0</v>
      </c>
      <c r="AI920">
        <v>0</v>
      </c>
      <c r="AJ920">
        <v>0</v>
      </c>
      <c r="AK920">
        <v>4</v>
      </c>
      <c r="AL920" t="s">
        <v>231</v>
      </c>
      <c r="AM920" t="s">
        <v>232</v>
      </c>
      <c r="AN920" t="s">
        <v>233</v>
      </c>
      <c r="AO920" t="s">
        <v>8763</v>
      </c>
      <c r="AP920" t="s">
        <v>8764</v>
      </c>
      <c r="AQ920" t="s">
        <v>74</v>
      </c>
      <c r="AR920" t="s">
        <v>8765</v>
      </c>
      <c r="AS920" t="s">
        <v>8766</v>
      </c>
      <c r="AT920" t="s">
        <v>184</v>
      </c>
      <c r="AU920">
        <v>2022</v>
      </c>
      <c r="AV920">
        <v>148</v>
      </c>
      <c r="AW920">
        <v>747</v>
      </c>
      <c r="AX920" t="s">
        <v>74</v>
      </c>
      <c r="AY920" t="s">
        <v>74</v>
      </c>
      <c r="AZ920" t="s">
        <v>74</v>
      </c>
      <c r="BA920" t="s">
        <v>74</v>
      </c>
      <c r="BB920">
        <v>2607</v>
      </c>
      <c r="BC920">
        <v>2630</v>
      </c>
      <c r="BD920" t="s">
        <v>74</v>
      </c>
      <c r="BE920" t="s">
        <v>17790</v>
      </c>
      <c r="BF920" t="str">
        <f>HYPERLINK("http://dx.doi.org/10.1002/qj.4327","http://dx.doi.org/10.1002/qj.4327")</f>
        <v>http://dx.doi.org/10.1002/qj.4327</v>
      </c>
      <c r="BG920" t="s">
        <v>74</v>
      </c>
      <c r="BH920" t="s">
        <v>17025</v>
      </c>
      <c r="BI920">
        <v>24</v>
      </c>
      <c r="BJ920" t="s">
        <v>457</v>
      </c>
      <c r="BK920" t="s">
        <v>100</v>
      </c>
      <c r="BL920" t="s">
        <v>457</v>
      </c>
      <c r="BM920" t="s">
        <v>17791</v>
      </c>
      <c r="BN920" t="s">
        <v>74</v>
      </c>
      <c r="BO920" t="s">
        <v>17792</v>
      </c>
      <c r="BP920" t="s">
        <v>74</v>
      </c>
      <c r="BQ920" t="s">
        <v>74</v>
      </c>
      <c r="BR920" t="s">
        <v>103</v>
      </c>
      <c r="BS920" t="s">
        <v>17793</v>
      </c>
      <c r="BT920" t="str">
        <f>HYPERLINK("https%3A%2F%2Fwww.webofscience.com%2Fwos%2Fwoscc%2Ffull-record%2FWOS:000815032600001","View Full Record in Web of Science")</f>
        <v>View Full Record in Web of Science</v>
      </c>
    </row>
    <row r="921" spans="1:72" x14ac:dyDescent="0.15">
      <c r="A921" t="s">
        <v>72</v>
      </c>
      <c r="B921" t="s">
        <v>6979</v>
      </c>
      <c r="C921" t="s">
        <v>74</v>
      </c>
      <c r="D921" t="s">
        <v>74</v>
      </c>
      <c r="E921" t="s">
        <v>74</v>
      </c>
      <c r="F921" t="s">
        <v>6979</v>
      </c>
      <c r="G921" t="s">
        <v>74</v>
      </c>
      <c r="H921" t="s">
        <v>74</v>
      </c>
      <c r="I921" t="s">
        <v>17794</v>
      </c>
      <c r="J921" t="s">
        <v>3380</v>
      </c>
      <c r="K921" t="s">
        <v>74</v>
      </c>
      <c r="L921" t="s">
        <v>74</v>
      </c>
      <c r="M921" t="s">
        <v>78</v>
      </c>
      <c r="N921" t="s">
        <v>1346</v>
      </c>
      <c r="O921" t="s">
        <v>74</v>
      </c>
      <c r="P921" t="s">
        <v>74</v>
      </c>
      <c r="Q921" t="s">
        <v>74</v>
      </c>
      <c r="R921" t="s">
        <v>74</v>
      </c>
      <c r="S921" t="s">
        <v>74</v>
      </c>
      <c r="T921" t="s">
        <v>17795</v>
      </c>
      <c r="U921" t="s">
        <v>74</v>
      </c>
      <c r="V921" t="s">
        <v>74</v>
      </c>
      <c r="W921" t="s">
        <v>74</v>
      </c>
      <c r="X921" t="s">
        <v>74</v>
      </c>
      <c r="Y921" t="s">
        <v>74</v>
      </c>
      <c r="Z921" t="s">
        <v>74</v>
      </c>
      <c r="AA921" t="s">
        <v>74</v>
      </c>
      <c r="AB921" t="s">
        <v>74</v>
      </c>
      <c r="AC921" t="s">
        <v>74</v>
      </c>
      <c r="AD921" t="s">
        <v>74</v>
      </c>
      <c r="AE921" t="s">
        <v>74</v>
      </c>
      <c r="AF921" t="s">
        <v>74</v>
      </c>
      <c r="AG921">
        <v>1</v>
      </c>
      <c r="AH921">
        <v>0</v>
      </c>
      <c r="AI921">
        <v>0</v>
      </c>
      <c r="AJ921">
        <v>16</v>
      </c>
      <c r="AK921">
        <v>70</v>
      </c>
      <c r="AL921" t="s">
        <v>149</v>
      </c>
      <c r="AM921" t="s">
        <v>150</v>
      </c>
      <c r="AN921" t="s">
        <v>151</v>
      </c>
      <c r="AO921" t="s">
        <v>3390</v>
      </c>
      <c r="AP921" t="s">
        <v>3391</v>
      </c>
      <c r="AQ921" t="s">
        <v>74</v>
      </c>
      <c r="AR921" t="s">
        <v>3380</v>
      </c>
      <c r="AS921" t="s">
        <v>3392</v>
      </c>
      <c r="AT921" t="s">
        <v>17796</v>
      </c>
      <c r="AU921">
        <v>2022</v>
      </c>
      <c r="AV921">
        <v>606</v>
      </c>
      <c r="AW921">
        <v>7915</v>
      </c>
      <c r="AX921" t="s">
        <v>74</v>
      </c>
      <c r="AY921" t="s">
        <v>74</v>
      </c>
      <c r="AZ921" t="s">
        <v>74</v>
      </c>
      <c r="BA921" t="s">
        <v>74</v>
      </c>
      <c r="BB921">
        <v>626</v>
      </c>
      <c r="BC921">
        <v>626</v>
      </c>
      <c r="BD921" t="s">
        <v>74</v>
      </c>
      <c r="BE921" t="s">
        <v>17797</v>
      </c>
      <c r="BF921" t="str">
        <f>HYPERLINK("http://dx.doi.org/10.1038/d41586-022-01643-w","http://dx.doi.org/10.1038/d41586-022-01643-w")</f>
        <v>http://dx.doi.org/10.1038/d41586-022-01643-w</v>
      </c>
      <c r="BG921" t="s">
        <v>74</v>
      </c>
      <c r="BH921" t="s">
        <v>74</v>
      </c>
      <c r="BI921">
        <v>1</v>
      </c>
      <c r="BJ921" t="s">
        <v>156</v>
      </c>
      <c r="BK921" t="s">
        <v>100</v>
      </c>
      <c r="BL921" t="s">
        <v>157</v>
      </c>
      <c r="BM921" t="s">
        <v>17798</v>
      </c>
      <c r="BN921">
        <v>35697766</v>
      </c>
      <c r="BO921" t="s">
        <v>74</v>
      </c>
      <c r="BP921" t="s">
        <v>74</v>
      </c>
      <c r="BQ921" t="s">
        <v>74</v>
      </c>
      <c r="BR921" t="s">
        <v>103</v>
      </c>
      <c r="BS921" t="s">
        <v>17799</v>
      </c>
      <c r="BT921" t="str">
        <f>HYPERLINK("https%3A%2F%2Fwww.webofscience.com%2Fwos%2Fwoscc%2Ffull-record%2FWOS:000814245000002","View Full Record in Web of Science")</f>
        <v>View Full Record in Web of Science</v>
      </c>
    </row>
    <row r="922" spans="1:72" x14ac:dyDescent="0.15">
      <c r="A922" t="s">
        <v>72</v>
      </c>
      <c r="B922" t="s">
        <v>17800</v>
      </c>
      <c r="C922" t="s">
        <v>74</v>
      </c>
      <c r="D922" t="s">
        <v>74</v>
      </c>
      <c r="E922" t="s">
        <v>74</v>
      </c>
      <c r="F922" t="s">
        <v>17801</v>
      </c>
      <c r="G922" t="s">
        <v>74</v>
      </c>
      <c r="H922" t="s">
        <v>74</v>
      </c>
      <c r="I922" t="s">
        <v>17802</v>
      </c>
      <c r="J922" t="s">
        <v>247</v>
      </c>
      <c r="K922" t="s">
        <v>74</v>
      </c>
      <c r="L922" t="s">
        <v>74</v>
      </c>
      <c r="M922" t="s">
        <v>78</v>
      </c>
      <c r="N922" t="s">
        <v>79</v>
      </c>
      <c r="O922" t="s">
        <v>74</v>
      </c>
      <c r="P922" t="s">
        <v>74</v>
      </c>
      <c r="Q922" t="s">
        <v>74</v>
      </c>
      <c r="R922" t="s">
        <v>74</v>
      </c>
      <c r="S922" t="s">
        <v>74</v>
      </c>
      <c r="T922" t="s">
        <v>17803</v>
      </c>
      <c r="U922" t="s">
        <v>17804</v>
      </c>
      <c r="V922" t="s">
        <v>17805</v>
      </c>
      <c r="W922" t="s">
        <v>17806</v>
      </c>
      <c r="X922" t="s">
        <v>17807</v>
      </c>
      <c r="Y922" t="s">
        <v>17808</v>
      </c>
      <c r="Z922" t="s">
        <v>17809</v>
      </c>
      <c r="AA922" t="s">
        <v>17810</v>
      </c>
      <c r="AB922" t="s">
        <v>17811</v>
      </c>
      <c r="AC922" t="s">
        <v>17812</v>
      </c>
      <c r="AD922" t="s">
        <v>17813</v>
      </c>
      <c r="AE922" t="s">
        <v>17814</v>
      </c>
      <c r="AF922" t="s">
        <v>74</v>
      </c>
      <c r="AG922">
        <v>80</v>
      </c>
      <c r="AH922">
        <v>1</v>
      </c>
      <c r="AI922">
        <v>1</v>
      </c>
      <c r="AJ922">
        <v>1</v>
      </c>
      <c r="AK922">
        <v>3</v>
      </c>
      <c r="AL922" t="s">
        <v>121</v>
      </c>
      <c r="AM922" t="s">
        <v>122</v>
      </c>
      <c r="AN922" t="s">
        <v>123</v>
      </c>
      <c r="AO922" t="s">
        <v>74</v>
      </c>
      <c r="AP922" t="s">
        <v>258</v>
      </c>
      <c r="AQ922" t="s">
        <v>74</v>
      </c>
      <c r="AR922" t="s">
        <v>259</v>
      </c>
      <c r="AS922" t="s">
        <v>260</v>
      </c>
      <c r="AT922" t="s">
        <v>17796</v>
      </c>
      <c r="AU922">
        <v>2022</v>
      </c>
      <c r="AV922">
        <v>9</v>
      </c>
      <c r="AW922" t="s">
        <v>74</v>
      </c>
      <c r="AX922" t="s">
        <v>74</v>
      </c>
      <c r="AY922" t="s">
        <v>74</v>
      </c>
      <c r="AZ922" t="s">
        <v>74</v>
      </c>
      <c r="BA922" t="s">
        <v>74</v>
      </c>
      <c r="BB922" t="s">
        <v>74</v>
      </c>
      <c r="BC922" t="s">
        <v>74</v>
      </c>
      <c r="BD922">
        <v>643811</v>
      </c>
      <c r="BE922" t="s">
        <v>17815</v>
      </c>
      <c r="BF922" t="str">
        <f>HYPERLINK("http://dx.doi.org/10.3389/fmars.2022.643811","http://dx.doi.org/10.3389/fmars.2022.643811")</f>
        <v>http://dx.doi.org/10.3389/fmars.2022.643811</v>
      </c>
      <c r="BG922" t="s">
        <v>74</v>
      </c>
      <c r="BH922" t="s">
        <v>74</v>
      </c>
      <c r="BI922">
        <v>18</v>
      </c>
      <c r="BJ922" t="s">
        <v>263</v>
      </c>
      <c r="BK922" t="s">
        <v>100</v>
      </c>
      <c r="BL922" t="s">
        <v>264</v>
      </c>
      <c r="BM922" t="s">
        <v>17816</v>
      </c>
      <c r="BN922" t="s">
        <v>74</v>
      </c>
      <c r="BO922" t="s">
        <v>266</v>
      </c>
      <c r="BP922" t="s">
        <v>74</v>
      </c>
      <c r="BQ922" t="s">
        <v>74</v>
      </c>
      <c r="BR922" t="s">
        <v>103</v>
      </c>
      <c r="BS922" t="s">
        <v>17817</v>
      </c>
      <c r="BT922" t="str">
        <f>HYPERLINK("https%3A%2F%2Fwww.webofscience.com%2Fwos%2Fwoscc%2Ffull-record%2FWOS:000859844900001","View Full Record in Web of Science")</f>
        <v>View Full Record in Web of Science</v>
      </c>
    </row>
    <row r="923" spans="1:72" x14ac:dyDescent="0.15">
      <c r="A923" t="s">
        <v>72</v>
      </c>
      <c r="B923" t="s">
        <v>17818</v>
      </c>
      <c r="C923" t="s">
        <v>74</v>
      </c>
      <c r="D923" t="s">
        <v>74</v>
      </c>
      <c r="E923" t="s">
        <v>74</v>
      </c>
      <c r="F923" t="s">
        <v>17819</v>
      </c>
      <c r="G923" t="s">
        <v>74</v>
      </c>
      <c r="H923" t="s">
        <v>74</v>
      </c>
      <c r="I923" t="s">
        <v>17820</v>
      </c>
      <c r="J923" t="s">
        <v>3244</v>
      </c>
      <c r="K923" t="s">
        <v>74</v>
      </c>
      <c r="L923" t="s">
        <v>74</v>
      </c>
      <c r="M923" t="s">
        <v>78</v>
      </c>
      <c r="N923" t="s">
        <v>79</v>
      </c>
      <c r="O923" t="s">
        <v>74</v>
      </c>
      <c r="P923" t="s">
        <v>74</v>
      </c>
      <c r="Q923" t="s">
        <v>74</v>
      </c>
      <c r="R923" t="s">
        <v>74</v>
      </c>
      <c r="S923" t="s">
        <v>74</v>
      </c>
      <c r="T923" t="s">
        <v>74</v>
      </c>
      <c r="U923" t="s">
        <v>17821</v>
      </c>
      <c r="V923" t="s">
        <v>17822</v>
      </c>
      <c r="W923" t="s">
        <v>17823</v>
      </c>
      <c r="X923" t="s">
        <v>17824</v>
      </c>
      <c r="Y923" t="s">
        <v>17825</v>
      </c>
      <c r="Z923" t="s">
        <v>17826</v>
      </c>
      <c r="AA923" t="s">
        <v>17827</v>
      </c>
      <c r="AB923" t="s">
        <v>17828</v>
      </c>
      <c r="AC923" t="s">
        <v>17829</v>
      </c>
      <c r="AD923" t="s">
        <v>17830</v>
      </c>
      <c r="AE923" t="s">
        <v>17831</v>
      </c>
      <c r="AF923" t="s">
        <v>74</v>
      </c>
      <c r="AG923">
        <v>45</v>
      </c>
      <c r="AH923">
        <v>1</v>
      </c>
      <c r="AI923">
        <v>1</v>
      </c>
      <c r="AJ923">
        <v>3</v>
      </c>
      <c r="AK923">
        <v>9</v>
      </c>
      <c r="AL923" t="s">
        <v>2460</v>
      </c>
      <c r="AM923" t="s">
        <v>2461</v>
      </c>
      <c r="AN923" t="s">
        <v>2462</v>
      </c>
      <c r="AO923" t="s">
        <v>3256</v>
      </c>
      <c r="AP923" t="s">
        <v>3257</v>
      </c>
      <c r="AQ923" t="s">
        <v>74</v>
      </c>
      <c r="AR923" t="s">
        <v>3258</v>
      </c>
      <c r="AS923" t="s">
        <v>3259</v>
      </c>
      <c r="AT923" t="s">
        <v>17796</v>
      </c>
      <c r="AU923">
        <v>2022</v>
      </c>
      <c r="AV923">
        <v>22</v>
      </c>
      <c r="AW923">
        <v>12</v>
      </c>
      <c r="AX923" t="s">
        <v>74</v>
      </c>
      <c r="AY923" t="s">
        <v>74</v>
      </c>
      <c r="AZ923" t="s">
        <v>74</v>
      </c>
      <c r="BA923" t="s">
        <v>74</v>
      </c>
      <c r="BB923">
        <v>8137</v>
      </c>
      <c r="BC923">
        <v>8149</v>
      </c>
      <c r="BD923" t="s">
        <v>74</v>
      </c>
      <c r="BE923" t="s">
        <v>17832</v>
      </c>
      <c r="BF923" t="str">
        <f>HYPERLINK("http://dx.doi.org/10.5194/acp-22-8137-2022","http://dx.doi.org/10.5194/acp-22-8137-2022")</f>
        <v>http://dx.doi.org/10.5194/acp-22-8137-2022</v>
      </c>
      <c r="BG923" t="s">
        <v>74</v>
      </c>
      <c r="BH923" t="s">
        <v>74</v>
      </c>
      <c r="BI923">
        <v>13</v>
      </c>
      <c r="BJ923" t="s">
        <v>1129</v>
      </c>
      <c r="BK923" t="s">
        <v>100</v>
      </c>
      <c r="BL923" t="s">
        <v>1130</v>
      </c>
      <c r="BM923" t="s">
        <v>17833</v>
      </c>
      <c r="BN923" t="s">
        <v>74</v>
      </c>
      <c r="BO923" t="s">
        <v>3262</v>
      </c>
      <c r="BP923" t="s">
        <v>74</v>
      </c>
      <c r="BQ923" t="s">
        <v>74</v>
      </c>
      <c r="BR923" t="s">
        <v>103</v>
      </c>
      <c r="BS923" t="s">
        <v>17834</v>
      </c>
      <c r="BT923" t="str">
        <f>HYPERLINK("https%3A%2F%2Fwww.webofscience.com%2Fwos%2Fwoscc%2Ffull-record%2FWOS:000814521800001","View Full Record in Web of Science")</f>
        <v>View Full Record in Web of Science</v>
      </c>
    </row>
    <row r="924" spans="1:72" x14ac:dyDescent="0.15">
      <c r="A924" t="s">
        <v>72</v>
      </c>
      <c r="B924" t="s">
        <v>17835</v>
      </c>
      <c r="C924" t="s">
        <v>74</v>
      </c>
      <c r="D924" t="s">
        <v>74</v>
      </c>
      <c r="E924" t="s">
        <v>74</v>
      </c>
      <c r="F924" t="s">
        <v>17836</v>
      </c>
      <c r="G924" t="s">
        <v>74</v>
      </c>
      <c r="H924" t="s">
        <v>74</v>
      </c>
      <c r="I924" t="s">
        <v>17837</v>
      </c>
      <c r="J924" t="s">
        <v>17838</v>
      </c>
      <c r="K924" t="s">
        <v>74</v>
      </c>
      <c r="L924" t="s">
        <v>74</v>
      </c>
      <c r="M924" t="s">
        <v>78</v>
      </c>
      <c r="N924" t="s">
        <v>1346</v>
      </c>
      <c r="O924" t="s">
        <v>74</v>
      </c>
      <c r="P924" t="s">
        <v>74</v>
      </c>
      <c r="Q924" t="s">
        <v>74</v>
      </c>
      <c r="R924" t="s">
        <v>74</v>
      </c>
      <c r="S924" t="s">
        <v>74</v>
      </c>
      <c r="T924" t="s">
        <v>74</v>
      </c>
      <c r="U924" t="s">
        <v>17839</v>
      </c>
      <c r="V924" t="s">
        <v>17840</v>
      </c>
      <c r="W924" t="s">
        <v>17841</v>
      </c>
      <c r="X924" t="s">
        <v>17842</v>
      </c>
      <c r="Y924" t="s">
        <v>17843</v>
      </c>
      <c r="Z924" t="s">
        <v>74</v>
      </c>
      <c r="AA924" t="s">
        <v>17844</v>
      </c>
      <c r="AB924" t="s">
        <v>17845</v>
      </c>
      <c r="AC924" t="s">
        <v>17846</v>
      </c>
      <c r="AD924" t="s">
        <v>17847</v>
      </c>
      <c r="AE924" t="s">
        <v>17848</v>
      </c>
      <c r="AF924" t="s">
        <v>74</v>
      </c>
      <c r="AG924">
        <v>33</v>
      </c>
      <c r="AH924">
        <v>0</v>
      </c>
      <c r="AI924">
        <v>0</v>
      </c>
      <c r="AJ924">
        <v>0</v>
      </c>
      <c r="AK924">
        <v>5</v>
      </c>
      <c r="AL924" t="s">
        <v>89</v>
      </c>
      <c r="AM924" t="s">
        <v>90</v>
      </c>
      <c r="AN924" t="s">
        <v>91</v>
      </c>
      <c r="AO924" t="s">
        <v>17849</v>
      </c>
      <c r="AP924" t="s">
        <v>17850</v>
      </c>
      <c r="AQ924" t="s">
        <v>74</v>
      </c>
      <c r="AR924" t="s">
        <v>17851</v>
      </c>
      <c r="AS924" t="s">
        <v>17852</v>
      </c>
      <c r="AT924" t="s">
        <v>8232</v>
      </c>
      <c r="AU924">
        <v>2022</v>
      </c>
      <c r="AV924">
        <v>187</v>
      </c>
      <c r="AW924" t="s">
        <v>5959</v>
      </c>
      <c r="AX924" t="s">
        <v>74</v>
      </c>
      <c r="AY924" t="s">
        <v>74</v>
      </c>
      <c r="AZ924" t="s">
        <v>74</v>
      </c>
      <c r="BA924" t="s">
        <v>74</v>
      </c>
      <c r="BB924">
        <v>264</v>
      </c>
      <c r="BC924">
        <v>271</v>
      </c>
      <c r="BD924" t="s">
        <v>74</v>
      </c>
      <c r="BE924" t="s">
        <v>17853</v>
      </c>
      <c r="BF924" t="str">
        <f>HYPERLINK("http://dx.doi.org/10.1093/milmed/usac154","http://dx.doi.org/10.1093/milmed/usac154")</f>
        <v>http://dx.doi.org/10.1093/milmed/usac154</v>
      </c>
      <c r="BG924" t="s">
        <v>74</v>
      </c>
      <c r="BH924" t="s">
        <v>17025</v>
      </c>
      <c r="BI924">
        <v>8</v>
      </c>
      <c r="BJ924" t="s">
        <v>17854</v>
      </c>
      <c r="BK924" t="s">
        <v>100</v>
      </c>
      <c r="BL924" t="s">
        <v>13721</v>
      </c>
      <c r="BM924" t="s">
        <v>17855</v>
      </c>
      <c r="BN924">
        <v>35734819</v>
      </c>
      <c r="BO924" t="s">
        <v>404</v>
      </c>
      <c r="BP924" t="s">
        <v>74</v>
      </c>
      <c r="BQ924" t="s">
        <v>74</v>
      </c>
      <c r="BR924" t="s">
        <v>103</v>
      </c>
      <c r="BS924" t="s">
        <v>17856</v>
      </c>
      <c r="BT924" t="str">
        <f>HYPERLINK("https%3A%2F%2Fwww.webofscience.com%2Fwos%2Fwoscc%2Ffull-record%2FWOS:000814469400001","View Full Record in Web of Science")</f>
        <v>View Full Record in Web of Science</v>
      </c>
    </row>
    <row r="925" spans="1:72" x14ac:dyDescent="0.15">
      <c r="A925" t="s">
        <v>72</v>
      </c>
      <c r="B925" t="s">
        <v>17857</v>
      </c>
      <c r="C925" t="s">
        <v>74</v>
      </c>
      <c r="D925" t="s">
        <v>74</v>
      </c>
      <c r="E925" t="s">
        <v>74</v>
      </c>
      <c r="F925" t="s">
        <v>17858</v>
      </c>
      <c r="G925" t="s">
        <v>74</v>
      </c>
      <c r="H925" t="s">
        <v>74</v>
      </c>
      <c r="I925" t="s">
        <v>17859</v>
      </c>
      <c r="J925" t="s">
        <v>4327</v>
      </c>
      <c r="K925" t="s">
        <v>74</v>
      </c>
      <c r="L925" t="s">
        <v>74</v>
      </c>
      <c r="M925" t="s">
        <v>78</v>
      </c>
      <c r="N925" t="s">
        <v>79</v>
      </c>
      <c r="O925" t="s">
        <v>74</v>
      </c>
      <c r="P925" t="s">
        <v>74</v>
      </c>
      <c r="Q925" t="s">
        <v>74</v>
      </c>
      <c r="R925" t="s">
        <v>74</v>
      </c>
      <c r="S925" t="s">
        <v>74</v>
      </c>
      <c r="T925" t="s">
        <v>17860</v>
      </c>
      <c r="U925" t="s">
        <v>17861</v>
      </c>
      <c r="V925" t="s">
        <v>17862</v>
      </c>
      <c r="W925" t="s">
        <v>17863</v>
      </c>
      <c r="X925" t="s">
        <v>4995</v>
      </c>
      <c r="Y925" t="s">
        <v>17864</v>
      </c>
      <c r="Z925" t="s">
        <v>17865</v>
      </c>
      <c r="AA925" t="s">
        <v>74</v>
      </c>
      <c r="AB925" t="s">
        <v>17866</v>
      </c>
      <c r="AC925" t="s">
        <v>17867</v>
      </c>
      <c r="AD925" t="s">
        <v>17868</v>
      </c>
      <c r="AE925" t="s">
        <v>17869</v>
      </c>
      <c r="AF925" t="s">
        <v>74</v>
      </c>
      <c r="AG925">
        <v>64</v>
      </c>
      <c r="AH925">
        <v>2</v>
      </c>
      <c r="AI925">
        <v>2</v>
      </c>
      <c r="AJ925">
        <v>1</v>
      </c>
      <c r="AK925">
        <v>4</v>
      </c>
      <c r="AL925" t="s">
        <v>178</v>
      </c>
      <c r="AM925" t="s">
        <v>450</v>
      </c>
      <c r="AN925" t="s">
        <v>668</v>
      </c>
      <c r="AO925" t="s">
        <v>4340</v>
      </c>
      <c r="AP925" t="s">
        <v>4341</v>
      </c>
      <c r="AQ925" t="s">
        <v>74</v>
      </c>
      <c r="AR925" t="s">
        <v>4342</v>
      </c>
      <c r="AS925" t="s">
        <v>4343</v>
      </c>
      <c r="AT925" t="s">
        <v>352</v>
      </c>
      <c r="AU925">
        <v>2022</v>
      </c>
      <c r="AV925">
        <v>45</v>
      </c>
      <c r="AW925">
        <v>6</v>
      </c>
      <c r="AX925" t="s">
        <v>74</v>
      </c>
      <c r="AY925" t="s">
        <v>74</v>
      </c>
      <c r="AZ925" t="s">
        <v>74</v>
      </c>
      <c r="BA925" t="s">
        <v>74</v>
      </c>
      <c r="BB925">
        <v>1093</v>
      </c>
      <c r="BC925">
        <v>1103</v>
      </c>
      <c r="BD925" t="s">
        <v>74</v>
      </c>
      <c r="BE925" t="s">
        <v>17870</v>
      </c>
      <c r="BF925" t="str">
        <f>HYPERLINK("http://dx.doi.org/10.1007/s00300-022-03064-x","http://dx.doi.org/10.1007/s00300-022-03064-x")</f>
        <v>http://dx.doi.org/10.1007/s00300-022-03064-x</v>
      </c>
      <c r="BG925" t="s">
        <v>74</v>
      </c>
      <c r="BH925" t="s">
        <v>17025</v>
      </c>
      <c r="BI925">
        <v>11</v>
      </c>
      <c r="BJ925" t="s">
        <v>1169</v>
      </c>
      <c r="BK925" t="s">
        <v>100</v>
      </c>
      <c r="BL925" t="s">
        <v>1170</v>
      </c>
      <c r="BM925" t="s">
        <v>17759</v>
      </c>
      <c r="BN925" t="s">
        <v>74</v>
      </c>
      <c r="BO925" t="s">
        <v>74</v>
      </c>
      <c r="BP925" t="s">
        <v>74</v>
      </c>
      <c r="BQ925" t="s">
        <v>74</v>
      </c>
      <c r="BR925" t="s">
        <v>103</v>
      </c>
      <c r="BS925" t="s">
        <v>17871</v>
      </c>
      <c r="BT925" t="str">
        <f>HYPERLINK("https%3A%2F%2Fwww.webofscience.com%2Fwos%2Fwoscc%2Ffull-record%2FWOS:000814911400001","View Full Record in Web of Science")</f>
        <v>View Full Record in Web of Science</v>
      </c>
    </row>
    <row r="926" spans="1:72" x14ac:dyDescent="0.15">
      <c r="A926" t="s">
        <v>72</v>
      </c>
      <c r="B926" t="s">
        <v>17872</v>
      </c>
      <c r="C926" t="s">
        <v>74</v>
      </c>
      <c r="D926" t="s">
        <v>74</v>
      </c>
      <c r="E926" t="s">
        <v>74</v>
      </c>
      <c r="F926" t="s">
        <v>17873</v>
      </c>
      <c r="G926" t="s">
        <v>74</v>
      </c>
      <c r="H926" t="s">
        <v>74</v>
      </c>
      <c r="I926" t="s">
        <v>17874</v>
      </c>
      <c r="J926" t="s">
        <v>108</v>
      </c>
      <c r="K926" t="s">
        <v>74</v>
      </c>
      <c r="L926" t="s">
        <v>74</v>
      </c>
      <c r="M926" t="s">
        <v>78</v>
      </c>
      <c r="N926" t="s">
        <v>79</v>
      </c>
      <c r="O926" t="s">
        <v>74</v>
      </c>
      <c r="P926" t="s">
        <v>74</v>
      </c>
      <c r="Q926" t="s">
        <v>74</v>
      </c>
      <c r="R926" t="s">
        <v>74</v>
      </c>
      <c r="S926" t="s">
        <v>74</v>
      </c>
      <c r="T926" t="s">
        <v>17875</v>
      </c>
      <c r="U926" t="s">
        <v>17876</v>
      </c>
      <c r="V926" t="s">
        <v>17877</v>
      </c>
      <c r="W926" t="s">
        <v>17878</v>
      </c>
      <c r="X926" t="s">
        <v>17879</v>
      </c>
      <c r="Y926" t="s">
        <v>17880</v>
      </c>
      <c r="Z926" t="s">
        <v>17881</v>
      </c>
      <c r="AA926" t="s">
        <v>74</v>
      </c>
      <c r="AB926" t="s">
        <v>74</v>
      </c>
      <c r="AC926" t="s">
        <v>17882</v>
      </c>
      <c r="AD926" t="s">
        <v>17883</v>
      </c>
      <c r="AE926" t="s">
        <v>17884</v>
      </c>
      <c r="AF926" t="s">
        <v>74</v>
      </c>
      <c r="AG926">
        <v>104</v>
      </c>
      <c r="AH926">
        <v>4</v>
      </c>
      <c r="AI926">
        <v>4</v>
      </c>
      <c r="AJ926">
        <v>0</v>
      </c>
      <c r="AK926">
        <v>4</v>
      </c>
      <c r="AL926" t="s">
        <v>121</v>
      </c>
      <c r="AM926" t="s">
        <v>122</v>
      </c>
      <c r="AN926" t="s">
        <v>123</v>
      </c>
      <c r="AO926" t="s">
        <v>74</v>
      </c>
      <c r="AP926" t="s">
        <v>124</v>
      </c>
      <c r="AQ926" t="s">
        <v>74</v>
      </c>
      <c r="AR926" t="s">
        <v>125</v>
      </c>
      <c r="AS926" t="s">
        <v>126</v>
      </c>
      <c r="AT926" t="s">
        <v>17885</v>
      </c>
      <c r="AU926">
        <v>2022</v>
      </c>
      <c r="AV926">
        <v>10</v>
      </c>
      <c r="AW926" t="s">
        <v>74</v>
      </c>
      <c r="AX926" t="s">
        <v>74</v>
      </c>
      <c r="AY926" t="s">
        <v>74</v>
      </c>
      <c r="AZ926" t="s">
        <v>74</v>
      </c>
      <c r="BA926" t="s">
        <v>74</v>
      </c>
      <c r="BB926" t="s">
        <v>74</v>
      </c>
      <c r="BC926" t="s">
        <v>74</v>
      </c>
      <c r="BD926">
        <v>824930</v>
      </c>
      <c r="BE926" t="s">
        <v>17886</v>
      </c>
      <c r="BF926" t="str">
        <f>HYPERLINK("http://dx.doi.org/10.3389/feart.2022.824930","http://dx.doi.org/10.3389/feart.2022.824930")</f>
        <v>http://dx.doi.org/10.3389/feart.2022.824930</v>
      </c>
      <c r="BG926" t="s">
        <v>74</v>
      </c>
      <c r="BH926" t="s">
        <v>74</v>
      </c>
      <c r="BI926">
        <v>25</v>
      </c>
      <c r="BJ926" t="s">
        <v>129</v>
      </c>
      <c r="BK926" t="s">
        <v>100</v>
      </c>
      <c r="BL926" t="s">
        <v>130</v>
      </c>
      <c r="BM926" t="s">
        <v>17887</v>
      </c>
      <c r="BN926" t="s">
        <v>74</v>
      </c>
      <c r="BO926" t="s">
        <v>266</v>
      </c>
      <c r="BP926" t="s">
        <v>74</v>
      </c>
      <c r="BQ926" t="s">
        <v>74</v>
      </c>
      <c r="BR926" t="s">
        <v>103</v>
      </c>
      <c r="BS926" t="s">
        <v>17888</v>
      </c>
      <c r="BT926" t="str">
        <f>HYPERLINK("https%3A%2F%2Fwww.webofscience.com%2Fwos%2Fwoscc%2Ffull-record%2FWOS:000822593700001","View Full Record in Web of Science")</f>
        <v>View Full Record in Web of Science</v>
      </c>
    </row>
    <row r="927" spans="1:72" x14ac:dyDescent="0.15">
      <c r="A927" t="s">
        <v>72</v>
      </c>
      <c r="B927" t="s">
        <v>17889</v>
      </c>
      <c r="C927" t="s">
        <v>74</v>
      </c>
      <c r="D927" t="s">
        <v>74</v>
      </c>
      <c r="E927" t="s">
        <v>74</v>
      </c>
      <c r="F927" t="s">
        <v>17890</v>
      </c>
      <c r="G927" t="s">
        <v>74</v>
      </c>
      <c r="H927" t="s">
        <v>74</v>
      </c>
      <c r="I927" t="s">
        <v>17891</v>
      </c>
      <c r="J927" t="s">
        <v>15641</v>
      </c>
      <c r="K927" t="s">
        <v>74</v>
      </c>
      <c r="L927" t="s">
        <v>74</v>
      </c>
      <c r="M927" t="s">
        <v>78</v>
      </c>
      <c r="N927" t="s">
        <v>79</v>
      </c>
      <c r="O927" t="s">
        <v>74</v>
      </c>
      <c r="P927" t="s">
        <v>74</v>
      </c>
      <c r="Q927" t="s">
        <v>74</v>
      </c>
      <c r="R927" t="s">
        <v>74</v>
      </c>
      <c r="S927" t="s">
        <v>74</v>
      </c>
      <c r="T927" t="s">
        <v>17892</v>
      </c>
      <c r="U927" t="s">
        <v>17893</v>
      </c>
      <c r="V927" t="s">
        <v>17894</v>
      </c>
      <c r="W927" t="s">
        <v>17895</v>
      </c>
      <c r="X927" t="s">
        <v>17896</v>
      </c>
      <c r="Y927" t="s">
        <v>17897</v>
      </c>
      <c r="Z927" t="s">
        <v>17898</v>
      </c>
      <c r="AA927" t="s">
        <v>74</v>
      </c>
      <c r="AB927" t="s">
        <v>17899</v>
      </c>
      <c r="AC927" t="s">
        <v>17900</v>
      </c>
      <c r="AD927" t="s">
        <v>17901</v>
      </c>
      <c r="AE927" t="s">
        <v>17902</v>
      </c>
      <c r="AF927" t="s">
        <v>74</v>
      </c>
      <c r="AG927">
        <v>92</v>
      </c>
      <c r="AH927">
        <v>3</v>
      </c>
      <c r="AI927">
        <v>3</v>
      </c>
      <c r="AJ927">
        <v>0</v>
      </c>
      <c r="AK927">
        <v>11</v>
      </c>
      <c r="AL927" t="s">
        <v>15651</v>
      </c>
      <c r="AM927" t="s">
        <v>15652</v>
      </c>
      <c r="AN927" t="s">
        <v>15653</v>
      </c>
      <c r="AO927" t="s">
        <v>15654</v>
      </c>
      <c r="AP927" t="s">
        <v>15655</v>
      </c>
      <c r="AQ927" t="s">
        <v>74</v>
      </c>
      <c r="AR927" t="s">
        <v>15641</v>
      </c>
      <c r="AS927" t="s">
        <v>15656</v>
      </c>
      <c r="AT927" t="s">
        <v>11575</v>
      </c>
      <c r="AU927">
        <v>2022</v>
      </c>
      <c r="AV927">
        <v>22</v>
      </c>
      <c r="AW927">
        <v>8</v>
      </c>
      <c r="AX927" t="s">
        <v>74</v>
      </c>
      <c r="AY927" t="s">
        <v>74</v>
      </c>
      <c r="AZ927" t="s">
        <v>74</v>
      </c>
      <c r="BA927" t="s">
        <v>74</v>
      </c>
      <c r="BB927">
        <v>992</v>
      </c>
      <c r="BC927">
        <v>1008</v>
      </c>
      <c r="BD927" t="s">
        <v>74</v>
      </c>
      <c r="BE927" t="s">
        <v>17903</v>
      </c>
      <c r="BF927" t="str">
        <f>HYPERLINK("http://dx.doi.org/10.1089/ast.2021.0051","http://dx.doi.org/10.1089/ast.2021.0051")</f>
        <v>http://dx.doi.org/10.1089/ast.2021.0051</v>
      </c>
      <c r="BG927" t="s">
        <v>74</v>
      </c>
      <c r="BH927" t="s">
        <v>17025</v>
      </c>
      <c r="BI927">
        <v>17</v>
      </c>
      <c r="BJ927" t="s">
        <v>8136</v>
      </c>
      <c r="BK927" t="s">
        <v>100</v>
      </c>
      <c r="BL927" t="s">
        <v>8137</v>
      </c>
      <c r="BM927" t="s">
        <v>15658</v>
      </c>
      <c r="BN927">
        <v>35731031</v>
      </c>
      <c r="BO927" t="s">
        <v>74</v>
      </c>
      <c r="BP927" t="s">
        <v>74</v>
      </c>
      <c r="BQ927" t="s">
        <v>74</v>
      </c>
      <c r="BR927" t="s">
        <v>103</v>
      </c>
      <c r="BS927" t="s">
        <v>17904</v>
      </c>
      <c r="BT927" t="str">
        <f>HYPERLINK("https%3A%2F%2Fwww.webofscience.com%2Fwos%2Fwoscc%2Ffull-record%2FWOS:000814757900001","View Full Record in Web of Science")</f>
        <v>View Full Record in Web of Science</v>
      </c>
    </row>
    <row r="928" spans="1:72" x14ac:dyDescent="0.15">
      <c r="A928" t="s">
        <v>72</v>
      </c>
      <c r="B928" t="s">
        <v>17905</v>
      </c>
      <c r="C928" t="s">
        <v>74</v>
      </c>
      <c r="D928" t="s">
        <v>74</v>
      </c>
      <c r="E928" t="s">
        <v>74</v>
      </c>
      <c r="F928" t="s">
        <v>17906</v>
      </c>
      <c r="G928" t="s">
        <v>74</v>
      </c>
      <c r="H928" t="s">
        <v>74</v>
      </c>
      <c r="I928" t="s">
        <v>17907</v>
      </c>
      <c r="J928" t="s">
        <v>4697</v>
      </c>
      <c r="K928" t="s">
        <v>74</v>
      </c>
      <c r="L928" t="s">
        <v>74</v>
      </c>
      <c r="M928" t="s">
        <v>78</v>
      </c>
      <c r="N928" t="s">
        <v>79</v>
      </c>
      <c r="O928" t="s">
        <v>74</v>
      </c>
      <c r="P928" t="s">
        <v>74</v>
      </c>
      <c r="Q928" t="s">
        <v>74</v>
      </c>
      <c r="R928" t="s">
        <v>74</v>
      </c>
      <c r="S928" t="s">
        <v>74</v>
      </c>
      <c r="T928" t="s">
        <v>74</v>
      </c>
      <c r="U928" t="s">
        <v>17908</v>
      </c>
      <c r="V928" t="s">
        <v>17909</v>
      </c>
      <c r="W928" t="s">
        <v>17910</v>
      </c>
      <c r="X928" t="s">
        <v>17911</v>
      </c>
      <c r="Y928" t="s">
        <v>17912</v>
      </c>
      <c r="Z928" t="s">
        <v>17913</v>
      </c>
      <c r="AA928" t="s">
        <v>17914</v>
      </c>
      <c r="AB928" t="s">
        <v>17915</v>
      </c>
      <c r="AC928" t="s">
        <v>17916</v>
      </c>
      <c r="AD928" t="s">
        <v>17917</v>
      </c>
      <c r="AE928" t="s">
        <v>17918</v>
      </c>
      <c r="AF928" t="s">
        <v>74</v>
      </c>
      <c r="AG928">
        <v>57</v>
      </c>
      <c r="AH928">
        <v>12</v>
      </c>
      <c r="AI928">
        <v>12</v>
      </c>
      <c r="AJ928">
        <v>1</v>
      </c>
      <c r="AK928">
        <v>8</v>
      </c>
      <c r="AL928" t="s">
        <v>2773</v>
      </c>
      <c r="AM928" t="s">
        <v>2774</v>
      </c>
      <c r="AN928" t="s">
        <v>2775</v>
      </c>
      <c r="AO928" t="s">
        <v>74</v>
      </c>
      <c r="AP928" t="s">
        <v>4709</v>
      </c>
      <c r="AQ928" t="s">
        <v>74</v>
      </c>
      <c r="AR928" t="s">
        <v>4710</v>
      </c>
      <c r="AS928" t="s">
        <v>4711</v>
      </c>
      <c r="AT928" t="s">
        <v>17885</v>
      </c>
      <c r="AU928">
        <v>2022</v>
      </c>
      <c r="AV928">
        <v>3</v>
      </c>
      <c r="AW928">
        <v>1</v>
      </c>
      <c r="AX928" t="s">
        <v>74</v>
      </c>
      <c r="AY928" t="s">
        <v>74</v>
      </c>
      <c r="AZ928" t="s">
        <v>74</v>
      </c>
      <c r="BA928" t="s">
        <v>74</v>
      </c>
      <c r="BB928" t="s">
        <v>74</v>
      </c>
      <c r="BC928" t="s">
        <v>74</v>
      </c>
      <c r="BD928">
        <v>142</v>
      </c>
      <c r="BE928" t="s">
        <v>17919</v>
      </c>
      <c r="BF928" t="str">
        <f>HYPERLINK("http://dx.doi.org/10.1038/s43247-022-00456-z","http://dx.doi.org/10.1038/s43247-022-00456-z")</f>
        <v>http://dx.doi.org/10.1038/s43247-022-00456-z</v>
      </c>
      <c r="BG928" t="s">
        <v>74</v>
      </c>
      <c r="BH928" t="s">
        <v>74</v>
      </c>
      <c r="BI928">
        <v>8</v>
      </c>
      <c r="BJ928" t="s">
        <v>1010</v>
      </c>
      <c r="BK928" t="s">
        <v>100</v>
      </c>
      <c r="BL928" t="s">
        <v>1011</v>
      </c>
      <c r="BM928" t="s">
        <v>17920</v>
      </c>
      <c r="BN928" t="s">
        <v>74</v>
      </c>
      <c r="BO928" t="s">
        <v>266</v>
      </c>
      <c r="BP928" t="s">
        <v>74</v>
      </c>
      <c r="BQ928" t="s">
        <v>74</v>
      </c>
      <c r="BR928" t="s">
        <v>103</v>
      </c>
      <c r="BS928" t="s">
        <v>17921</v>
      </c>
      <c r="BT928" t="str">
        <f>HYPERLINK("https%3A%2F%2Fwww.webofscience.com%2Fwos%2Fwoscc%2Ffull-record%2FWOS:000814644300001","View Full Record in Web of Science")</f>
        <v>View Full Record in Web of Science</v>
      </c>
    </row>
    <row r="929" spans="1:72" x14ac:dyDescent="0.15">
      <c r="A929" t="s">
        <v>72</v>
      </c>
      <c r="B929" t="s">
        <v>17922</v>
      </c>
      <c r="C929" t="s">
        <v>74</v>
      </c>
      <c r="D929" t="s">
        <v>74</v>
      </c>
      <c r="E929" t="s">
        <v>74</v>
      </c>
      <c r="F929" t="s">
        <v>17923</v>
      </c>
      <c r="G929" t="s">
        <v>74</v>
      </c>
      <c r="H929" t="s">
        <v>74</v>
      </c>
      <c r="I929" t="s">
        <v>17924</v>
      </c>
      <c r="J929" t="s">
        <v>4697</v>
      </c>
      <c r="K929" t="s">
        <v>74</v>
      </c>
      <c r="L929" t="s">
        <v>74</v>
      </c>
      <c r="M929" t="s">
        <v>78</v>
      </c>
      <c r="N929" t="s">
        <v>79</v>
      </c>
      <c r="O929" t="s">
        <v>74</v>
      </c>
      <c r="P929" t="s">
        <v>74</v>
      </c>
      <c r="Q929" t="s">
        <v>74</v>
      </c>
      <c r="R929" t="s">
        <v>74</v>
      </c>
      <c r="S929" t="s">
        <v>74</v>
      </c>
      <c r="T929" t="s">
        <v>74</v>
      </c>
      <c r="U929" t="s">
        <v>17925</v>
      </c>
      <c r="V929" t="s">
        <v>17926</v>
      </c>
      <c r="W929" t="s">
        <v>17927</v>
      </c>
      <c r="X929" t="s">
        <v>17928</v>
      </c>
      <c r="Y929" t="s">
        <v>17929</v>
      </c>
      <c r="Z929" t="s">
        <v>17930</v>
      </c>
      <c r="AA929" t="s">
        <v>17931</v>
      </c>
      <c r="AB929" t="s">
        <v>17932</v>
      </c>
      <c r="AC929" t="s">
        <v>17933</v>
      </c>
      <c r="AD929" t="s">
        <v>17934</v>
      </c>
      <c r="AE929" t="s">
        <v>17935</v>
      </c>
      <c r="AF929" t="s">
        <v>74</v>
      </c>
      <c r="AG929">
        <v>47</v>
      </c>
      <c r="AH929">
        <v>11</v>
      </c>
      <c r="AI929">
        <v>12</v>
      </c>
      <c r="AJ929">
        <v>2</v>
      </c>
      <c r="AK929">
        <v>6</v>
      </c>
      <c r="AL929" t="s">
        <v>2773</v>
      </c>
      <c r="AM929" t="s">
        <v>2774</v>
      </c>
      <c r="AN929" t="s">
        <v>2775</v>
      </c>
      <c r="AO929" t="s">
        <v>74</v>
      </c>
      <c r="AP929" t="s">
        <v>4709</v>
      </c>
      <c r="AQ929" t="s">
        <v>74</v>
      </c>
      <c r="AR929" t="s">
        <v>4710</v>
      </c>
      <c r="AS929" t="s">
        <v>4711</v>
      </c>
      <c r="AT929" t="s">
        <v>17885</v>
      </c>
      <c r="AU929">
        <v>2022</v>
      </c>
      <c r="AV929">
        <v>3</v>
      </c>
      <c r="AW929">
        <v>1</v>
      </c>
      <c r="AX929" t="s">
        <v>74</v>
      </c>
      <c r="AY929" t="s">
        <v>74</v>
      </c>
      <c r="AZ929" t="s">
        <v>74</v>
      </c>
      <c r="BA929" t="s">
        <v>74</v>
      </c>
      <c r="BB929" t="s">
        <v>74</v>
      </c>
      <c r="BC929" t="s">
        <v>74</v>
      </c>
      <c r="BD929">
        <v>140</v>
      </c>
      <c r="BE929" t="s">
        <v>17936</v>
      </c>
      <c r="BF929" t="str">
        <f>HYPERLINK("http://dx.doi.org/10.1038/s43247-022-00460-3","http://dx.doi.org/10.1038/s43247-022-00460-3")</f>
        <v>http://dx.doi.org/10.1038/s43247-022-00460-3</v>
      </c>
      <c r="BG929" t="s">
        <v>74</v>
      </c>
      <c r="BH929" t="s">
        <v>74</v>
      </c>
      <c r="BI929">
        <v>9</v>
      </c>
      <c r="BJ929" t="s">
        <v>1010</v>
      </c>
      <c r="BK929" t="s">
        <v>100</v>
      </c>
      <c r="BL929" t="s">
        <v>1011</v>
      </c>
      <c r="BM929" t="s">
        <v>17920</v>
      </c>
      <c r="BN929" t="s">
        <v>74</v>
      </c>
      <c r="BO929" t="s">
        <v>159</v>
      </c>
      <c r="BP929" t="s">
        <v>74</v>
      </c>
      <c r="BQ929" t="s">
        <v>74</v>
      </c>
      <c r="BR929" t="s">
        <v>103</v>
      </c>
      <c r="BS929" t="s">
        <v>17937</v>
      </c>
      <c r="BT929" t="str">
        <f>HYPERLINK("https%3A%2F%2Fwww.webofscience.com%2Fwos%2Fwoscc%2Ffull-record%2FWOS:000814644300002","View Full Record in Web of Science")</f>
        <v>View Full Record in Web of Science</v>
      </c>
    </row>
    <row r="930" spans="1:72" x14ac:dyDescent="0.15">
      <c r="A930" t="s">
        <v>72</v>
      </c>
      <c r="B930" t="s">
        <v>17938</v>
      </c>
      <c r="C930" t="s">
        <v>74</v>
      </c>
      <c r="D930" t="s">
        <v>74</v>
      </c>
      <c r="E930" t="s">
        <v>74</v>
      </c>
      <c r="F930" t="s">
        <v>17939</v>
      </c>
      <c r="G930" t="s">
        <v>74</v>
      </c>
      <c r="H930" t="s">
        <v>74</v>
      </c>
      <c r="I930" t="s">
        <v>17940</v>
      </c>
      <c r="J930" t="s">
        <v>4697</v>
      </c>
      <c r="K930" t="s">
        <v>74</v>
      </c>
      <c r="L930" t="s">
        <v>74</v>
      </c>
      <c r="M930" t="s">
        <v>78</v>
      </c>
      <c r="N930" t="s">
        <v>1346</v>
      </c>
      <c r="O930" t="s">
        <v>74</v>
      </c>
      <c r="P930" t="s">
        <v>74</v>
      </c>
      <c r="Q930" t="s">
        <v>74</v>
      </c>
      <c r="R930" t="s">
        <v>74</v>
      </c>
      <c r="S930" t="s">
        <v>74</v>
      </c>
      <c r="T930" t="s">
        <v>74</v>
      </c>
      <c r="U930" t="s">
        <v>74</v>
      </c>
      <c r="V930" t="s">
        <v>17941</v>
      </c>
      <c r="W930" t="s">
        <v>17942</v>
      </c>
      <c r="X930" t="s">
        <v>17943</v>
      </c>
      <c r="Y930" t="s">
        <v>17944</v>
      </c>
      <c r="Z930" t="s">
        <v>17945</v>
      </c>
      <c r="AA930" t="s">
        <v>74</v>
      </c>
      <c r="AB930" t="s">
        <v>17946</v>
      </c>
      <c r="AC930" t="s">
        <v>17947</v>
      </c>
      <c r="AD930" t="s">
        <v>17948</v>
      </c>
      <c r="AE930" t="s">
        <v>17949</v>
      </c>
      <c r="AF930" t="s">
        <v>74</v>
      </c>
      <c r="AG930">
        <v>13</v>
      </c>
      <c r="AH930">
        <v>0</v>
      </c>
      <c r="AI930">
        <v>0</v>
      </c>
      <c r="AJ930">
        <v>1</v>
      </c>
      <c r="AK930">
        <v>2</v>
      </c>
      <c r="AL930" t="s">
        <v>2773</v>
      </c>
      <c r="AM930" t="s">
        <v>2774</v>
      </c>
      <c r="AN930" t="s">
        <v>2775</v>
      </c>
      <c r="AO930" t="s">
        <v>74</v>
      </c>
      <c r="AP930" t="s">
        <v>4709</v>
      </c>
      <c r="AQ930" t="s">
        <v>74</v>
      </c>
      <c r="AR930" t="s">
        <v>4710</v>
      </c>
      <c r="AS930" t="s">
        <v>4711</v>
      </c>
      <c r="AT930" t="s">
        <v>17885</v>
      </c>
      <c r="AU930">
        <v>2022</v>
      </c>
      <c r="AV930">
        <v>3</v>
      </c>
      <c r="AW930">
        <v>1</v>
      </c>
      <c r="AX930" t="s">
        <v>74</v>
      </c>
      <c r="AY930" t="s">
        <v>74</v>
      </c>
      <c r="AZ930" t="s">
        <v>74</v>
      </c>
      <c r="BA930" t="s">
        <v>74</v>
      </c>
      <c r="BB930" t="s">
        <v>74</v>
      </c>
      <c r="BC930" t="s">
        <v>74</v>
      </c>
      <c r="BD930">
        <v>141</v>
      </c>
      <c r="BE930" t="s">
        <v>17950</v>
      </c>
      <c r="BF930" t="str">
        <f>HYPERLINK("http://dx.doi.org/10.1038/s43247-022-00471-0","http://dx.doi.org/10.1038/s43247-022-00471-0")</f>
        <v>http://dx.doi.org/10.1038/s43247-022-00471-0</v>
      </c>
      <c r="BG930" t="s">
        <v>74</v>
      </c>
      <c r="BH930" t="s">
        <v>74</v>
      </c>
      <c r="BI930">
        <v>3</v>
      </c>
      <c r="BJ930" t="s">
        <v>1010</v>
      </c>
      <c r="BK930" t="s">
        <v>100</v>
      </c>
      <c r="BL930" t="s">
        <v>1011</v>
      </c>
      <c r="BM930" t="s">
        <v>17920</v>
      </c>
      <c r="BN930" t="s">
        <v>74</v>
      </c>
      <c r="BO930" t="s">
        <v>266</v>
      </c>
      <c r="BP930" t="s">
        <v>74</v>
      </c>
      <c r="BQ930" t="s">
        <v>74</v>
      </c>
      <c r="BR930" t="s">
        <v>103</v>
      </c>
      <c r="BS930" t="s">
        <v>17951</v>
      </c>
      <c r="BT930" t="str">
        <f>HYPERLINK("https%3A%2F%2Fwww.webofscience.com%2Fwos%2Fwoscc%2Ffull-record%2FWOS:000814644300003","View Full Record in Web of Science")</f>
        <v>View Full Record in Web of Science</v>
      </c>
    </row>
    <row r="931" spans="1:72" x14ac:dyDescent="0.15">
      <c r="A931" t="s">
        <v>72</v>
      </c>
      <c r="B931" t="s">
        <v>17952</v>
      </c>
      <c r="C931" t="s">
        <v>74</v>
      </c>
      <c r="D931" t="s">
        <v>74</v>
      </c>
      <c r="E931" t="s">
        <v>74</v>
      </c>
      <c r="F931" t="s">
        <v>17953</v>
      </c>
      <c r="G931" t="s">
        <v>74</v>
      </c>
      <c r="H931" t="s">
        <v>74</v>
      </c>
      <c r="I931" t="s">
        <v>17954</v>
      </c>
      <c r="J931" t="s">
        <v>4697</v>
      </c>
      <c r="K931" t="s">
        <v>74</v>
      </c>
      <c r="L931" t="s">
        <v>74</v>
      </c>
      <c r="M931" t="s">
        <v>78</v>
      </c>
      <c r="N931" t="s">
        <v>79</v>
      </c>
      <c r="O931" t="s">
        <v>74</v>
      </c>
      <c r="P931" t="s">
        <v>74</v>
      </c>
      <c r="Q931" t="s">
        <v>74</v>
      </c>
      <c r="R931" t="s">
        <v>74</v>
      </c>
      <c r="S931" t="s">
        <v>74</v>
      </c>
      <c r="T931" t="s">
        <v>74</v>
      </c>
      <c r="U931" t="s">
        <v>17955</v>
      </c>
      <c r="V931" t="s">
        <v>17956</v>
      </c>
      <c r="W931" t="s">
        <v>17957</v>
      </c>
      <c r="X931" t="s">
        <v>17958</v>
      </c>
      <c r="Y931" t="s">
        <v>17959</v>
      </c>
      <c r="Z931" t="s">
        <v>17960</v>
      </c>
      <c r="AA931" t="s">
        <v>17961</v>
      </c>
      <c r="AB931" t="s">
        <v>17962</v>
      </c>
      <c r="AC931" t="s">
        <v>17963</v>
      </c>
      <c r="AD931" t="s">
        <v>17964</v>
      </c>
      <c r="AE931" t="s">
        <v>17965</v>
      </c>
      <c r="AF931" t="s">
        <v>74</v>
      </c>
      <c r="AG931">
        <v>104</v>
      </c>
      <c r="AH931">
        <v>13</v>
      </c>
      <c r="AI931">
        <v>13</v>
      </c>
      <c r="AJ931">
        <v>3</v>
      </c>
      <c r="AK931">
        <v>13</v>
      </c>
      <c r="AL931" t="s">
        <v>2773</v>
      </c>
      <c r="AM931" t="s">
        <v>2774</v>
      </c>
      <c r="AN931" t="s">
        <v>2775</v>
      </c>
      <c r="AO931" t="s">
        <v>74</v>
      </c>
      <c r="AP931" t="s">
        <v>4709</v>
      </c>
      <c r="AQ931" t="s">
        <v>74</v>
      </c>
      <c r="AR931" t="s">
        <v>4710</v>
      </c>
      <c r="AS931" t="s">
        <v>4711</v>
      </c>
      <c r="AT931" t="s">
        <v>17885</v>
      </c>
      <c r="AU931">
        <v>2022</v>
      </c>
      <c r="AV931">
        <v>3</v>
      </c>
      <c r="AW931">
        <v>1</v>
      </c>
      <c r="AX931" t="s">
        <v>74</v>
      </c>
      <c r="AY931" t="s">
        <v>74</v>
      </c>
      <c r="AZ931" t="s">
        <v>74</v>
      </c>
      <c r="BA931" t="s">
        <v>74</v>
      </c>
      <c r="BB931" t="s">
        <v>74</v>
      </c>
      <c r="BC931" t="s">
        <v>74</v>
      </c>
      <c r="BD931">
        <v>139</v>
      </c>
      <c r="BE931" t="s">
        <v>17966</v>
      </c>
      <c r="BF931" t="str">
        <f>HYPERLINK("http://dx.doi.org/10.1038/s43247-022-00458-x","http://dx.doi.org/10.1038/s43247-022-00458-x")</f>
        <v>http://dx.doi.org/10.1038/s43247-022-00458-x</v>
      </c>
      <c r="BG931" t="s">
        <v>74</v>
      </c>
      <c r="BH931" t="s">
        <v>74</v>
      </c>
      <c r="BI931">
        <v>12</v>
      </c>
      <c r="BJ931" t="s">
        <v>1010</v>
      </c>
      <c r="BK931" t="s">
        <v>100</v>
      </c>
      <c r="BL931" t="s">
        <v>1011</v>
      </c>
      <c r="BM931" t="s">
        <v>17920</v>
      </c>
      <c r="BN931" t="s">
        <v>74</v>
      </c>
      <c r="BO931" t="s">
        <v>305</v>
      </c>
      <c r="BP931" t="s">
        <v>74</v>
      </c>
      <c r="BQ931" t="s">
        <v>74</v>
      </c>
      <c r="BR931" t="s">
        <v>103</v>
      </c>
      <c r="BS931" t="s">
        <v>17967</v>
      </c>
      <c r="BT931" t="str">
        <f>HYPERLINK("https%3A%2F%2Fwww.webofscience.com%2Fwos%2Fwoscc%2Ffull-record%2FWOS:000814644300004","View Full Record in Web of Science")</f>
        <v>View Full Record in Web of Science</v>
      </c>
    </row>
    <row r="932" spans="1:72" x14ac:dyDescent="0.15">
      <c r="A932" t="s">
        <v>72</v>
      </c>
      <c r="B932" t="s">
        <v>17968</v>
      </c>
      <c r="C932" t="s">
        <v>74</v>
      </c>
      <c r="D932" t="s">
        <v>74</v>
      </c>
      <c r="E932" t="s">
        <v>74</v>
      </c>
      <c r="F932" t="s">
        <v>17969</v>
      </c>
      <c r="G932" t="s">
        <v>74</v>
      </c>
      <c r="H932" t="s">
        <v>74</v>
      </c>
      <c r="I932" t="s">
        <v>17970</v>
      </c>
      <c r="J932" t="s">
        <v>17971</v>
      </c>
      <c r="K932" t="s">
        <v>74</v>
      </c>
      <c r="L932" t="s">
        <v>74</v>
      </c>
      <c r="M932" t="s">
        <v>78</v>
      </c>
      <c r="N932" t="s">
        <v>79</v>
      </c>
      <c r="O932" t="s">
        <v>74</v>
      </c>
      <c r="P932" t="s">
        <v>74</v>
      </c>
      <c r="Q932" t="s">
        <v>74</v>
      </c>
      <c r="R932" t="s">
        <v>74</v>
      </c>
      <c r="S932" t="s">
        <v>74</v>
      </c>
      <c r="T932" t="s">
        <v>17972</v>
      </c>
      <c r="U932" t="s">
        <v>17973</v>
      </c>
      <c r="V932" t="s">
        <v>17974</v>
      </c>
      <c r="W932" t="s">
        <v>17975</v>
      </c>
      <c r="X932" t="s">
        <v>6535</v>
      </c>
      <c r="Y932" t="s">
        <v>17976</v>
      </c>
      <c r="Z932" t="s">
        <v>4556</v>
      </c>
      <c r="AA932" t="s">
        <v>4557</v>
      </c>
      <c r="AB932" t="s">
        <v>17977</v>
      </c>
      <c r="AC932" t="s">
        <v>17978</v>
      </c>
      <c r="AD932" t="s">
        <v>17978</v>
      </c>
      <c r="AE932" t="s">
        <v>17979</v>
      </c>
      <c r="AF932" t="s">
        <v>74</v>
      </c>
      <c r="AG932">
        <v>69</v>
      </c>
      <c r="AH932">
        <v>0</v>
      </c>
      <c r="AI932">
        <v>0</v>
      </c>
      <c r="AJ932">
        <v>0</v>
      </c>
      <c r="AK932">
        <v>9</v>
      </c>
      <c r="AL932" t="s">
        <v>17980</v>
      </c>
      <c r="AM932" t="s">
        <v>450</v>
      </c>
      <c r="AN932" t="s">
        <v>17981</v>
      </c>
      <c r="AO932" t="s">
        <v>17982</v>
      </c>
      <c r="AP932" t="s">
        <v>17983</v>
      </c>
      <c r="AQ932" t="s">
        <v>74</v>
      </c>
      <c r="AR932" t="s">
        <v>17984</v>
      </c>
      <c r="AS932" t="s">
        <v>17985</v>
      </c>
      <c r="AT932" t="s">
        <v>5386</v>
      </c>
      <c r="AU932">
        <v>2022</v>
      </c>
      <c r="AV932">
        <v>50</v>
      </c>
      <c r="AW932">
        <v>4</v>
      </c>
      <c r="AX932" t="s">
        <v>74</v>
      </c>
      <c r="AY932" t="s">
        <v>74</v>
      </c>
      <c r="AZ932" t="s">
        <v>74</v>
      </c>
      <c r="BA932" t="s">
        <v>74</v>
      </c>
      <c r="BB932">
        <v>781</v>
      </c>
      <c r="BC932">
        <v>791</v>
      </c>
      <c r="BD932" t="s">
        <v>74</v>
      </c>
      <c r="BE932" t="s">
        <v>17986</v>
      </c>
      <c r="BF932" t="str">
        <f>HYPERLINK("http://dx.doi.org/10.1007/s10745-022-00338-0","http://dx.doi.org/10.1007/s10745-022-00338-0")</f>
        <v>http://dx.doi.org/10.1007/s10745-022-00338-0</v>
      </c>
      <c r="BG932" t="s">
        <v>74</v>
      </c>
      <c r="BH932" t="s">
        <v>17025</v>
      </c>
      <c r="BI932">
        <v>11</v>
      </c>
      <c r="BJ932" t="s">
        <v>17987</v>
      </c>
      <c r="BK932" t="s">
        <v>2257</v>
      </c>
      <c r="BL932" t="s">
        <v>17988</v>
      </c>
      <c r="BM932" t="s">
        <v>17989</v>
      </c>
      <c r="BN932" t="s">
        <v>74</v>
      </c>
      <c r="BO932" t="s">
        <v>74</v>
      </c>
      <c r="BP932" t="s">
        <v>74</v>
      </c>
      <c r="BQ932" t="s">
        <v>74</v>
      </c>
      <c r="BR932" t="s">
        <v>103</v>
      </c>
      <c r="BS932" t="s">
        <v>17990</v>
      </c>
      <c r="BT932" t="str">
        <f>HYPERLINK("https%3A%2F%2Fwww.webofscience.com%2Fwos%2Fwoscc%2Ffull-record%2FWOS:000814473400001","View Full Record in Web of Science")</f>
        <v>View Full Record in Web of Science</v>
      </c>
    </row>
    <row r="933" spans="1:72" x14ac:dyDescent="0.15">
      <c r="A933" t="s">
        <v>72</v>
      </c>
      <c r="B933" t="s">
        <v>17991</v>
      </c>
      <c r="C933" t="s">
        <v>74</v>
      </c>
      <c r="D933" t="s">
        <v>74</v>
      </c>
      <c r="E933" t="s">
        <v>74</v>
      </c>
      <c r="F933" t="s">
        <v>17992</v>
      </c>
      <c r="G933" t="s">
        <v>74</v>
      </c>
      <c r="H933" t="s">
        <v>74</v>
      </c>
      <c r="I933" t="s">
        <v>17993</v>
      </c>
      <c r="J933" t="s">
        <v>4735</v>
      </c>
      <c r="K933" t="s">
        <v>74</v>
      </c>
      <c r="L933" t="s">
        <v>74</v>
      </c>
      <c r="M933" t="s">
        <v>78</v>
      </c>
      <c r="N933" t="s">
        <v>79</v>
      </c>
      <c r="O933" t="s">
        <v>74</v>
      </c>
      <c r="P933" t="s">
        <v>74</v>
      </c>
      <c r="Q933" t="s">
        <v>74</v>
      </c>
      <c r="R933" t="s">
        <v>74</v>
      </c>
      <c r="S933" t="s">
        <v>74</v>
      </c>
      <c r="T933" t="s">
        <v>17994</v>
      </c>
      <c r="U933" t="s">
        <v>17995</v>
      </c>
      <c r="V933" t="s">
        <v>17996</v>
      </c>
      <c r="W933" t="s">
        <v>17997</v>
      </c>
      <c r="X933" t="s">
        <v>17998</v>
      </c>
      <c r="Y933" t="s">
        <v>17999</v>
      </c>
      <c r="Z933" t="s">
        <v>18000</v>
      </c>
      <c r="AA933" t="s">
        <v>74</v>
      </c>
      <c r="AB933" t="s">
        <v>74</v>
      </c>
      <c r="AC933" t="s">
        <v>18001</v>
      </c>
      <c r="AD933" t="s">
        <v>18002</v>
      </c>
      <c r="AE933" t="s">
        <v>18003</v>
      </c>
      <c r="AF933" t="s">
        <v>74</v>
      </c>
      <c r="AG933">
        <v>65</v>
      </c>
      <c r="AH933">
        <v>1</v>
      </c>
      <c r="AI933">
        <v>2</v>
      </c>
      <c r="AJ933">
        <v>0</v>
      </c>
      <c r="AK933">
        <v>1</v>
      </c>
      <c r="AL933" t="s">
        <v>89</v>
      </c>
      <c r="AM933" t="s">
        <v>90</v>
      </c>
      <c r="AN933" t="s">
        <v>91</v>
      </c>
      <c r="AO933" t="s">
        <v>4746</v>
      </c>
      <c r="AP933" t="s">
        <v>4747</v>
      </c>
      <c r="AQ933" t="s">
        <v>74</v>
      </c>
      <c r="AR933" t="s">
        <v>4748</v>
      </c>
      <c r="AS933" t="s">
        <v>4749</v>
      </c>
      <c r="AT933" t="s">
        <v>18004</v>
      </c>
      <c r="AU933">
        <v>2022</v>
      </c>
      <c r="AV933">
        <v>231</v>
      </c>
      <c r="AW933">
        <v>1</v>
      </c>
      <c r="AX933" t="s">
        <v>74</v>
      </c>
      <c r="AY933" t="s">
        <v>74</v>
      </c>
      <c r="AZ933" t="s">
        <v>74</v>
      </c>
      <c r="BA933" t="s">
        <v>74</v>
      </c>
      <c r="BB933">
        <v>118</v>
      </c>
      <c r="BC933">
        <v>128</v>
      </c>
      <c r="BD933" t="s">
        <v>74</v>
      </c>
      <c r="BE933" t="s">
        <v>18005</v>
      </c>
      <c r="BF933" t="str">
        <f>HYPERLINK("http://dx.doi.org/10.1093/gji/ggac129","http://dx.doi.org/10.1093/gji/ggac129")</f>
        <v>http://dx.doi.org/10.1093/gji/ggac129</v>
      </c>
      <c r="BG933" t="s">
        <v>74</v>
      </c>
      <c r="BH933" t="s">
        <v>74</v>
      </c>
      <c r="BI933">
        <v>11</v>
      </c>
      <c r="BJ933" t="s">
        <v>1379</v>
      </c>
      <c r="BK933" t="s">
        <v>100</v>
      </c>
      <c r="BL933" t="s">
        <v>1379</v>
      </c>
      <c r="BM933" t="s">
        <v>18006</v>
      </c>
      <c r="BN933" t="s">
        <v>74</v>
      </c>
      <c r="BO933" t="s">
        <v>2512</v>
      </c>
      <c r="BP933" t="s">
        <v>74</v>
      </c>
      <c r="BQ933" t="s">
        <v>74</v>
      </c>
      <c r="BR933" t="s">
        <v>103</v>
      </c>
      <c r="BS933" t="s">
        <v>18007</v>
      </c>
      <c r="BT933" t="str">
        <f>HYPERLINK("https%3A%2F%2Fwww.webofscience.com%2Fwos%2Fwoscc%2Ffull-record%2FWOS:000965302800001","View Full Record in Web of Science")</f>
        <v>View Full Record in Web of Science</v>
      </c>
    </row>
    <row r="934" spans="1:72" x14ac:dyDescent="0.15">
      <c r="A934" t="s">
        <v>72</v>
      </c>
      <c r="B934" t="s">
        <v>18008</v>
      </c>
      <c r="C934" t="s">
        <v>74</v>
      </c>
      <c r="D934" t="s">
        <v>74</v>
      </c>
      <c r="E934" t="s">
        <v>74</v>
      </c>
      <c r="F934" t="s">
        <v>18009</v>
      </c>
      <c r="G934" t="s">
        <v>74</v>
      </c>
      <c r="H934" t="s">
        <v>74</v>
      </c>
      <c r="I934" t="s">
        <v>18010</v>
      </c>
      <c r="J934" t="s">
        <v>247</v>
      </c>
      <c r="K934" t="s">
        <v>74</v>
      </c>
      <c r="L934" t="s">
        <v>74</v>
      </c>
      <c r="M934" t="s">
        <v>78</v>
      </c>
      <c r="N934" t="s">
        <v>165</v>
      </c>
      <c r="O934" t="s">
        <v>74</v>
      </c>
      <c r="P934" t="s">
        <v>74</v>
      </c>
      <c r="Q934" t="s">
        <v>74</v>
      </c>
      <c r="R934" t="s">
        <v>74</v>
      </c>
      <c r="S934" t="s">
        <v>74</v>
      </c>
      <c r="T934" t="s">
        <v>18011</v>
      </c>
      <c r="U934" t="s">
        <v>18012</v>
      </c>
      <c r="V934" t="s">
        <v>18013</v>
      </c>
      <c r="W934" t="s">
        <v>18014</v>
      </c>
      <c r="X934" t="s">
        <v>18015</v>
      </c>
      <c r="Y934" t="s">
        <v>18016</v>
      </c>
      <c r="Z934" t="s">
        <v>18017</v>
      </c>
      <c r="AA934" t="s">
        <v>74</v>
      </c>
      <c r="AB934" t="s">
        <v>18018</v>
      </c>
      <c r="AC934" t="s">
        <v>74</v>
      </c>
      <c r="AD934" t="s">
        <v>74</v>
      </c>
      <c r="AE934" t="s">
        <v>74</v>
      </c>
      <c r="AF934" t="s">
        <v>74</v>
      </c>
      <c r="AG934">
        <v>267</v>
      </c>
      <c r="AH934">
        <v>1</v>
      </c>
      <c r="AI934">
        <v>2</v>
      </c>
      <c r="AJ934">
        <v>3</v>
      </c>
      <c r="AK934">
        <v>19</v>
      </c>
      <c r="AL934" t="s">
        <v>121</v>
      </c>
      <c r="AM934" t="s">
        <v>122</v>
      </c>
      <c r="AN934" t="s">
        <v>123</v>
      </c>
      <c r="AO934" t="s">
        <v>74</v>
      </c>
      <c r="AP934" t="s">
        <v>258</v>
      </c>
      <c r="AQ934" t="s">
        <v>74</v>
      </c>
      <c r="AR934" t="s">
        <v>259</v>
      </c>
      <c r="AS934" t="s">
        <v>260</v>
      </c>
      <c r="AT934" t="s">
        <v>18004</v>
      </c>
      <c r="AU934">
        <v>2022</v>
      </c>
      <c r="AV934">
        <v>9</v>
      </c>
      <c r="AW934" t="s">
        <v>74</v>
      </c>
      <c r="AX934" t="s">
        <v>74</v>
      </c>
      <c r="AY934" t="s">
        <v>74</v>
      </c>
      <c r="AZ934" t="s">
        <v>74</v>
      </c>
      <c r="BA934" t="s">
        <v>74</v>
      </c>
      <c r="BB934" t="s">
        <v>74</v>
      </c>
      <c r="BC934" t="s">
        <v>74</v>
      </c>
      <c r="BD934">
        <v>736693</v>
      </c>
      <c r="BE934" t="s">
        <v>18019</v>
      </c>
      <c r="BF934" t="str">
        <f>HYPERLINK("http://dx.doi.org/10.3389/fmars.2022.736693","http://dx.doi.org/10.3389/fmars.2022.736693")</f>
        <v>http://dx.doi.org/10.3389/fmars.2022.736693</v>
      </c>
      <c r="BG934" t="s">
        <v>74</v>
      </c>
      <c r="BH934" t="s">
        <v>74</v>
      </c>
      <c r="BI934">
        <v>19</v>
      </c>
      <c r="BJ934" t="s">
        <v>263</v>
      </c>
      <c r="BK934" t="s">
        <v>100</v>
      </c>
      <c r="BL934" t="s">
        <v>264</v>
      </c>
      <c r="BM934" t="s">
        <v>18020</v>
      </c>
      <c r="BN934" t="s">
        <v>74</v>
      </c>
      <c r="BO934" t="s">
        <v>5447</v>
      </c>
      <c r="BP934" t="s">
        <v>74</v>
      </c>
      <c r="BQ934" t="s">
        <v>74</v>
      </c>
      <c r="BR934" t="s">
        <v>103</v>
      </c>
      <c r="BS934" t="s">
        <v>18021</v>
      </c>
      <c r="BT934" t="str">
        <f>HYPERLINK("https%3A%2F%2Fwww.webofscience.com%2Fwos%2Fwoscc%2Ffull-record%2FWOS:000827433000001","View Full Record in Web of Science")</f>
        <v>View Full Record in Web of Science</v>
      </c>
    </row>
    <row r="935" spans="1:72" x14ac:dyDescent="0.15">
      <c r="A935" t="s">
        <v>72</v>
      </c>
      <c r="B935" t="s">
        <v>18022</v>
      </c>
      <c r="C935" t="s">
        <v>74</v>
      </c>
      <c r="D935" t="s">
        <v>74</v>
      </c>
      <c r="E935" t="s">
        <v>74</v>
      </c>
      <c r="F935" t="s">
        <v>18023</v>
      </c>
      <c r="G935" t="s">
        <v>74</v>
      </c>
      <c r="H935" t="s">
        <v>74</v>
      </c>
      <c r="I935" t="s">
        <v>18024</v>
      </c>
      <c r="J935" t="s">
        <v>247</v>
      </c>
      <c r="K935" t="s">
        <v>74</v>
      </c>
      <c r="L935" t="s">
        <v>74</v>
      </c>
      <c r="M935" t="s">
        <v>78</v>
      </c>
      <c r="N935" t="s">
        <v>79</v>
      </c>
      <c r="O935" t="s">
        <v>74</v>
      </c>
      <c r="P935" t="s">
        <v>74</v>
      </c>
      <c r="Q935" t="s">
        <v>74</v>
      </c>
      <c r="R935" t="s">
        <v>74</v>
      </c>
      <c r="S935" t="s">
        <v>74</v>
      </c>
      <c r="T935" t="s">
        <v>18025</v>
      </c>
      <c r="U935" t="s">
        <v>18026</v>
      </c>
      <c r="V935" t="s">
        <v>18027</v>
      </c>
      <c r="W935" t="s">
        <v>18028</v>
      </c>
      <c r="X935" t="s">
        <v>18029</v>
      </c>
      <c r="Y935" t="s">
        <v>18030</v>
      </c>
      <c r="Z935" t="s">
        <v>15087</v>
      </c>
      <c r="AA935" t="s">
        <v>15088</v>
      </c>
      <c r="AB935" t="s">
        <v>74</v>
      </c>
      <c r="AC935" t="s">
        <v>18031</v>
      </c>
      <c r="AD935" t="s">
        <v>18032</v>
      </c>
      <c r="AE935" t="s">
        <v>18033</v>
      </c>
      <c r="AF935" t="s">
        <v>74</v>
      </c>
      <c r="AG935">
        <v>104</v>
      </c>
      <c r="AH935">
        <v>3</v>
      </c>
      <c r="AI935">
        <v>3</v>
      </c>
      <c r="AJ935">
        <v>0</v>
      </c>
      <c r="AK935">
        <v>4</v>
      </c>
      <c r="AL935" t="s">
        <v>121</v>
      </c>
      <c r="AM935" t="s">
        <v>122</v>
      </c>
      <c r="AN935" t="s">
        <v>123</v>
      </c>
      <c r="AO935" t="s">
        <v>74</v>
      </c>
      <c r="AP935" t="s">
        <v>258</v>
      </c>
      <c r="AQ935" t="s">
        <v>74</v>
      </c>
      <c r="AR935" t="s">
        <v>259</v>
      </c>
      <c r="AS935" t="s">
        <v>260</v>
      </c>
      <c r="AT935" t="s">
        <v>18004</v>
      </c>
      <c r="AU935">
        <v>2022</v>
      </c>
      <c r="AV935">
        <v>9</v>
      </c>
      <c r="AW935" t="s">
        <v>74</v>
      </c>
      <c r="AX935" t="s">
        <v>74</v>
      </c>
      <c r="AY935" t="s">
        <v>74</v>
      </c>
      <c r="AZ935" t="s">
        <v>74</v>
      </c>
      <c r="BA935" t="s">
        <v>74</v>
      </c>
      <c r="BB935" t="s">
        <v>74</v>
      </c>
      <c r="BC935" t="s">
        <v>74</v>
      </c>
      <c r="BD935">
        <v>894182</v>
      </c>
      <c r="BE935" t="s">
        <v>18034</v>
      </c>
      <c r="BF935" t="str">
        <f>HYPERLINK("http://dx.doi.org/10.3389/fmars.2022.894182","http://dx.doi.org/10.3389/fmars.2022.894182")</f>
        <v>http://dx.doi.org/10.3389/fmars.2022.894182</v>
      </c>
      <c r="BG935" t="s">
        <v>74</v>
      </c>
      <c r="BH935" t="s">
        <v>74</v>
      </c>
      <c r="BI935">
        <v>12</v>
      </c>
      <c r="BJ935" t="s">
        <v>263</v>
      </c>
      <c r="BK935" t="s">
        <v>100</v>
      </c>
      <c r="BL935" t="s">
        <v>264</v>
      </c>
      <c r="BM935" t="s">
        <v>18035</v>
      </c>
      <c r="BN935" t="s">
        <v>74</v>
      </c>
      <c r="BO935" t="s">
        <v>4126</v>
      </c>
      <c r="BP935" t="s">
        <v>74</v>
      </c>
      <c r="BQ935" t="s">
        <v>74</v>
      </c>
      <c r="BR935" t="s">
        <v>103</v>
      </c>
      <c r="BS935" t="s">
        <v>18036</v>
      </c>
      <c r="BT935" t="str">
        <f>HYPERLINK("https%3A%2F%2Fwww.webofscience.com%2Fwos%2Fwoscc%2Ffull-record%2FWOS:000820932600001","View Full Record in Web of Science")</f>
        <v>View Full Record in Web of Science</v>
      </c>
    </row>
    <row r="936" spans="1:72" x14ac:dyDescent="0.15">
      <c r="A936" t="s">
        <v>72</v>
      </c>
      <c r="B936" t="s">
        <v>18037</v>
      </c>
      <c r="C936" t="s">
        <v>74</v>
      </c>
      <c r="D936" t="s">
        <v>74</v>
      </c>
      <c r="E936" t="s">
        <v>74</v>
      </c>
      <c r="F936" t="s">
        <v>18038</v>
      </c>
      <c r="G936" t="s">
        <v>74</v>
      </c>
      <c r="H936" t="s">
        <v>74</v>
      </c>
      <c r="I936" t="s">
        <v>18039</v>
      </c>
      <c r="J936" t="s">
        <v>12824</v>
      </c>
      <c r="K936" t="s">
        <v>74</v>
      </c>
      <c r="L936" t="s">
        <v>74</v>
      </c>
      <c r="M936" t="s">
        <v>78</v>
      </c>
      <c r="N936" t="s">
        <v>165</v>
      </c>
      <c r="O936" t="s">
        <v>74</v>
      </c>
      <c r="P936" t="s">
        <v>74</v>
      </c>
      <c r="Q936" t="s">
        <v>74</v>
      </c>
      <c r="R936" t="s">
        <v>74</v>
      </c>
      <c r="S936" t="s">
        <v>74</v>
      </c>
      <c r="T936" t="s">
        <v>18040</v>
      </c>
      <c r="U936" t="s">
        <v>18041</v>
      </c>
      <c r="V936" t="s">
        <v>18042</v>
      </c>
      <c r="W936" t="s">
        <v>18043</v>
      </c>
      <c r="X936" t="s">
        <v>18044</v>
      </c>
      <c r="Y936" t="s">
        <v>18045</v>
      </c>
      <c r="Z936" t="s">
        <v>18046</v>
      </c>
      <c r="AA936" t="s">
        <v>18047</v>
      </c>
      <c r="AB936" t="s">
        <v>18048</v>
      </c>
      <c r="AC936" t="s">
        <v>18049</v>
      </c>
      <c r="AD936" t="s">
        <v>18050</v>
      </c>
      <c r="AE936" t="s">
        <v>18051</v>
      </c>
      <c r="AF936" t="s">
        <v>74</v>
      </c>
      <c r="AG936">
        <v>51</v>
      </c>
      <c r="AH936">
        <v>3</v>
      </c>
      <c r="AI936">
        <v>3</v>
      </c>
      <c r="AJ936">
        <v>4</v>
      </c>
      <c r="AK936">
        <v>19</v>
      </c>
      <c r="AL936" t="s">
        <v>2174</v>
      </c>
      <c r="AM936" t="s">
        <v>207</v>
      </c>
      <c r="AN936" t="s">
        <v>2175</v>
      </c>
      <c r="AO936" t="s">
        <v>12837</v>
      </c>
      <c r="AP936" t="s">
        <v>12838</v>
      </c>
      <c r="AQ936" t="s">
        <v>74</v>
      </c>
      <c r="AR936" t="s">
        <v>12839</v>
      </c>
      <c r="AS936" t="s">
        <v>12840</v>
      </c>
      <c r="AT936" t="s">
        <v>18004</v>
      </c>
      <c r="AU936">
        <v>2022</v>
      </c>
      <c r="AV936">
        <v>56</v>
      </c>
      <c r="AW936">
        <v>12</v>
      </c>
      <c r="AX936" t="s">
        <v>74</v>
      </c>
      <c r="AY936" t="s">
        <v>74</v>
      </c>
      <c r="AZ936" t="s">
        <v>74</v>
      </c>
      <c r="BA936" t="s">
        <v>74</v>
      </c>
      <c r="BB936">
        <v>7381</v>
      </c>
      <c r="BC936">
        <v>7395</v>
      </c>
      <c r="BD936" t="s">
        <v>74</v>
      </c>
      <c r="BE936" t="s">
        <v>18052</v>
      </c>
      <c r="BF936" t="str">
        <f>HYPERLINK("http://dx.doi.org/10.1021/acs.est.1c06083","http://dx.doi.org/10.1021/acs.est.1c06083")</f>
        <v>http://dx.doi.org/10.1021/acs.est.1c06083</v>
      </c>
      <c r="BG936" t="s">
        <v>74</v>
      </c>
      <c r="BH936" t="s">
        <v>74</v>
      </c>
      <c r="BI936">
        <v>15</v>
      </c>
      <c r="BJ936" t="s">
        <v>5693</v>
      </c>
      <c r="BK936" t="s">
        <v>100</v>
      </c>
      <c r="BL936" t="s">
        <v>5694</v>
      </c>
      <c r="BM936" t="s">
        <v>18053</v>
      </c>
      <c r="BN936">
        <v>35670676</v>
      </c>
      <c r="BO936" t="s">
        <v>2512</v>
      </c>
      <c r="BP936" t="s">
        <v>74</v>
      </c>
      <c r="BQ936" t="s">
        <v>74</v>
      </c>
      <c r="BR936" t="s">
        <v>103</v>
      </c>
      <c r="BS936" t="s">
        <v>18054</v>
      </c>
      <c r="BT936" t="str">
        <f>HYPERLINK("https%3A%2F%2Fwww.webofscience.com%2Fwos%2Fwoscc%2Ffull-record%2FWOS:000815643300001","View Full Record in Web of Science")</f>
        <v>View Full Record in Web of Science</v>
      </c>
    </row>
    <row r="937" spans="1:72" x14ac:dyDescent="0.15">
      <c r="A937" t="s">
        <v>72</v>
      </c>
      <c r="B937" t="s">
        <v>18055</v>
      </c>
      <c r="C937" t="s">
        <v>74</v>
      </c>
      <c r="D937" t="s">
        <v>74</v>
      </c>
      <c r="E937" t="s">
        <v>74</v>
      </c>
      <c r="F937" t="s">
        <v>18056</v>
      </c>
      <c r="G937" t="s">
        <v>74</v>
      </c>
      <c r="H937" t="s">
        <v>74</v>
      </c>
      <c r="I937" t="s">
        <v>18057</v>
      </c>
      <c r="J937" t="s">
        <v>18058</v>
      </c>
      <c r="K937" t="s">
        <v>74</v>
      </c>
      <c r="L937" t="s">
        <v>74</v>
      </c>
      <c r="M937" t="s">
        <v>78</v>
      </c>
      <c r="N937" t="s">
        <v>79</v>
      </c>
      <c r="O937" t="s">
        <v>74</v>
      </c>
      <c r="P937" t="s">
        <v>74</v>
      </c>
      <c r="Q937" t="s">
        <v>74</v>
      </c>
      <c r="R937" t="s">
        <v>74</v>
      </c>
      <c r="S937" t="s">
        <v>74</v>
      </c>
      <c r="T937" t="s">
        <v>18059</v>
      </c>
      <c r="U937" t="s">
        <v>18060</v>
      </c>
      <c r="V937" t="s">
        <v>18061</v>
      </c>
      <c r="W937" t="s">
        <v>18062</v>
      </c>
      <c r="X937" t="s">
        <v>18063</v>
      </c>
      <c r="Y937" t="s">
        <v>18064</v>
      </c>
      <c r="Z937" t="s">
        <v>18065</v>
      </c>
      <c r="AA937" t="s">
        <v>74</v>
      </c>
      <c r="AB937" t="s">
        <v>74</v>
      </c>
      <c r="AC937" t="s">
        <v>18066</v>
      </c>
      <c r="AD937" t="s">
        <v>18066</v>
      </c>
      <c r="AE937" t="s">
        <v>18067</v>
      </c>
      <c r="AF937" t="s">
        <v>74</v>
      </c>
      <c r="AG937">
        <v>98</v>
      </c>
      <c r="AH937">
        <v>0</v>
      </c>
      <c r="AI937">
        <v>0</v>
      </c>
      <c r="AJ937">
        <v>0</v>
      </c>
      <c r="AK937">
        <v>1</v>
      </c>
      <c r="AL937" t="s">
        <v>18068</v>
      </c>
      <c r="AM937" t="s">
        <v>18069</v>
      </c>
      <c r="AN937" t="s">
        <v>18070</v>
      </c>
      <c r="AO937" t="s">
        <v>74</v>
      </c>
      <c r="AP937" t="s">
        <v>18071</v>
      </c>
      <c r="AQ937" t="s">
        <v>74</v>
      </c>
      <c r="AR937" t="s">
        <v>18072</v>
      </c>
      <c r="AS937" t="s">
        <v>18073</v>
      </c>
      <c r="AT937" t="s">
        <v>18004</v>
      </c>
      <c r="AU937">
        <v>2022</v>
      </c>
      <c r="AV937">
        <v>825</v>
      </c>
      <c r="AW937" t="s">
        <v>74</v>
      </c>
      <c r="AX937" t="s">
        <v>74</v>
      </c>
      <c r="AY937" t="s">
        <v>74</v>
      </c>
      <c r="AZ937" t="s">
        <v>74</v>
      </c>
      <c r="BA937" t="s">
        <v>74</v>
      </c>
      <c r="BB937">
        <v>1</v>
      </c>
      <c r="BC937">
        <v>76</v>
      </c>
      <c r="BD937" t="s">
        <v>74</v>
      </c>
      <c r="BE937" t="s">
        <v>18074</v>
      </c>
      <c r="BF937" t="str">
        <f>HYPERLINK("http://dx.doi.org/10.5852/ejt.2022.825.1829","http://dx.doi.org/10.5852/ejt.2022.825.1829")</f>
        <v>http://dx.doi.org/10.5852/ejt.2022.825.1829</v>
      </c>
      <c r="BG937" t="s">
        <v>74</v>
      </c>
      <c r="BH937" t="s">
        <v>74</v>
      </c>
      <c r="BI937">
        <v>76</v>
      </c>
      <c r="BJ937" t="s">
        <v>18075</v>
      </c>
      <c r="BK937" t="s">
        <v>100</v>
      </c>
      <c r="BL937" t="s">
        <v>18075</v>
      </c>
      <c r="BM937" t="s">
        <v>18076</v>
      </c>
      <c r="BN937" t="s">
        <v>74</v>
      </c>
      <c r="BO937" t="s">
        <v>13392</v>
      </c>
      <c r="BP937" t="s">
        <v>74</v>
      </c>
      <c r="BQ937" t="s">
        <v>74</v>
      </c>
      <c r="BR937" t="s">
        <v>103</v>
      </c>
      <c r="BS937" t="s">
        <v>18077</v>
      </c>
      <c r="BT937" t="str">
        <f>HYPERLINK("https%3A%2F%2Fwww.webofscience.com%2Fwos%2Fwoscc%2Ffull-record%2FWOS:000815096800001","View Full Record in Web of Science")</f>
        <v>View Full Record in Web of Science</v>
      </c>
    </row>
    <row r="938" spans="1:72" x14ac:dyDescent="0.15">
      <c r="A938" t="s">
        <v>72</v>
      </c>
      <c r="B938" t="s">
        <v>18078</v>
      </c>
      <c r="C938" t="s">
        <v>74</v>
      </c>
      <c r="D938" t="s">
        <v>74</v>
      </c>
      <c r="E938" t="s">
        <v>74</v>
      </c>
      <c r="F938" t="s">
        <v>18079</v>
      </c>
      <c r="G938" t="s">
        <v>74</v>
      </c>
      <c r="H938" t="s">
        <v>74</v>
      </c>
      <c r="I938" t="s">
        <v>18080</v>
      </c>
      <c r="J938" t="s">
        <v>811</v>
      </c>
      <c r="K938" t="s">
        <v>74</v>
      </c>
      <c r="L938" t="s">
        <v>74</v>
      </c>
      <c r="M938" t="s">
        <v>78</v>
      </c>
      <c r="N938" t="s">
        <v>79</v>
      </c>
      <c r="O938" t="s">
        <v>74</v>
      </c>
      <c r="P938" t="s">
        <v>74</v>
      </c>
      <c r="Q938" t="s">
        <v>74</v>
      </c>
      <c r="R938" t="s">
        <v>74</v>
      </c>
      <c r="S938" t="s">
        <v>74</v>
      </c>
      <c r="T938" t="s">
        <v>18081</v>
      </c>
      <c r="U938" t="s">
        <v>18082</v>
      </c>
      <c r="V938" t="s">
        <v>18083</v>
      </c>
      <c r="W938" t="s">
        <v>18084</v>
      </c>
      <c r="X938" t="s">
        <v>18085</v>
      </c>
      <c r="Y938" t="s">
        <v>18086</v>
      </c>
      <c r="Z938" t="s">
        <v>18087</v>
      </c>
      <c r="AA938" t="s">
        <v>74</v>
      </c>
      <c r="AB938" t="s">
        <v>18088</v>
      </c>
      <c r="AC938" t="s">
        <v>74</v>
      </c>
      <c r="AD938" t="s">
        <v>74</v>
      </c>
      <c r="AE938" t="s">
        <v>74</v>
      </c>
      <c r="AF938" t="s">
        <v>74</v>
      </c>
      <c r="AG938">
        <v>71</v>
      </c>
      <c r="AH938">
        <v>1</v>
      </c>
      <c r="AI938">
        <v>1</v>
      </c>
      <c r="AJ938">
        <v>0</v>
      </c>
      <c r="AK938">
        <v>4</v>
      </c>
      <c r="AL938" t="s">
        <v>345</v>
      </c>
      <c r="AM938" t="s">
        <v>450</v>
      </c>
      <c r="AN938" t="s">
        <v>821</v>
      </c>
      <c r="AO938" t="s">
        <v>822</v>
      </c>
      <c r="AP938" t="s">
        <v>823</v>
      </c>
      <c r="AQ938" t="s">
        <v>74</v>
      </c>
      <c r="AR938" t="s">
        <v>824</v>
      </c>
      <c r="AS938" t="s">
        <v>825</v>
      </c>
      <c r="AT938" t="s">
        <v>5386</v>
      </c>
      <c r="AU938">
        <v>2022</v>
      </c>
      <c r="AV938">
        <v>34</v>
      </c>
      <c r="AW938">
        <v>4</v>
      </c>
      <c r="AX938" t="s">
        <v>74</v>
      </c>
      <c r="AY938" t="s">
        <v>74</v>
      </c>
      <c r="AZ938" t="s">
        <v>74</v>
      </c>
      <c r="BA938" t="s">
        <v>74</v>
      </c>
      <c r="BB938">
        <v>343</v>
      </c>
      <c r="BC938">
        <v>347</v>
      </c>
      <c r="BD938" t="s">
        <v>18089</v>
      </c>
      <c r="BE938" t="s">
        <v>18090</v>
      </c>
      <c r="BF938" t="str">
        <f>HYPERLINK("http://dx.doi.org/10.1017/S0954102022000190","http://dx.doi.org/10.1017/S0954102022000190")</f>
        <v>http://dx.doi.org/10.1017/S0954102022000190</v>
      </c>
      <c r="BG938" t="s">
        <v>74</v>
      </c>
      <c r="BH938" t="s">
        <v>17025</v>
      </c>
      <c r="BI938">
        <v>5</v>
      </c>
      <c r="BJ938" t="s">
        <v>828</v>
      </c>
      <c r="BK938" t="s">
        <v>100</v>
      </c>
      <c r="BL938" t="s">
        <v>829</v>
      </c>
      <c r="BM938" t="s">
        <v>5389</v>
      </c>
      <c r="BN938" t="s">
        <v>74</v>
      </c>
      <c r="BO938" t="s">
        <v>74</v>
      </c>
      <c r="BP938" t="s">
        <v>74</v>
      </c>
      <c r="BQ938" t="s">
        <v>74</v>
      </c>
      <c r="BR938" t="s">
        <v>103</v>
      </c>
      <c r="BS938" t="s">
        <v>18091</v>
      </c>
      <c r="BT938" t="str">
        <f>HYPERLINK("https%3A%2F%2Fwww.webofscience.com%2Fwos%2Fwoscc%2Ffull-record%2FWOS:000813972900001","View Full Record in Web of Science")</f>
        <v>View Full Record in Web of Science</v>
      </c>
    </row>
    <row r="939" spans="1:72" x14ac:dyDescent="0.15">
      <c r="A939" t="s">
        <v>72</v>
      </c>
      <c r="B939" t="s">
        <v>18092</v>
      </c>
      <c r="C939" t="s">
        <v>74</v>
      </c>
      <c r="D939" t="s">
        <v>74</v>
      </c>
      <c r="E939" t="s">
        <v>74</v>
      </c>
      <c r="F939" t="s">
        <v>18093</v>
      </c>
      <c r="G939" t="s">
        <v>74</v>
      </c>
      <c r="H939" t="s">
        <v>74</v>
      </c>
      <c r="I939" t="s">
        <v>18094</v>
      </c>
      <c r="J939" t="s">
        <v>77</v>
      </c>
      <c r="K939" t="s">
        <v>74</v>
      </c>
      <c r="L939" t="s">
        <v>74</v>
      </c>
      <c r="M939" t="s">
        <v>78</v>
      </c>
      <c r="N939" t="s">
        <v>79</v>
      </c>
      <c r="O939" t="s">
        <v>74</v>
      </c>
      <c r="P939" t="s">
        <v>74</v>
      </c>
      <c r="Q939" t="s">
        <v>74</v>
      </c>
      <c r="R939" t="s">
        <v>74</v>
      </c>
      <c r="S939" t="s">
        <v>74</v>
      </c>
      <c r="T939" t="s">
        <v>18095</v>
      </c>
      <c r="U939" t="s">
        <v>74</v>
      </c>
      <c r="V939" t="s">
        <v>18096</v>
      </c>
      <c r="W939" t="s">
        <v>18097</v>
      </c>
      <c r="X939" t="s">
        <v>18098</v>
      </c>
      <c r="Y939" t="s">
        <v>18099</v>
      </c>
      <c r="Z939" t="s">
        <v>18100</v>
      </c>
      <c r="AA939" t="s">
        <v>18101</v>
      </c>
      <c r="AB939" t="s">
        <v>18102</v>
      </c>
      <c r="AC939" t="s">
        <v>18103</v>
      </c>
      <c r="AD939" t="s">
        <v>18104</v>
      </c>
      <c r="AE939" t="s">
        <v>18105</v>
      </c>
      <c r="AF939" t="s">
        <v>74</v>
      </c>
      <c r="AG939">
        <v>25</v>
      </c>
      <c r="AH939">
        <v>10</v>
      </c>
      <c r="AI939">
        <v>10</v>
      </c>
      <c r="AJ939">
        <v>2</v>
      </c>
      <c r="AK939">
        <v>8</v>
      </c>
      <c r="AL939" t="s">
        <v>89</v>
      </c>
      <c r="AM939" t="s">
        <v>90</v>
      </c>
      <c r="AN939" t="s">
        <v>91</v>
      </c>
      <c r="AO939" t="s">
        <v>92</v>
      </c>
      <c r="AP939" t="s">
        <v>93</v>
      </c>
      <c r="AQ939" t="s">
        <v>74</v>
      </c>
      <c r="AR939" t="s">
        <v>94</v>
      </c>
      <c r="AS939" t="s">
        <v>95</v>
      </c>
      <c r="AT939" t="s">
        <v>18106</v>
      </c>
      <c r="AU939">
        <v>2023</v>
      </c>
      <c r="AV939">
        <v>80</v>
      </c>
      <c r="AW939">
        <v>2</v>
      </c>
      <c r="AX939" t="s">
        <v>74</v>
      </c>
      <c r="AY939" t="s">
        <v>74</v>
      </c>
      <c r="AZ939" t="s">
        <v>74</v>
      </c>
      <c r="BA939" t="s">
        <v>74</v>
      </c>
      <c r="BB939">
        <v>358</v>
      </c>
      <c r="BC939">
        <v>361</v>
      </c>
      <c r="BD939" t="s">
        <v>74</v>
      </c>
      <c r="BE939" t="s">
        <v>18107</v>
      </c>
      <c r="BF939" t="str">
        <f>HYPERLINK("http://dx.doi.org/10.1093/icesjms/fsac110","http://dx.doi.org/10.1093/icesjms/fsac110")</f>
        <v>http://dx.doi.org/10.1093/icesjms/fsac110</v>
      </c>
      <c r="BG939" t="s">
        <v>74</v>
      </c>
      <c r="BH939" t="s">
        <v>17025</v>
      </c>
      <c r="BI939">
        <v>4</v>
      </c>
      <c r="BJ939" t="s">
        <v>99</v>
      </c>
      <c r="BK939" t="s">
        <v>100</v>
      </c>
      <c r="BL939" t="s">
        <v>99</v>
      </c>
      <c r="BM939" t="s">
        <v>18108</v>
      </c>
      <c r="BN939" t="s">
        <v>74</v>
      </c>
      <c r="BO939" t="s">
        <v>831</v>
      </c>
      <c r="BP939" t="s">
        <v>74</v>
      </c>
      <c r="BQ939" t="s">
        <v>74</v>
      </c>
      <c r="BR939" t="s">
        <v>103</v>
      </c>
      <c r="BS939" t="s">
        <v>18109</v>
      </c>
      <c r="BT939" t="str">
        <f>HYPERLINK("https%3A%2F%2Fwww.webofscience.com%2Fwos%2Fwoscc%2Ffull-record%2FWOS:000813307800001","View Full Record in Web of Science")</f>
        <v>View Full Record in Web of Science</v>
      </c>
    </row>
    <row r="940" spans="1:72" x14ac:dyDescent="0.15">
      <c r="A940" t="s">
        <v>72</v>
      </c>
      <c r="B940" t="s">
        <v>18110</v>
      </c>
      <c r="C940" t="s">
        <v>74</v>
      </c>
      <c r="D940" t="s">
        <v>74</v>
      </c>
      <c r="E940" t="s">
        <v>74</v>
      </c>
      <c r="F940" t="s">
        <v>18111</v>
      </c>
      <c r="G940" t="s">
        <v>74</v>
      </c>
      <c r="H940" t="s">
        <v>74</v>
      </c>
      <c r="I940" t="s">
        <v>18112</v>
      </c>
      <c r="J940" t="s">
        <v>18113</v>
      </c>
      <c r="K940" t="s">
        <v>74</v>
      </c>
      <c r="L940" t="s">
        <v>74</v>
      </c>
      <c r="M940" t="s">
        <v>78</v>
      </c>
      <c r="N940" t="s">
        <v>79</v>
      </c>
      <c r="O940" t="s">
        <v>74</v>
      </c>
      <c r="P940" t="s">
        <v>74</v>
      </c>
      <c r="Q940" t="s">
        <v>74</v>
      </c>
      <c r="R940" t="s">
        <v>74</v>
      </c>
      <c r="S940" t="s">
        <v>74</v>
      </c>
      <c r="T940" t="s">
        <v>18114</v>
      </c>
      <c r="U940" t="s">
        <v>18115</v>
      </c>
      <c r="V940" t="s">
        <v>18116</v>
      </c>
      <c r="W940" t="s">
        <v>18117</v>
      </c>
      <c r="X940" t="s">
        <v>18118</v>
      </c>
      <c r="Y940" t="s">
        <v>18119</v>
      </c>
      <c r="Z940" t="s">
        <v>18120</v>
      </c>
      <c r="AA940" t="s">
        <v>18121</v>
      </c>
      <c r="AB940" t="s">
        <v>18122</v>
      </c>
      <c r="AC940" t="s">
        <v>18123</v>
      </c>
      <c r="AD940" t="s">
        <v>18124</v>
      </c>
      <c r="AE940" t="s">
        <v>18125</v>
      </c>
      <c r="AF940" t="s">
        <v>74</v>
      </c>
      <c r="AG940">
        <v>60</v>
      </c>
      <c r="AH940">
        <v>3</v>
      </c>
      <c r="AI940">
        <v>3</v>
      </c>
      <c r="AJ940">
        <v>1</v>
      </c>
      <c r="AK940">
        <v>12</v>
      </c>
      <c r="AL940" t="s">
        <v>231</v>
      </c>
      <c r="AM940" t="s">
        <v>232</v>
      </c>
      <c r="AN940" t="s">
        <v>233</v>
      </c>
      <c r="AO940" t="s">
        <v>18126</v>
      </c>
      <c r="AP940" t="s">
        <v>18127</v>
      </c>
      <c r="AQ940" t="s">
        <v>74</v>
      </c>
      <c r="AR940" t="s">
        <v>18128</v>
      </c>
      <c r="AS940" t="s">
        <v>18129</v>
      </c>
      <c r="AT940" t="s">
        <v>3605</v>
      </c>
      <c r="AU940">
        <v>2022</v>
      </c>
      <c r="AV940">
        <v>91</v>
      </c>
      <c r="AW940">
        <v>9</v>
      </c>
      <c r="AX940" t="s">
        <v>74</v>
      </c>
      <c r="AY940" t="s">
        <v>74</v>
      </c>
      <c r="AZ940" t="s">
        <v>74</v>
      </c>
      <c r="BA940" t="s">
        <v>74</v>
      </c>
      <c r="BB940">
        <v>1797</v>
      </c>
      <c r="BC940">
        <v>1812</v>
      </c>
      <c r="BD940" t="s">
        <v>74</v>
      </c>
      <c r="BE940" t="s">
        <v>18130</v>
      </c>
      <c r="BF940" t="str">
        <f>HYPERLINK("http://dx.doi.org/10.1111/1365-2656.13758","http://dx.doi.org/10.1111/1365-2656.13758")</f>
        <v>http://dx.doi.org/10.1111/1365-2656.13758</v>
      </c>
      <c r="BG940" t="s">
        <v>74</v>
      </c>
      <c r="BH940" t="s">
        <v>17025</v>
      </c>
      <c r="BI940">
        <v>16</v>
      </c>
      <c r="BJ940" t="s">
        <v>18131</v>
      </c>
      <c r="BK940" t="s">
        <v>100</v>
      </c>
      <c r="BL940" t="s">
        <v>18132</v>
      </c>
      <c r="BM940" t="s">
        <v>18133</v>
      </c>
      <c r="BN940">
        <v>35675093</v>
      </c>
      <c r="BO940" t="s">
        <v>2260</v>
      </c>
      <c r="BP940" t="s">
        <v>74</v>
      </c>
      <c r="BQ940" t="s">
        <v>74</v>
      </c>
      <c r="BR940" t="s">
        <v>103</v>
      </c>
      <c r="BS940" t="s">
        <v>18134</v>
      </c>
      <c r="BT940" t="str">
        <f>HYPERLINK("https%3A%2F%2Fwww.webofscience.com%2Fwos%2Fwoscc%2Ffull-record%2FWOS:000813945100001","View Full Record in Web of Science")</f>
        <v>View Full Record in Web of Science</v>
      </c>
    </row>
    <row r="941" spans="1:72" x14ac:dyDescent="0.15">
      <c r="A941" t="s">
        <v>72</v>
      </c>
      <c r="B941" t="s">
        <v>18135</v>
      </c>
      <c r="C941" t="s">
        <v>74</v>
      </c>
      <c r="D941" t="s">
        <v>74</v>
      </c>
      <c r="E941" t="s">
        <v>74</v>
      </c>
      <c r="F941" t="s">
        <v>18136</v>
      </c>
      <c r="G941" t="s">
        <v>74</v>
      </c>
      <c r="H941" t="s">
        <v>74</v>
      </c>
      <c r="I941" t="s">
        <v>18137</v>
      </c>
      <c r="J941" t="s">
        <v>4627</v>
      </c>
      <c r="K941" t="s">
        <v>74</v>
      </c>
      <c r="L941" t="s">
        <v>74</v>
      </c>
      <c r="M941" t="s">
        <v>78</v>
      </c>
      <c r="N941" t="s">
        <v>79</v>
      </c>
      <c r="O941" t="s">
        <v>74</v>
      </c>
      <c r="P941" t="s">
        <v>74</v>
      </c>
      <c r="Q941" t="s">
        <v>74</v>
      </c>
      <c r="R941" t="s">
        <v>74</v>
      </c>
      <c r="S941" t="s">
        <v>74</v>
      </c>
      <c r="T941" t="s">
        <v>74</v>
      </c>
      <c r="U941" t="s">
        <v>18138</v>
      </c>
      <c r="V941" t="s">
        <v>18139</v>
      </c>
      <c r="W941" t="s">
        <v>18140</v>
      </c>
      <c r="X941" t="s">
        <v>18141</v>
      </c>
      <c r="Y941" t="s">
        <v>18142</v>
      </c>
      <c r="Z941" t="s">
        <v>18143</v>
      </c>
      <c r="AA941" t="s">
        <v>18144</v>
      </c>
      <c r="AB941" t="s">
        <v>18145</v>
      </c>
      <c r="AC941" t="s">
        <v>18146</v>
      </c>
      <c r="AD941" t="s">
        <v>2200</v>
      </c>
      <c r="AE941" t="s">
        <v>18147</v>
      </c>
      <c r="AF941" t="s">
        <v>74</v>
      </c>
      <c r="AG941">
        <v>88</v>
      </c>
      <c r="AH941">
        <v>11</v>
      </c>
      <c r="AI941">
        <v>12</v>
      </c>
      <c r="AJ941">
        <v>5</v>
      </c>
      <c r="AK941">
        <v>22</v>
      </c>
      <c r="AL941" t="s">
        <v>2460</v>
      </c>
      <c r="AM941" t="s">
        <v>2461</v>
      </c>
      <c r="AN941" t="s">
        <v>2462</v>
      </c>
      <c r="AO941" t="s">
        <v>4638</v>
      </c>
      <c r="AP941" t="s">
        <v>4639</v>
      </c>
      <c r="AQ941" t="s">
        <v>74</v>
      </c>
      <c r="AR941" t="s">
        <v>4640</v>
      </c>
      <c r="AS941" t="s">
        <v>4641</v>
      </c>
      <c r="AT941" t="s">
        <v>18004</v>
      </c>
      <c r="AU941">
        <v>2022</v>
      </c>
      <c r="AV941">
        <v>18</v>
      </c>
      <c r="AW941">
        <v>6</v>
      </c>
      <c r="AX941" t="s">
        <v>74</v>
      </c>
      <c r="AY941" t="s">
        <v>74</v>
      </c>
      <c r="AZ941" t="s">
        <v>74</v>
      </c>
      <c r="BA941" t="s">
        <v>74</v>
      </c>
      <c r="BB941">
        <v>1321</v>
      </c>
      <c r="BC941">
        <v>1368</v>
      </c>
      <c r="BD941" t="s">
        <v>74</v>
      </c>
      <c r="BE941" t="s">
        <v>18148</v>
      </c>
      <c r="BF941" t="str">
        <f>HYPERLINK("http://dx.doi.org/10.5194/cp-18-1321-2022","http://dx.doi.org/10.5194/cp-18-1321-2022")</f>
        <v>http://dx.doi.org/10.5194/cp-18-1321-2022</v>
      </c>
      <c r="BG941" t="s">
        <v>74</v>
      </c>
      <c r="BH941" t="s">
        <v>74</v>
      </c>
      <c r="BI941">
        <v>48</v>
      </c>
      <c r="BJ941" t="s">
        <v>3373</v>
      </c>
      <c r="BK941" t="s">
        <v>100</v>
      </c>
      <c r="BL941" t="s">
        <v>3374</v>
      </c>
      <c r="BM941" t="s">
        <v>18149</v>
      </c>
      <c r="BN941" t="s">
        <v>74</v>
      </c>
      <c r="BO941" t="s">
        <v>3262</v>
      </c>
      <c r="BP941" t="s">
        <v>74</v>
      </c>
      <c r="BQ941" t="s">
        <v>74</v>
      </c>
      <c r="BR941" t="s">
        <v>103</v>
      </c>
      <c r="BS941" t="s">
        <v>18150</v>
      </c>
      <c r="BT941" t="str">
        <f>HYPERLINK("https%3A%2F%2Fwww.webofscience.com%2Fwos%2Fwoscc%2Ffull-record%2FWOS:000813464200001","View Full Record in Web of Science")</f>
        <v>View Full Record in Web of Science</v>
      </c>
    </row>
    <row r="942" spans="1:72" x14ac:dyDescent="0.15">
      <c r="A942" t="s">
        <v>72</v>
      </c>
      <c r="B942" t="s">
        <v>18151</v>
      </c>
      <c r="C942" t="s">
        <v>74</v>
      </c>
      <c r="D942" t="s">
        <v>74</v>
      </c>
      <c r="E942" t="s">
        <v>74</v>
      </c>
      <c r="F942" t="s">
        <v>18152</v>
      </c>
      <c r="G942" t="s">
        <v>74</v>
      </c>
      <c r="H942" t="s">
        <v>74</v>
      </c>
      <c r="I942" t="s">
        <v>18153</v>
      </c>
      <c r="J942" t="s">
        <v>18154</v>
      </c>
      <c r="K942" t="s">
        <v>74</v>
      </c>
      <c r="L942" t="s">
        <v>74</v>
      </c>
      <c r="M942" t="s">
        <v>78</v>
      </c>
      <c r="N942" t="s">
        <v>79</v>
      </c>
      <c r="O942" t="s">
        <v>74</v>
      </c>
      <c r="P942" t="s">
        <v>74</v>
      </c>
      <c r="Q942" t="s">
        <v>74</v>
      </c>
      <c r="R942" t="s">
        <v>74</v>
      </c>
      <c r="S942" t="s">
        <v>74</v>
      </c>
      <c r="T942" t="s">
        <v>18155</v>
      </c>
      <c r="U942" t="s">
        <v>18156</v>
      </c>
      <c r="V942" t="s">
        <v>18157</v>
      </c>
      <c r="W942" t="s">
        <v>18158</v>
      </c>
      <c r="X942" t="s">
        <v>18159</v>
      </c>
      <c r="Y942" t="s">
        <v>18160</v>
      </c>
      <c r="Z942" t="s">
        <v>18161</v>
      </c>
      <c r="AA942" t="s">
        <v>74</v>
      </c>
      <c r="AB942" t="s">
        <v>18162</v>
      </c>
      <c r="AC942" t="s">
        <v>18163</v>
      </c>
      <c r="AD942" t="s">
        <v>18164</v>
      </c>
      <c r="AE942" t="s">
        <v>18165</v>
      </c>
      <c r="AF942" t="s">
        <v>74</v>
      </c>
      <c r="AG942">
        <v>30</v>
      </c>
      <c r="AH942">
        <v>2</v>
      </c>
      <c r="AI942">
        <v>2</v>
      </c>
      <c r="AJ942">
        <v>0</v>
      </c>
      <c r="AK942">
        <v>5</v>
      </c>
      <c r="AL942" t="s">
        <v>18166</v>
      </c>
      <c r="AM942" t="s">
        <v>18167</v>
      </c>
      <c r="AN942" t="s">
        <v>18168</v>
      </c>
      <c r="AO942" t="s">
        <v>18169</v>
      </c>
      <c r="AP942" t="s">
        <v>18170</v>
      </c>
      <c r="AQ942" t="s">
        <v>74</v>
      </c>
      <c r="AR942" t="s">
        <v>18171</v>
      </c>
      <c r="AS942" t="s">
        <v>18172</v>
      </c>
      <c r="AT942" t="s">
        <v>18173</v>
      </c>
      <c r="AU942">
        <v>2022</v>
      </c>
      <c r="AV942">
        <v>41</v>
      </c>
      <c r="AW942" t="s">
        <v>74</v>
      </c>
      <c r="AX942" t="s">
        <v>74</v>
      </c>
      <c r="AY942" t="s">
        <v>74</v>
      </c>
      <c r="AZ942" t="s">
        <v>74</v>
      </c>
      <c r="BA942" t="s">
        <v>74</v>
      </c>
      <c r="BB942" t="s">
        <v>74</v>
      </c>
      <c r="BC942" t="s">
        <v>74</v>
      </c>
      <c r="BD942">
        <v>8432</v>
      </c>
      <c r="BE942" t="s">
        <v>18174</v>
      </c>
      <c r="BF942" t="str">
        <f>HYPERLINK("http://dx.doi.org/10.33265/polar.v41.8432","http://dx.doi.org/10.33265/polar.v41.8432")</f>
        <v>http://dx.doi.org/10.33265/polar.v41.8432</v>
      </c>
      <c r="BG942" t="s">
        <v>74</v>
      </c>
      <c r="BH942" t="s">
        <v>74</v>
      </c>
      <c r="BI942">
        <v>5</v>
      </c>
      <c r="BJ942" t="s">
        <v>18175</v>
      </c>
      <c r="BK942" t="s">
        <v>100</v>
      </c>
      <c r="BL942" t="s">
        <v>18176</v>
      </c>
      <c r="BM942" t="s">
        <v>18177</v>
      </c>
      <c r="BN942" t="s">
        <v>74</v>
      </c>
      <c r="BO942" t="s">
        <v>266</v>
      </c>
      <c r="BP942" t="s">
        <v>74</v>
      </c>
      <c r="BQ942" t="s">
        <v>74</v>
      </c>
      <c r="BR942" t="s">
        <v>103</v>
      </c>
      <c r="BS942" t="s">
        <v>18178</v>
      </c>
      <c r="BT942" t="str">
        <f>HYPERLINK("https%3A%2F%2Fwww.webofscience.com%2Fwos%2Fwoscc%2Ffull-record%2FWOS:000826772500001","View Full Record in Web of Science")</f>
        <v>View Full Record in Web of Science</v>
      </c>
    </row>
    <row r="943" spans="1:72" x14ac:dyDescent="0.15">
      <c r="A943" t="s">
        <v>72</v>
      </c>
      <c r="B943" t="s">
        <v>18179</v>
      </c>
      <c r="C943" t="s">
        <v>74</v>
      </c>
      <c r="D943" t="s">
        <v>74</v>
      </c>
      <c r="E943" t="s">
        <v>74</v>
      </c>
      <c r="F943" t="s">
        <v>18180</v>
      </c>
      <c r="G943" t="s">
        <v>74</v>
      </c>
      <c r="H943" t="s">
        <v>74</v>
      </c>
      <c r="I943" t="s">
        <v>18181</v>
      </c>
      <c r="J943" t="s">
        <v>18154</v>
      </c>
      <c r="K943" t="s">
        <v>74</v>
      </c>
      <c r="L943" t="s">
        <v>74</v>
      </c>
      <c r="M943" t="s">
        <v>78</v>
      </c>
      <c r="N943" t="s">
        <v>79</v>
      </c>
      <c r="O943" t="s">
        <v>74</v>
      </c>
      <c r="P943" t="s">
        <v>74</v>
      </c>
      <c r="Q943" t="s">
        <v>74</v>
      </c>
      <c r="R943" t="s">
        <v>74</v>
      </c>
      <c r="S943" t="s">
        <v>74</v>
      </c>
      <c r="T943" t="s">
        <v>18182</v>
      </c>
      <c r="U943" t="s">
        <v>18183</v>
      </c>
      <c r="V943" t="s">
        <v>18184</v>
      </c>
      <c r="W943" t="s">
        <v>18185</v>
      </c>
      <c r="X943" t="s">
        <v>18186</v>
      </c>
      <c r="Y943" t="s">
        <v>18187</v>
      </c>
      <c r="Z943" t="s">
        <v>18188</v>
      </c>
      <c r="AA943" t="s">
        <v>74</v>
      </c>
      <c r="AB943" t="s">
        <v>74</v>
      </c>
      <c r="AC943" t="s">
        <v>74</v>
      </c>
      <c r="AD943" t="s">
        <v>74</v>
      </c>
      <c r="AE943" t="s">
        <v>74</v>
      </c>
      <c r="AF943" t="s">
        <v>74</v>
      </c>
      <c r="AG943">
        <v>79</v>
      </c>
      <c r="AH943">
        <v>3</v>
      </c>
      <c r="AI943">
        <v>3</v>
      </c>
      <c r="AJ943">
        <v>0</v>
      </c>
      <c r="AK943">
        <v>5</v>
      </c>
      <c r="AL943" t="s">
        <v>18166</v>
      </c>
      <c r="AM943" t="s">
        <v>18167</v>
      </c>
      <c r="AN943" t="s">
        <v>18168</v>
      </c>
      <c r="AO943" t="s">
        <v>18169</v>
      </c>
      <c r="AP943" t="s">
        <v>18170</v>
      </c>
      <c r="AQ943" t="s">
        <v>74</v>
      </c>
      <c r="AR943" t="s">
        <v>18171</v>
      </c>
      <c r="AS943" t="s">
        <v>18172</v>
      </c>
      <c r="AT943" t="s">
        <v>18173</v>
      </c>
      <c r="AU943">
        <v>2022</v>
      </c>
      <c r="AV943">
        <v>41</v>
      </c>
      <c r="AW943" t="s">
        <v>74</v>
      </c>
      <c r="AX943" t="s">
        <v>74</v>
      </c>
      <c r="AY943" t="s">
        <v>74</v>
      </c>
      <c r="AZ943" t="s">
        <v>74</v>
      </c>
      <c r="BA943" t="s">
        <v>74</v>
      </c>
      <c r="BB943" t="s">
        <v>74</v>
      </c>
      <c r="BC943" t="s">
        <v>74</v>
      </c>
      <c r="BD943">
        <v>7781</v>
      </c>
      <c r="BE943" t="s">
        <v>18189</v>
      </c>
      <c r="BF943" t="str">
        <f>HYPERLINK("http://dx.doi.org/10.33265/polar.v41.7781","http://dx.doi.org/10.33265/polar.v41.7781")</f>
        <v>http://dx.doi.org/10.33265/polar.v41.7781</v>
      </c>
      <c r="BG943" t="s">
        <v>74</v>
      </c>
      <c r="BH943" t="s">
        <v>74</v>
      </c>
      <c r="BI943">
        <v>15</v>
      </c>
      <c r="BJ943" t="s">
        <v>18175</v>
      </c>
      <c r="BK943" t="s">
        <v>100</v>
      </c>
      <c r="BL943" t="s">
        <v>18176</v>
      </c>
      <c r="BM943" t="s">
        <v>18190</v>
      </c>
      <c r="BN943" t="s">
        <v>74</v>
      </c>
      <c r="BO943" t="s">
        <v>266</v>
      </c>
      <c r="BP943" t="s">
        <v>74</v>
      </c>
      <c r="BQ943" t="s">
        <v>74</v>
      </c>
      <c r="BR943" t="s">
        <v>103</v>
      </c>
      <c r="BS943" t="s">
        <v>18191</v>
      </c>
      <c r="BT943" t="str">
        <f>HYPERLINK("https%3A%2F%2Fwww.webofscience.com%2Fwos%2Fwoscc%2Ffull-record%2FWOS:000826602200001","View Full Record in Web of Science")</f>
        <v>View Full Record in Web of Science</v>
      </c>
    </row>
    <row r="944" spans="1:72" x14ac:dyDescent="0.15">
      <c r="A944" t="s">
        <v>72</v>
      </c>
      <c r="B944" t="s">
        <v>18192</v>
      </c>
      <c r="C944" t="s">
        <v>74</v>
      </c>
      <c r="D944" t="s">
        <v>74</v>
      </c>
      <c r="E944" t="s">
        <v>74</v>
      </c>
      <c r="F944" t="s">
        <v>18193</v>
      </c>
      <c r="G944" t="s">
        <v>74</v>
      </c>
      <c r="H944" t="s">
        <v>74</v>
      </c>
      <c r="I944" t="s">
        <v>18194</v>
      </c>
      <c r="J944" t="s">
        <v>2939</v>
      </c>
      <c r="K944" t="s">
        <v>74</v>
      </c>
      <c r="L944" t="s">
        <v>74</v>
      </c>
      <c r="M944" t="s">
        <v>78</v>
      </c>
      <c r="N944" t="s">
        <v>165</v>
      </c>
      <c r="O944" t="s">
        <v>74</v>
      </c>
      <c r="P944" t="s">
        <v>74</v>
      </c>
      <c r="Q944" t="s">
        <v>74</v>
      </c>
      <c r="R944" t="s">
        <v>74</v>
      </c>
      <c r="S944" t="s">
        <v>74</v>
      </c>
      <c r="T944" t="s">
        <v>18195</v>
      </c>
      <c r="U944" t="s">
        <v>18196</v>
      </c>
      <c r="V944" t="s">
        <v>18197</v>
      </c>
      <c r="W944" t="s">
        <v>18198</v>
      </c>
      <c r="X944" t="s">
        <v>18199</v>
      </c>
      <c r="Y944" t="s">
        <v>18200</v>
      </c>
      <c r="Z944" t="s">
        <v>18201</v>
      </c>
      <c r="AA944" t="s">
        <v>18202</v>
      </c>
      <c r="AB944" t="s">
        <v>18203</v>
      </c>
      <c r="AC944" t="s">
        <v>74</v>
      </c>
      <c r="AD944" t="s">
        <v>74</v>
      </c>
      <c r="AE944" t="s">
        <v>74</v>
      </c>
      <c r="AF944" t="s">
        <v>74</v>
      </c>
      <c r="AG944">
        <v>147</v>
      </c>
      <c r="AH944">
        <v>17</v>
      </c>
      <c r="AI944">
        <v>17</v>
      </c>
      <c r="AJ944">
        <v>9</v>
      </c>
      <c r="AK944">
        <v>32</v>
      </c>
      <c r="AL944" t="s">
        <v>178</v>
      </c>
      <c r="AM944" t="s">
        <v>450</v>
      </c>
      <c r="AN944" t="s">
        <v>668</v>
      </c>
      <c r="AO944" t="s">
        <v>2952</v>
      </c>
      <c r="AP944" t="s">
        <v>2953</v>
      </c>
      <c r="AQ944" t="s">
        <v>74</v>
      </c>
      <c r="AR944" t="s">
        <v>2954</v>
      </c>
      <c r="AS944" t="s">
        <v>2955</v>
      </c>
      <c r="AT944" t="s">
        <v>352</v>
      </c>
      <c r="AU944">
        <v>2022</v>
      </c>
      <c r="AV944">
        <v>106</v>
      </c>
      <c r="AW944">
        <v>12</v>
      </c>
      <c r="AX944" t="s">
        <v>74</v>
      </c>
      <c r="AY944" t="s">
        <v>74</v>
      </c>
      <c r="AZ944" t="s">
        <v>74</v>
      </c>
      <c r="BA944" t="s">
        <v>74</v>
      </c>
      <c r="BB944">
        <v>4387</v>
      </c>
      <c r="BC944">
        <v>4399</v>
      </c>
      <c r="BD944" t="s">
        <v>74</v>
      </c>
      <c r="BE944" t="s">
        <v>18204</v>
      </c>
      <c r="BF944" t="str">
        <f>HYPERLINK("http://dx.doi.org/10.1007/s00253-022-12023-9","http://dx.doi.org/10.1007/s00253-022-12023-9")</f>
        <v>http://dx.doi.org/10.1007/s00253-022-12023-9</v>
      </c>
      <c r="BG944" t="s">
        <v>74</v>
      </c>
      <c r="BH944" t="s">
        <v>17025</v>
      </c>
      <c r="BI944">
        <v>13</v>
      </c>
      <c r="BJ944" t="s">
        <v>2957</v>
      </c>
      <c r="BK944" t="s">
        <v>100</v>
      </c>
      <c r="BL944" t="s">
        <v>2957</v>
      </c>
      <c r="BM944" t="s">
        <v>18205</v>
      </c>
      <c r="BN944">
        <v>35723692</v>
      </c>
      <c r="BO944" t="s">
        <v>74</v>
      </c>
      <c r="BP944" t="s">
        <v>74</v>
      </c>
      <c r="BQ944" t="s">
        <v>74</v>
      </c>
      <c r="BR944" t="s">
        <v>103</v>
      </c>
      <c r="BS944" t="s">
        <v>18206</v>
      </c>
      <c r="BT944" t="str">
        <f>HYPERLINK("https%3A%2F%2Fwww.webofscience.com%2Fwos%2Fwoscc%2Ffull-record%2FWOS:000813677500002","View Full Record in Web of Science")</f>
        <v>View Full Record in Web of Science</v>
      </c>
    </row>
    <row r="945" spans="1:72" x14ac:dyDescent="0.15">
      <c r="A945" t="s">
        <v>72</v>
      </c>
      <c r="B945" t="s">
        <v>18207</v>
      </c>
      <c r="C945" t="s">
        <v>74</v>
      </c>
      <c r="D945" t="s">
        <v>74</v>
      </c>
      <c r="E945" t="s">
        <v>74</v>
      </c>
      <c r="F945" t="s">
        <v>18208</v>
      </c>
      <c r="G945" t="s">
        <v>74</v>
      </c>
      <c r="H945" t="s">
        <v>74</v>
      </c>
      <c r="I945" t="s">
        <v>18209</v>
      </c>
      <c r="J945" t="s">
        <v>18210</v>
      </c>
      <c r="K945" t="s">
        <v>74</v>
      </c>
      <c r="L945" t="s">
        <v>74</v>
      </c>
      <c r="M945" t="s">
        <v>78</v>
      </c>
      <c r="N945" t="s">
        <v>79</v>
      </c>
      <c r="O945" t="s">
        <v>74</v>
      </c>
      <c r="P945" t="s">
        <v>74</v>
      </c>
      <c r="Q945" t="s">
        <v>74</v>
      </c>
      <c r="R945" t="s">
        <v>74</v>
      </c>
      <c r="S945" t="s">
        <v>74</v>
      </c>
      <c r="T945" t="s">
        <v>18211</v>
      </c>
      <c r="U945" t="s">
        <v>18212</v>
      </c>
      <c r="V945" t="s">
        <v>18213</v>
      </c>
      <c r="W945" t="s">
        <v>18214</v>
      </c>
      <c r="X945" t="s">
        <v>18215</v>
      </c>
      <c r="Y945" t="s">
        <v>18216</v>
      </c>
      <c r="Z945" t="s">
        <v>18217</v>
      </c>
      <c r="AA945" t="s">
        <v>74</v>
      </c>
      <c r="AB945" t="s">
        <v>74</v>
      </c>
      <c r="AC945" t="s">
        <v>18218</v>
      </c>
      <c r="AD945" t="s">
        <v>18218</v>
      </c>
      <c r="AE945" t="s">
        <v>18219</v>
      </c>
      <c r="AF945" t="s">
        <v>74</v>
      </c>
      <c r="AG945">
        <v>55</v>
      </c>
      <c r="AH945">
        <v>4</v>
      </c>
      <c r="AI945">
        <v>4</v>
      </c>
      <c r="AJ945">
        <v>2</v>
      </c>
      <c r="AK945">
        <v>8</v>
      </c>
      <c r="AL945" t="s">
        <v>641</v>
      </c>
      <c r="AM945" t="s">
        <v>642</v>
      </c>
      <c r="AN945" t="s">
        <v>643</v>
      </c>
      <c r="AO945" t="s">
        <v>18220</v>
      </c>
      <c r="AP945" t="s">
        <v>18221</v>
      </c>
      <c r="AQ945" t="s">
        <v>74</v>
      </c>
      <c r="AR945" t="s">
        <v>18222</v>
      </c>
      <c r="AS945" t="s">
        <v>18223</v>
      </c>
      <c r="AT945" t="s">
        <v>18224</v>
      </c>
      <c r="AU945">
        <v>2023</v>
      </c>
      <c r="AV945">
        <v>32</v>
      </c>
      <c r="AW945">
        <v>4</v>
      </c>
      <c r="AX945" t="s">
        <v>74</v>
      </c>
      <c r="AY945" t="s">
        <v>74</v>
      </c>
      <c r="AZ945" t="s">
        <v>74</v>
      </c>
      <c r="BA945" t="s">
        <v>74</v>
      </c>
      <c r="BB945">
        <v>363</v>
      </c>
      <c r="BC945">
        <v>375</v>
      </c>
      <c r="BD945" t="s">
        <v>74</v>
      </c>
      <c r="BE945" t="s">
        <v>18225</v>
      </c>
      <c r="BF945" t="str">
        <f>HYPERLINK("http://dx.doi.org/10.1080/15320383.2022.2090501","http://dx.doi.org/10.1080/15320383.2022.2090501")</f>
        <v>http://dx.doi.org/10.1080/15320383.2022.2090501</v>
      </c>
      <c r="BG945" t="s">
        <v>74</v>
      </c>
      <c r="BH945" t="s">
        <v>17025</v>
      </c>
      <c r="BI945">
        <v>13</v>
      </c>
      <c r="BJ945" t="s">
        <v>2040</v>
      </c>
      <c r="BK945" t="s">
        <v>100</v>
      </c>
      <c r="BL945" t="s">
        <v>2041</v>
      </c>
      <c r="BM945" t="s">
        <v>18226</v>
      </c>
      <c r="BN945" t="s">
        <v>74</v>
      </c>
      <c r="BO945" t="s">
        <v>74</v>
      </c>
      <c r="BP945" t="s">
        <v>74</v>
      </c>
      <c r="BQ945" t="s">
        <v>74</v>
      </c>
      <c r="BR945" t="s">
        <v>103</v>
      </c>
      <c r="BS945" t="s">
        <v>18227</v>
      </c>
      <c r="BT945" t="str">
        <f>HYPERLINK("https%3A%2F%2Fwww.webofscience.com%2Fwos%2Fwoscc%2Ffull-record%2FWOS:000813658600001","View Full Record in Web of Science")</f>
        <v>View Full Record in Web of Science</v>
      </c>
    </row>
    <row r="946" spans="1:72" x14ac:dyDescent="0.15">
      <c r="A946" t="s">
        <v>72</v>
      </c>
      <c r="B946" t="s">
        <v>18228</v>
      </c>
      <c r="C946" t="s">
        <v>74</v>
      </c>
      <c r="D946" t="s">
        <v>74</v>
      </c>
      <c r="E946" t="s">
        <v>74</v>
      </c>
      <c r="F946" t="s">
        <v>18229</v>
      </c>
      <c r="G946" t="s">
        <v>74</v>
      </c>
      <c r="H946" t="s">
        <v>74</v>
      </c>
      <c r="I946" t="s">
        <v>18230</v>
      </c>
      <c r="J946" t="s">
        <v>18231</v>
      </c>
      <c r="K946" t="s">
        <v>74</v>
      </c>
      <c r="L946" t="s">
        <v>74</v>
      </c>
      <c r="M946" t="s">
        <v>78</v>
      </c>
      <c r="N946" t="s">
        <v>79</v>
      </c>
      <c r="O946" t="s">
        <v>74</v>
      </c>
      <c r="P946" t="s">
        <v>74</v>
      </c>
      <c r="Q946" t="s">
        <v>74</v>
      </c>
      <c r="R946" t="s">
        <v>74</v>
      </c>
      <c r="S946" t="s">
        <v>74</v>
      </c>
      <c r="T946" t="s">
        <v>74</v>
      </c>
      <c r="U946" t="s">
        <v>18232</v>
      </c>
      <c r="V946" t="s">
        <v>18233</v>
      </c>
      <c r="W946" t="s">
        <v>18234</v>
      </c>
      <c r="X946" t="s">
        <v>18235</v>
      </c>
      <c r="Y946" t="s">
        <v>18236</v>
      </c>
      <c r="Z946" t="s">
        <v>18237</v>
      </c>
      <c r="AA946" t="s">
        <v>18238</v>
      </c>
      <c r="AB946" t="s">
        <v>18239</v>
      </c>
      <c r="AC946" t="s">
        <v>18240</v>
      </c>
      <c r="AD946" t="s">
        <v>8586</v>
      </c>
      <c r="AE946" t="s">
        <v>18241</v>
      </c>
      <c r="AF946" t="s">
        <v>74</v>
      </c>
      <c r="AG946">
        <v>67</v>
      </c>
      <c r="AH946">
        <v>3</v>
      </c>
      <c r="AI946">
        <v>3</v>
      </c>
      <c r="AJ946">
        <v>1</v>
      </c>
      <c r="AK946">
        <v>4</v>
      </c>
      <c r="AL946" t="s">
        <v>2460</v>
      </c>
      <c r="AM946" t="s">
        <v>2461</v>
      </c>
      <c r="AN946" t="s">
        <v>2462</v>
      </c>
      <c r="AO946" t="s">
        <v>18242</v>
      </c>
      <c r="AP946" t="s">
        <v>18243</v>
      </c>
      <c r="AQ946" t="s">
        <v>74</v>
      </c>
      <c r="AR946" t="s">
        <v>18244</v>
      </c>
      <c r="AS946" t="s">
        <v>18245</v>
      </c>
      <c r="AT946" t="s">
        <v>18173</v>
      </c>
      <c r="AU946">
        <v>2022</v>
      </c>
      <c r="AV946">
        <v>15</v>
      </c>
      <c r="AW946">
        <v>12</v>
      </c>
      <c r="AX946" t="s">
        <v>74</v>
      </c>
      <c r="AY946" t="s">
        <v>74</v>
      </c>
      <c r="AZ946" t="s">
        <v>74</v>
      </c>
      <c r="BA946" t="s">
        <v>74</v>
      </c>
      <c r="BB946">
        <v>3663</v>
      </c>
      <c r="BC946">
        <v>3681</v>
      </c>
      <c r="BD946" t="s">
        <v>74</v>
      </c>
      <c r="BE946" t="s">
        <v>18246</v>
      </c>
      <c r="BF946" t="str">
        <f>HYPERLINK("http://dx.doi.org/10.5194/amt-15-3663-2022","http://dx.doi.org/10.5194/amt-15-3663-2022")</f>
        <v>http://dx.doi.org/10.5194/amt-15-3663-2022</v>
      </c>
      <c r="BG946" t="s">
        <v>74</v>
      </c>
      <c r="BH946" t="s">
        <v>74</v>
      </c>
      <c r="BI946">
        <v>19</v>
      </c>
      <c r="BJ946" t="s">
        <v>457</v>
      </c>
      <c r="BK946" t="s">
        <v>100</v>
      </c>
      <c r="BL946" t="s">
        <v>457</v>
      </c>
      <c r="BM946" t="s">
        <v>18247</v>
      </c>
      <c r="BN946" t="s">
        <v>74</v>
      </c>
      <c r="BO946" t="s">
        <v>1195</v>
      </c>
      <c r="BP946" t="s">
        <v>74</v>
      </c>
      <c r="BQ946" t="s">
        <v>74</v>
      </c>
      <c r="BR946" t="s">
        <v>103</v>
      </c>
      <c r="BS946" t="s">
        <v>18248</v>
      </c>
      <c r="BT946" t="str">
        <f>HYPERLINK("https%3A%2F%2Fwww.webofscience.com%2Fwos%2Fwoscc%2Ffull-record%2FWOS:000813038800001","View Full Record in Web of Science")</f>
        <v>View Full Record in Web of Science</v>
      </c>
    </row>
    <row r="947" spans="1:72" x14ac:dyDescent="0.15">
      <c r="A947" t="s">
        <v>72</v>
      </c>
      <c r="B947" t="s">
        <v>18249</v>
      </c>
      <c r="C947" t="s">
        <v>74</v>
      </c>
      <c r="D947" t="s">
        <v>74</v>
      </c>
      <c r="E947" t="s">
        <v>74</v>
      </c>
      <c r="F947" t="s">
        <v>18250</v>
      </c>
      <c r="G947" t="s">
        <v>74</v>
      </c>
      <c r="H947" t="s">
        <v>74</v>
      </c>
      <c r="I947" t="s">
        <v>18251</v>
      </c>
      <c r="J947" t="s">
        <v>18252</v>
      </c>
      <c r="K947" t="s">
        <v>74</v>
      </c>
      <c r="L947" t="s">
        <v>74</v>
      </c>
      <c r="M947" t="s">
        <v>78</v>
      </c>
      <c r="N947" t="s">
        <v>79</v>
      </c>
      <c r="O947" t="s">
        <v>74</v>
      </c>
      <c r="P947" t="s">
        <v>74</v>
      </c>
      <c r="Q947" t="s">
        <v>74</v>
      </c>
      <c r="R947" t="s">
        <v>74</v>
      </c>
      <c r="S947" t="s">
        <v>74</v>
      </c>
      <c r="T947" t="s">
        <v>18253</v>
      </c>
      <c r="U947" t="s">
        <v>18254</v>
      </c>
      <c r="V947" t="s">
        <v>18255</v>
      </c>
      <c r="W947" t="s">
        <v>18256</v>
      </c>
      <c r="X947" t="s">
        <v>18257</v>
      </c>
      <c r="Y947" t="s">
        <v>18258</v>
      </c>
      <c r="Z947" t="s">
        <v>18259</v>
      </c>
      <c r="AA947" t="s">
        <v>18260</v>
      </c>
      <c r="AB947" t="s">
        <v>18261</v>
      </c>
      <c r="AC947" t="s">
        <v>18262</v>
      </c>
      <c r="AD947" t="s">
        <v>18263</v>
      </c>
      <c r="AE947" t="s">
        <v>18264</v>
      </c>
      <c r="AF947" t="s">
        <v>74</v>
      </c>
      <c r="AG947">
        <v>36</v>
      </c>
      <c r="AH947">
        <v>1</v>
      </c>
      <c r="AI947">
        <v>1</v>
      </c>
      <c r="AJ947">
        <v>11</v>
      </c>
      <c r="AK947">
        <v>62</v>
      </c>
      <c r="AL947" t="s">
        <v>5619</v>
      </c>
      <c r="AM947" t="s">
        <v>550</v>
      </c>
      <c r="AN947" t="s">
        <v>5620</v>
      </c>
      <c r="AO947" t="s">
        <v>18265</v>
      </c>
      <c r="AP947" t="s">
        <v>18266</v>
      </c>
      <c r="AQ947" t="s">
        <v>74</v>
      </c>
      <c r="AR947" t="s">
        <v>18267</v>
      </c>
      <c r="AS947" t="s">
        <v>18268</v>
      </c>
      <c r="AT947" t="s">
        <v>2418</v>
      </c>
      <c r="AU947">
        <v>2023</v>
      </c>
      <c r="AV947">
        <v>126</v>
      </c>
      <c r="AW947" t="s">
        <v>74</v>
      </c>
      <c r="AX947" t="s">
        <v>74</v>
      </c>
      <c r="AY947" t="s">
        <v>74</v>
      </c>
      <c r="AZ947" t="s">
        <v>74</v>
      </c>
      <c r="BA947" t="s">
        <v>74</v>
      </c>
      <c r="BB947">
        <v>784</v>
      </c>
      <c r="BC947">
        <v>793</v>
      </c>
      <c r="BD947" t="s">
        <v>74</v>
      </c>
      <c r="BE947" t="s">
        <v>18269</v>
      </c>
      <c r="BF947" t="str">
        <f>HYPERLINK("http://dx.doi.org/10.1016/j.jes.2022.04.045","http://dx.doi.org/10.1016/j.jes.2022.04.045")</f>
        <v>http://dx.doi.org/10.1016/j.jes.2022.04.045</v>
      </c>
      <c r="BG947" t="s">
        <v>74</v>
      </c>
      <c r="BH947" t="s">
        <v>17025</v>
      </c>
      <c r="BI947">
        <v>10</v>
      </c>
      <c r="BJ947" t="s">
        <v>2040</v>
      </c>
      <c r="BK947" t="s">
        <v>100</v>
      </c>
      <c r="BL947" t="s">
        <v>2041</v>
      </c>
      <c r="BM947" t="s">
        <v>18270</v>
      </c>
      <c r="BN947">
        <v>36503803</v>
      </c>
      <c r="BO947" t="s">
        <v>74</v>
      </c>
      <c r="BP947" t="s">
        <v>74</v>
      </c>
      <c r="BQ947" t="s">
        <v>74</v>
      </c>
      <c r="BR947" t="s">
        <v>103</v>
      </c>
      <c r="BS947" t="s">
        <v>18271</v>
      </c>
      <c r="BT947" t="str">
        <f>HYPERLINK("https%3A%2F%2Fwww.webofscience.com%2Fwos%2Fwoscc%2Ffull-record%2FWOS:000829110500011","View Full Record in Web of Science")</f>
        <v>View Full Record in Web of Science</v>
      </c>
    </row>
    <row r="948" spans="1:72" x14ac:dyDescent="0.15">
      <c r="A948" t="s">
        <v>72</v>
      </c>
      <c r="B948" t="s">
        <v>18272</v>
      </c>
      <c r="C948" t="s">
        <v>74</v>
      </c>
      <c r="D948" t="s">
        <v>74</v>
      </c>
      <c r="E948" t="s">
        <v>74</v>
      </c>
      <c r="F948" t="s">
        <v>18273</v>
      </c>
      <c r="G948" t="s">
        <v>74</v>
      </c>
      <c r="H948" t="s">
        <v>74</v>
      </c>
      <c r="I948" t="s">
        <v>18274</v>
      </c>
      <c r="J948" t="s">
        <v>5411</v>
      </c>
      <c r="K948" t="s">
        <v>74</v>
      </c>
      <c r="L948" t="s">
        <v>74</v>
      </c>
      <c r="M948" t="s">
        <v>78</v>
      </c>
      <c r="N948" t="s">
        <v>79</v>
      </c>
      <c r="O948" t="s">
        <v>74</v>
      </c>
      <c r="P948" t="s">
        <v>74</v>
      </c>
      <c r="Q948" t="s">
        <v>74</v>
      </c>
      <c r="R948" t="s">
        <v>74</v>
      </c>
      <c r="S948" t="s">
        <v>74</v>
      </c>
      <c r="T948" t="s">
        <v>18275</v>
      </c>
      <c r="U948" t="s">
        <v>18276</v>
      </c>
      <c r="V948" t="s">
        <v>18277</v>
      </c>
      <c r="W948" t="s">
        <v>18278</v>
      </c>
      <c r="X948" t="s">
        <v>18279</v>
      </c>
      <c r="Y948" t="s">
        <v>18280</v>
      </c>
      <c r="Z948" t="s">
        <v>18281</v>
      </c>
      <c r="AA948" t="s">
        <v>18282</v>
      </c>
      <c r="AB948" t="s">
        <v>18283</v>
      </c>
      <c r="AC948" t="s">
        <v>18284</v>
      </c>
      <c r="AD948" t="s">
        <v>18285</v>
      </c>
      <c r="AE948" t="s">
        <v>18286</v>
      </c>
      <c r="AF948" t="s">
        <v>74</v>
      </c>
      <c r="AG948">
        <v>39</v>
      </c>
      <c r="AH948">
        <v>1</v>
      </c>
      <c r="AI948">
        <v>1</v>
      </c>
      <c r="AJ948">
        <v>0</v>
      </c>
      <c r="AK948">
        <v>4</v>
      </c>
      <c r="AL948" t="s">
        <v>121</v>
      </c>
      <c r="AM948" t="s">
        <v>122</v>
      </c>
      <c r="AN948" t="s">
        <v>123</v>
      </c>
      <c r="AO948" t="s">
        <v>5423</v>
      </c>
      <c r="AP948" t="s">
        <v>74</v>
      </c>
      <c r="AQ948" t="s">
        <v>74</v>
      </c>
      <c r="AR948" t="s">
        <v>5424</v>
      </c>
      <c r="AS948" t="s">
        <v>5425</v>
      </c>
      <c r="AT948" t="s">
        <v>18287</v>
      </c>
      <c r="AU948">
        <v>2022</v>
      </c>
      <c r="AV948">
        <v>9</v>
      </c>
      <c r="AW948" t="s">
        <v>74</v>
      </c>
      <c r="AX948" t="s">
        <v>74</v>
      </c>
      <c r="AY948" t="s">
        <v>74</v>
      </c>
      <c r="AZ948" t="s">
        <v>74</v>
      </c>
      <c r="BA948" t="s">
        <v>74</v>
      </c>
      <c r="BB948" t="s">
        <v>74</v>
      </c>
      <c r="BC948" t="s">
        <v>74</v>
      </c>
      <c r="BD948">
        <v>896199</v>
      </c>
      <c r="BE948" t="s">
        <v>18288</v>
      </c>
      <c r="BF948" t="str">
        <f>HYPERLINK("http://dx.doi.org/10.3389/fspas.2022.896199","http://dx.doi.org/10.3389/fspas.2022.896199")</f>
        <v>http://dx.doi.org/10.3389/fspas.2022.896199</v>
      </c>
      <c r="BG948" t="s">
        <v>74</v>
      </c>
      <c r="BH948" t="s">
        <v>74</v>
      </c>
      <c r="BI948">
        <v>13</v>
      </c>
      <c r="BJ948" t="s">
        <v>954</v>
      </c>
      <c r="BK948" t="s">
        <v>100</v>
      </c>
      <c r="BL948" t="s">
        <v>954</v>
      </c>
      <c r="BM948" t="s">
        <v>18289</v>
      </c>
      <c r="BN948" t="s">
        <v>74</v>
      </c>
      <c r="BO948" t="s">
        <v>266</v>
      </c>
      <c r="BP948" t="s">
        <v>74</v>
      </c>
      <c r="BQ948" t="s">
        <v>74</v>
      </c>
      <c r="BR948" t="s">
        <v>103</v>
      </c>
      <c r="BS948" t="s">
        <v>18290</v>
      </c>
      <c r="BT948" t="str">
        <f>HYPERLINK("https%3A%2F%2Fwww.webofscience.com%2Fwos%2Fwoscc%2Ffull-record%2FWOS:000891979400001","View Full Record in Web of Science")</f>
        <v>View Full Record in Web of Science</v>
      </c>
    </row>
    <row r="949" spans="1:72" x14ac:dyDescent="0.15">
      <c r="A949" t="s">
        <v>72</v>
      </c>
      <c r="B949" t="s">
        <v>18291</v>
      </c>
      <c r="C949" t="s">
        <v>74</v>
      </c>
      <c r="D949" t="s">
        <v>74</v>
      </c>
      <c r="E949" t="s">
        <v>74</v>
      </c>
      <c r="F949" t="s">
        <v>18292</v>
      </c>
      <c r="G949" t="s">
        <v>74</v>
      </c>
      <c r="H949" t="s">
        <v>74</v>
      </c>
      <c r="I949" t="s">
        <v>18293</v>
      </c>
      <c r="J949" t="s">
        <v>4531</v>
      </c>
      <c r="K949" t="s">
        <v>74</v>
      </c>
      <c r="L949" t="s">
        <v>74</v>
      </c>
      <c r="M949" t="s">
        <v>78</v>
      </c>
      <c r="N949" t="s">
        <v>79</v>
      </c>
      <c r="O949" t="s">
        <v>74</v>
      </c>
      <c r="P949" t="s">
        <v>74</v>
      </c>
      <c r="Q949" t="s">
        <v>74</v>
      </c>
      <c r="R949" t="s">
        <v>74</v>
      </c>
      <c r="S949" t="s">
        <v>74</v>
      </c>
      <c r="T949" t="s">
        <v>18294</v>
      </c>
      <c r="U949" t="s">
        <v>18295</v>
      </c>
      <c r="V949" t="s">
        <v>18296</v>
      </c>
      <c r="W949" t="s">
        <v>18297</v>
      </c>
      <c r="X949" t="s">
        <v>18298</v>
      </c>
      <c r="Y949" t="s">
        <v>18299</v>
      </c>
      <c r="Z949" t="s">
        <v>18300</v>
      </c>
      <c r="AA949" t="s">
        <v>18301</v>
      </c>
      <c r="AB949" t="s">
        <v>12444</v>
      </c>
      <c r="AC949" t="s">
        <v>18302</v>
      </c>
      <c r="AD949" t="s">
        <v>18303</v>
      </c>
      <c r="AE949" t="s">
        <v>18304</v>
      </c>
      <c r="AF949" t="s">
        <v>74</v>
      </c>
      <c r="AG949">
        <v>94</v>
      </c>
      <c r="AH949">
        <v>9</v>
      </c>
      <c r="AI949">
        <v>9</v>
      </c>
      <c r="AJ949">
        <v>8</v>
      </c>
      <c r="AK949">
        <v>27</v>
      </c>
      <c r="AL949" t="s">
        <v>121</v>
      </c>
      <c r="AM949" t="s">
        <v>122</v>
      </c>
      <c r="AN949" t="s">
        <v>123</v>
      </c>
      <c r="AO949" t="s">
        <v>4541</v>
      </c>
      <c r="AP949" t="s">
        <v>74</v>
      </c>
      <c r="AQ949" t="s">
        <v>74</v>
      </c>
      <c r="AR949" t="s">
        <v>4542</v>
      </c>
      <c r="AS949" t="s">
        <v>4543</v>
      </c>
      <c r="AT949" t="s">
        <v>18287</v>
      </c>
      <c r="AU949">
        <v>2022</v>
      </c>
      <c r="AV949">
        <v>13</v>
      </c>
      <c r="AW949" t="s">
        <v>74</v>
      </c>
      <c r="AX949" t="s">
        <v>74</v>
      </c>
      <c r="AY949" t="s">
        <v>74</v>
      </c>
      <c r="AZ949" t="s">
        <v>74</v>
      </c>
      <c r="BA949" t="s">
        <v>74</v>
      </c>
      <c r="BB949" t="s">
        <v>74</v>
      </c>
      <c r="BC949" t="s">
        <v>74</v>
      </c>
      <c r="BD949">
        <v>920138</v>
      </c>
      <c r="BE949" t="s">
        <v>18305</v>
      </c>
      <c r="BF949" t="str">
        <f>HYPERLINK("http://dx.doi.org/10.3389/fpls.2022.920138","http://dx.doi.org/10.3389/fpls.2022.920138")</f>
        <v>http://dx.doi.org/10.3389/fpls.2022.920138</v>
      </c>
      <c r="BG949" t="s">
        <v>74</v>
      </c>
      <c r="BH949" t="s">
        <v>74</v>
      </c>
      <c r="BI949">
        <v>16</v>
      </c>
      <c r="BJ949" t="s">
        <v>1438</v>
      </c>
      <c r="BK949" t="s">
        <v>100</v>
      </c>
      <c r="BL949" t="s">
        <v>1438</v>
      </c>
      <c r="BM949" t="s">
        <v>18306</v>
      </c>
      <c r="BN949">
        <v>35783932</v>
      </c>
      <c r="BO949" t="s">
        <v>159</v>
      </c>
      <c r="BP949" t="s">
        <v>74</v>
      </c>
      <c r="BQ949" t="s">
        <v>74</v>
      </c>
      <c r="BR949" t="s">
        <v>103</v>
      </c>
      <c r="BS949" t="s">
        <v>18307</v>
      </c>
      <c r="BT949" t="str">
        <f>HYPERLINK("https%3A%2F%2Fwww.webofscience.com%2Fwos%2Fwoscc%2Ffull-record%2FWOS:000886920200001","View Full Record in Web of Science")</f>
        <v>View Full Record in Web of Science</v>
      </c>
    </row>
    <row r="950" spans="1:72" x14ac:dyDescent="0.15">
      <c r="A950" t="s">
        <v>72</v>
      </c>
      <c r="B950" t="s">
        <v>18308</v>
      </c>
      <c r="C950" t="s">
        <v>74</v>
      </c>
      <c r="D950" t="s">
        <v>74</v>
      </c>
      <c r="E950" t="s">
        <v>74</v>
      </c>
      <c r="F950" t="s">
        <v>18309</v>
      </c>
      <c r="G950" t="s">
        <v>74</v>
      </c>
      <c r="H950" t="s">
        <v>74</v>
      </c>
      <c r="I950" t="s">
        <v>18310</v>
      </c>
      <c r="J950" t="s">
        <v>8833</v>
      </c>
      <c r="K950" t="s">
        <v>74</v>
      </c>
      <c r="L950" t="s">
        <v>74</v>
      </c>
      <c r="M950" t="s">
        <v>78</v>
      </c>
      <c r="N950" t="s">
        <v>79</v>
      </c>
      <c r="O950" t="s">
        <v>74</v>
      </c>
      <c r="P950" t="s">
        <v>74</v>
      </c>
      <c r="Q950" t="s">
        <v>74</v>
      </c>
      <c r="R950" t="s">
        <v>74</v>
      </c>
      <c r="S950" t="s">
        <v>74</v>
      </c>
      <c r="T950" t="s">
        <v>74</v>
      </c>
      <c r="U950" t="s">
        <v>18311</v>
      </c>
      <c r="V950" t="s">
        <v>18312</v>
      </c>
      <c r="W950" t="s">
        <v>18313</v>
      </c>
      <c r="X950" t="s">
        <v>18314</v>
      </c>
      <c r="Y950" t="s">
        <v>18315</v>
      </c>
      <c r="Z950" t="s">
        <v>18316</v>
      </c>
      <c r="AA950" t="s">
        <v>18317</v>
      </c>
      <c r="AB950" t="s">
        <v>18318</v>
      </c>
      <c r="AC950" t="s">
        <v>18319</v>
      </c>
      <c r="AD950" t="s">
        <v>18320</v>
      </c>
      <c r="AE950" t="s">
        <v>18321</v>
      </c>
      <c r="AF950" t="s">
        <v>74</v>
      </c>
      <c r="AG950">
        <v>174</v>
      </c>
      <c r="AH950">
        <v>16</v>
      </c>
      <c r="AI950">
        <v>17</v>
      </c>
      <c r="AJ950">
        <v>1</v>
      </c>
      <c r="AK950">
        <v>19</v>
      </c>
      <c r="AL950" t="s">
        <v>2876</v>
      </c>
      <c r="AM950" t="s">
        <v>346</v>
      </c>
      <c r="AN950" t="s">
        <v>2877</v>
      </c>
      <c r="AO950" t="s">
        <v>8845</v>
      </c>
      <c r="AP950" t="s">
        <v>8846</v>
      </c>
      <c r="AQ950" t="s">
        <v>74</v>
      </c>
      <c r="AR950" t="s">
        <v>8833</v>
      </c>
      <c r="AS950" t="s">
        <v>8847</v>
      </c>
      <c r="AT950" t="s">
        <v>18287</v>
      </c>
      <c r="AU950">
        <v>2022</v>
      </c>
      <c r="AV950">
        <v>5</v>
      </c>
      <c r="AW950">
        <v>6</v>
      </c>
      <c r="AX950" t="s">
        <v>74</v>
      </c>
      <c r="AY950" t="s">
        <v>74</v>
      </c>
      <c r="AZ950" t="s">
        <v>74</v>
      </c>
      <c r="BA950" t="s">
        <v>74</v>
      </c>
      <c r="BB950">
        <v>687</v>
      </c>
      <c r="BC950">
        <v>708</v>
      </c>
      <c r="BD950" t="s">
        <v>74</v>
      </c>
      <c r="BE950" t="s">
        <v>18322</v>
      </c>
      <c r="BF950" t="str">
        <f>HYPERLINK("http://dx.doi.org/10.1016/j.oneear.2022.05.006","http://dx.doi.org/10.1016/j.oneear.2022.05.006")</f>
        <v>http://dx.doi.org/10.1016/j.oneear.2022.05.006</v>
      </c>
      <c r="BG950" t="s">
        <v>74</v>
      </c>
      <c r="BH950" t="s">
        <v>74</v>
      </c>
      <c r="BI950">
        <v>23</v>
      </c>
      <c r="BJ950" t="s">
        <v>8849</v>
      </c>
      <c r="BK950" t="s">
        <v>2332</v>
      </c>
      <c r="BL950" t="s">
        <v>8850</v>
      </c>
      <c r="BM950" t="s">
        <v>18323</v>
      </c>
      <c r="BN950" t="s">
        <v>74</v>
      </c>
      <c r="BO950" t="s">
        <v>2350</v>
      </c>
      <c r="BP950" t="s">
        <v>74</v>
      </c>
      <c r="BQ950" t="s">
        <v>74</v>
      </c>
      <c r="BR950" t="s">
        <v>103</v>
      </c>
      <c r="BS950" t="s">
        <v>18324</v>
      </c>
      <c r="BT950" t="str">
        <f>HYPERLINK("https%3A%2F%2Fwww.webofscience.com%2Fwos%2Fwoscc%2Ffull-record%2FWOS:000836485600018","View Full Record in Web of Science")</f>
        <v>View Full Record in Web of Science</v>
      </c>
    </row>
    <row r="951" spans="1:72" x14ac:dyDescent="0.15">
      <c r="A951" t="s">
        <v>72</v>
      </c>
      <c r="B951" t="s">
        <v>18325</v>
      </c>
      <c r="C951" t="s">
        <v>74</v>
      </c>
      <c r="D951" t="s">
        <v>74</v>
      </c>
      <c r="E951" t="s">
        <v>74</v>
      </c>
      <c r="F951" t="s">
        <v>18326</v>
      </c>
      <c r="G951" t="s">
        <v>74</v>
      </c>
      <c r="H951" t="s">
        <v>74</v>
      </c>
      <c r="I951" t="s">
        <v>18327</v>
      </c>
      <c r="J951" t="s">
        <v>17048</v>
      </c>
      <c r="K951" t="s">
        <v>74</v>
      </c>
      <c r="L951" t="s">
        <v>74</v>
      </c>
      <c r="M951" t="s">
        <v>78</v>
      </c>
      <c r="N951" t="s">
        <v>79</v>
      </c>
      <c r="O951" t="s">
        <v>74</v>
      </c>
      <c r="P951" t="s">
        <v>74</v>
      </c>
      <c r="Q951" t="s">
        <v>74</v>
      </c>
      <c r="R951" t="s">
        <v>74</v>
      </c>
      <c r="S951" t="s">
        <v>74</v>
      </c>
      <c r="T951" t="s">
        <v>18328</v>
      </c>
      <c r="U951" t="s">
        <v>18329</v>
      </c>
      <c r="V951" t="s">
        <v>18330</v>
      </c>
      <c r="W951" t="s">
        <v>18331</v>
      </c>
      <c r="X951" t="s">
        <v>18332</v>
      </c>
      <c r="Y951" t="s">
        <v>18333</v>
      </c>
      <c r="Z951" t="s">
        <v>18334</v>
      </c>
      <c r="AA951" t="s">
        <v>18335</v>
      </c>
      <c r="AB951" t="s">
        <v>18336</v>
      </c>
      <c r="AC951" t="s">
        <v>18337</v>
      </c>
      <c r="AD951" t="s">
        <v>18338</v>
      </c>
      <c r="AE951" t="s">
        <v>18339</v>
      </c>
      <c r="AF951" t="s">
        <v>74</v>
      </c>
      <c r="AG951">
        <v>429</v>
      </c>
      <c r="AH951">
        <v>23</v>
      </c>
      <c r="AI951">
        <v>24</v>
      </c>
      <c r="AJ951">
        <v>15</v>
      </c>
      <c r="AK951">
        <v>74</v>
      </c>
      <c r="AL951" t="s">
        <v>121</v>
      </c>
      <c r="AM951" t="s">
        <v>122</v>
      </c>
      <c r="AN951" t="s">
        <v>123</v>
      </c>
      <c r="AO951" t="s">
        <v>17061</v>
      </c>
      <c r="AP951" t="s">
        <v>74</v>
      </c>
      <c r="AQ951" t="s">
        <v>74</v>
      </c>
      <c r="AR951" t="s">
        <v>17062</v>
      </c>
      <c r="AS951" t="s">
        <v>17063</v>
      </c>
      <c r="AT951" t="s">
        <v>18287</v>
      </c>
      <c r="AU951">
        <v>2022</v>
      </c>
      <c r="AV951">
        <v>9</v>
      </c>
      <c r="AW951" t="s">
        <v>74</v>
      </c>
      <c r="AX951" t="s">
        <v>74</v>
      </c>
      <c r="AY951" t="s">
        <v>74</v>
      </c>
      <c r="AZ951" t="s">
        <v>74</v>
      </c>
      <c r="BA951" t="s">
        <v>74</v>
      </c>
      <c r="BB951" t="s">
        <v>74</v>
      </c>
      <c r="BC951" t="s">
        <v>74</v>
      </c>
      <c r="BD951">
        <v>624692</v>
      </c>
      <c r="BE951" t="s">
        <v>18340</v>
      </c>
      <c r="BF951" t="str">
        <f>HYPERLINK("http://dx.doi.org/10.3389/fevo.2021.624692","http://dx.doi.org/10.3389/fevo.2021.624692")</f>
        <v>http://dx.doi.org/10.3389/fevo.2021.624692</v>
      </c>
      <c r="BG951" t="s">
        <v>74</v>
      </c>
      <c r="BH951" t="s">
        <v>74</v>
      </c>
      <c r="BI951">
        <v>41</v>
      </c>
      <c r="BJ951" t="s">
        <v>3900</v>
      </c>
      <c r="BK951" t="s">
        <v>100</v>
      </c>
      <c r="BL951" t="s">
        <v>2041</v>
      </c>
      <c r="BM951" t="s">
        <v>18341</v>
      </c>
      <c r="BN951" t="s">
        <v>74</v>
      </c>
      <c r="BO951" t="s">
        <v>15095</v>
      </c>
      <c r="BP951" t="s">
        <v>74</v>
      </c>
      <c r="BQ951" t="s">
        <v>74</v>
      </c>
      <c r="BR951" t="s">
        <v>103</v>
      </c>
      <c r="BS951" t="s">
        <v>18342</v>
      </c>
      <c r="BT951" t="str">
        <f>HYPERLINK("https%3A%2F%2Fwww.webofscience.com%2Fwos%2Fwoscc%2Ffull-record%2FWOS:000826961100001","View Full Record in Web of Science")</f>
        <v>View Full Record in Web of Science</v>
      </c>
    </row>
    <row r="952" spans="1:72" x14ac:dyDescent="0.15">
      <c r="A952" t="s">
        <v>72</v>
      </c>
      <c r="B952" t="s">
        <v>18343</v>
      </c>
      <c r="C952" t="s">
        <v>74</v>
      </c>
      <c r="D952" t="s">
        <v>74</v>
      </c>
      <c r="E952" t="s">
        <v>74</v>
      </c>
      <c r="F952" t="s">
        <v>18344</v>
      </c>
      <c r="G952" t="s">
        <v>74</v>
      </c>
      <c r="H952" t="s">
        <v>74</v>
      </c>
      <c r="I952" t="s">
        <v>18345</v>
      </c>
      <c r="J952" t="s">
        <v>18346</v>
      </c>
      <c r="K952" t="s">
        <v>74</v>
      </c>
      <c r="L952" t="s">
        <v>74</v>
      </c>
      <c r="M952" t="s">
        <v>78</v>
      </c>
      <c r="N952" t="s">
        <v>79</v>
      </c>
      <c r="O952" t="s">
        <v>74</v>
      </c>
      <c r="P952" t="s">
        <v>74</v>
      </c>
      <c r="Q952" t="s">
        <v>74</v>
      </c>
      <c r="R952" t="s">
        <v>74</v>
      </c>
      <c r="S952" t="s">
        <v>74</v>
      </c>
      <c r="T952" t="s">
        <v>18347</v>
      </c>
      <c r="U952" t="s">
        <v>18348</v>
      </c>
      <c r="V952" t="s">
        <v>18349</v>
      </c>
      <c r="W952" t="s">
        <v>18350</v>
      </c>
      <c r="X952" t="s">
        <v>18351</v>
      </c>
      <c r="Y952" t="s">
        <v>18352</v>
      </c>
      <c r="Z952" t="s">
        <v>18353</v>
      </c>
      <c r="AA952" t="s">
        <v>74</v>
      </c>
      <c r="AB952" t="s">
        <v>18354</v>
      </c>
      <c r="AC952" t="s">
        <v>18355</v>
      </c>
      <c r="AD952" t="s">
        <v>15478</v>
      </c>
      <c r="AE952" t="s">
        <v>18356</v>
      </c>
      <c r="AF952" t="s">
        <v>74</v>
      </c>
      <c r="AG952">
        <v>61</v>
      </c>
      <c r="AH952">
        <v>2</v>
      </c>
      <c r="AI952">
        <v>2</v>
      </c>
      <c r="AJ952">
        <v>4</v>
      </c>
      <c r="AK952">
        <v>16</v>
      </c>
      <c r="AL952" t="s">
        <v>9394</v>
      </c>
      <c r="AM952" t="s">
        <v>9395</v>
      </c>
      <c r="AN952" t="s">
        <v>9396</v>
      </c>
      <c r="AO952" t="s">
        <v>18357</v>
      </c>
      <c r="AP952" t="s">
        <v>18358</v>
      </c>
      <c r="AQ952" t="s">
        <v>74</v>
      </c>
      <c r="AR952" t="s">
        <v>18359</v>
      </c>
      <c r="AS952" t="s">
        <v>18360</v>
      </c>
      <c r="AT952" t="s">
        <v>18287</v>
      </c>
      <c r="AU952">
        <v>2022</v>
      </c>
      <c r="AV952">
        <v>15</v>
      </c>
      <c r="AW952" t="s">
        <v>74</v>
      </c>
      <c r="AX952" t="s">
        <v>74</v>
      </c>
      <c r="AY952" t="s">
        <v>74</v>
      </c>
      <c r="AZ952" t="s">
        <v>74</v>
      </c>
      <c r="BA952" t="s">
        <v>74</v>
      </c>
      <c r="BB952">
        <v>5013</v>
      </c>
      <c r="BC952">
        <v>5023</v>
      </c>
      <c r="BD952" t="s">
        <v>74</v>
      </c>
      <c r="BE952" t="s">
        <v>18361</v>
      </c>
      <c r="BF952" t="str">
        <f>HYPERLINK("http://dx.doi.org/10.1109/JSTARS.2022.3184156","http://dx.doi.org/10.1109/JSTARS.2022.3184156")</f>
        <v>http://dx.doi.org/10.1109/JSTARS.2022.3184156</v>
      </c>
      <c r="BG952" t="s">
        <v>74</v>
      </c>
      <c r="BH952" t="s">
        <v>74</v>
      </c>
      <c r="BI952">
        <v>11</v>
      </c>
      <c r="BJ952" t="s">
        <v>18362</v>
      </c>
      <c r="BK952" t="s">
        <v>100</v>
      </c>
      <c r="BL952" t="s">
        <v>18363</v>
      </c>
      <c r="BM952" t="s">
        <v>18364</v>
      </c>
      <c r="BN952" t="s">
        <v>74</v>
      </c>
      <c r="BO952" t="s">
        <v>266</v>
      </c>
      <c r="BP952" t="s">
        <v>74</v>
      </c>
      <c r="BQ952" t="s">
        <v>74</v>
      </c>
      <c r="BR952" t="s">
        <v>103</v>
      </c>
      <c r="BS952" t="s">
        <v>18365</v>
      </c>
      <c r="BT952" t="str">
        <f>HYPERLINK("https%3A%2F%2Fwww.webofscience.com%2Fwos%2Fwoscc%2Ffull-record%2FWOS:000820509600001","View Full Record in Web of Science")</f>
        <v>View Full Record in Web of Science</v>
      </c>
    </row>
    <row r="953" spans="1:72" x14ac:dyDescent="0.15">
      <c r="A953" t="s">
        <v>72</v>
      </c>
      <c r="B953" t="s">
        <v>18366</v>
      </c>
      <c r="C953" t="s">
        <v>74</v>
      </c>
      <c r="D953" t="s">
        <v>74</v>
      </c>
      <c r="E953" t="s">
        <v>74</v>
      </c>
      <c r="F953" t="s">
        <v>18367</v>
      </c>
      <c r="G953" t="s">
        <v>74</v>
      </c>
      <c r="H953" t="s">
        <v>74</v>
      </c>
      <c r="I953" t="s">
        <v>18368</v>
      </c>
      <c r="J953" t="s">
        <v>2473</v>
      </c>
      <c r="K953" t="s">
        <v>74</v>
      </c>
      <c r="L953" t="s">
        <v>74</v>
      </c>
      <c r="M953" t="s">
        <v>78</v>
      </c>
      <c r="N953" t="s">
        <v>79</v>
      </c>
      <c r="O953" t="s">
        <v>74</v>
      </c>
      <c r="P953" t="s">
        <v>74</v>
      </c>
      <c r="Q953" t="s">
        <v>74</v>
      </c>
      <c r="R953" t="s">
        <v>74</v>
      </c>
      <c r="S953" t="s">
        <v>74</v>
      </c>
      <c r="T953" t="s">
        <v>74</v>
      </c>
      <c r="U953" t="s">
        <v>18369</v>
      </c>
      <c r="V953" t="s">
        <v>18370</v>
      </c>
      <c r="W953" t="s">
        <v>18371</v>
      </c>
      <c r="X953" t="s">
        <v>18372</v>
      </c>
      <c r="Y953" t="s">
        <v>18373</v>
      </c>
      <c r="Z953" t="s">
        <v>18374</v>
      </c>
      <c r="AA953" t="s">
        <v>18375</v>
      </c>
      <c r="AB953" t="s">
        <v>18376</v>
      </c>
      <c r="AC953" t="s">
        <v>18377</v>
      </c>
      <c r="AD953" t="s">
        <v>18378</v>
      </c>
      <c r="AE953" t="s">
        <v>18379</v>
      </c>
      <c r="AF953" t="s">
        <v>74</v>
      </c>
      <c r="AG953">
        <v>99</v>
      </c>
      <c r="AH953">
        <v>18</v>
      </c>
      <c r="AI953">
        <v>19</v>
      </c>
      <c r="AJ953">
        <v>4</v>
      </c>
      <c r="AK953">
        <v>11</v>
      </c>
      <c r="AL953" t="s">
        <v>2460</v>
      </c>
      <c r="AM953" t="s">
        <v>2461</v>
      </c>
      <c r="AN953" t="s">
        <v>2462</v>
      </c>
      <c r="AO953" t="s">
        <v>2485</v>
      </c>
      <c r="AP953" t="s">
        <v>2486</v>
      </c>
      <c r="AQ953" t="s">
        <v>74</v>
      </c>
      <c r="AR953" t="s">
        <v>2473</v>
      </c>
      <c r="AS953" t="s">
        <v>2487</v>
      </c>
      <c r="AT953" t="s">
        <v>18287</v>
      </c>
      <c r="AU953">
        <v>2022</v>
      </c>
      <c r="AV953">
        <v>16</v>
      </c>
      <c r="AW953">
        <v>6</v>
      </c>
      <c r="AX953" t="s">
        <v>74</v>
      </c>
      <c r="AY953" t="s">
        <v>74</v>
      </c>
      <c r="AZ953" t="s">
        <v>74</v>
      </c>
      <c r="BA953" t="s">
        <v>74</v>
      </c>
      <c r="BB953">
        <v>2373</v>
      </c>
      <c r="BC953">
        <v>2402</v>
      </c>
      <c r="BD953" t="s">
        <v>74</v>
      </c>
      <c r="BE953" t="s">
        <v>18380</v>
      </c>
      <c r="BF953" t="str">
        <f>HYPERLINK("http://dx.doi.org/10.5194/tc-16-2373-2022","http://dx.doi.org/10.5194/tc-16-2373-2022")</f>
        <v>http://dx.doi.org/10.5194/tc-16-2373-2022</v>
      </c>
      <c r="BG953" t="s">
        <v>74</v>
      </c>
      <c r="BH953" t="s">
        <v>74</v>
      </c>
      <c r="BI953">
        <v>30</v>
      </c>
      <c r="BJ953" t="s">
        <v>354</v>
      </c>
      <c r="BK953" t="s">
        <v>100</v>
      </c>
      <c r="BL953" t="s">
        <v>241</v>
      </c>
      <c r="BM953" t="s">
        <v>18381</v>
      </c>
      <c r="BN953" t="s">
        <v>74</v>
      </c>
      <c r="BO953" t="s">
        <v>18382</v>
      </c>
      <c r="BP953" t="s">
        <v>74</v>
      </c>
      <c r="BQ953" t="s">
        <v>74</v>
      </c>
      <c r="BR953" t="s">
        <v>103</v>
      </c>
      <c r="BS953" t="s">
        <v>18383</v>
      </c>
      <c r="BT953" t="str">
        <f>HYPERLINK("https%3A%2F%2Fwww.webofscience.com%2Fwos%2Fwoscc%2Ffull-record%2FWOS:000812322400001","View Full Record in Web of Science")</f>
        <v>View Full Record in Web of Science</v>
      </c>
    </row>
    <row r="954" spans="1:72" x14ac:dyDescent="0.15">
      <c r="A954" t="s">
        <v>72</v>
      </c>
      <c r="B954" t="s">
        <v>18384</v>
      </c>
      <c r="C954" t="s">
        <v>74</v>
      </c>
      <c r="D954" t="s">
        <v>74</v>
      </c>
      <c r="E954" t="s">
        <v>74</v>
      </c>
      <c r="F954" t="s">
        <v>18385</v>
      </c>
      <c r="G954" t="s">
        <v>74</v>
      </c>
      <c r="H954" t="s">
        <v>74</v>
      </c>
      <c r="I954" t="s">
        <v>18386</v>
      </c>
      <c r="J954" t="s">
        <v>247</v>
      </c>
      <c r="K954" t="s">
        <v>74</v>
      </c>
      <c r="L954" t="s">
        <v>74</v>
      </c>
      <c r="M954" t="s">
        <v>78</v>
      </c>
      <c r="N954" t="s">
        <v>79</v>
      </c>
      <c r="O954" t="s">
        <v>74</v>
      </c>
      <c r="P954" t="s">
        <v>74</v>
      </c>
      <c r="Q954" t="s">
        <v>74</v>
      </c>
      <c r="R954" t="s">
        <v>74</v>
      </c>
      <c r="S954" t="s">
        <v>74</v>
      </c>
      <c r="T954" t="s">
        <v>18387</v>
      </c>
      <c r="U954" t="s">
        <v>18388</v>
      </c>
      <c r="V954" t="s">
        <v>18389</v>
      </c>
      <c r="W954" t="s">
        <v>18390</v>
      </c>
      <c r="X954" t="s">
        <v>18391</v>
      </c>
      <c r="Y954" t="s">
        <v>18392</v>
      </c>
      <c r="Z954" t="s">
        <v>18393</v>
      </c>
      <c r="AA954" t="s">
        <v>18394</v>
      </c>
      <c r="AB954" t="s">
        <v>18395</v>
      </c>
      <c r="AC954" t="s">
        <v>18396</v>
      </c>
      <c r="AD954" t="s">
        <v>18397</v>
      </c>
      <c r="AE954" t="s">
        <v>18398</v>
      </c>
      <c r="AF954" t="s">
        <v>74</v>
      </c>
      <c r="AG954">
        <v>108</v>
      </c>
      <c r="AH954">
        <v>3</v>
      </c>
      <c r="AI954">
        <v>3</v>
      </c>
      <c r="AJ954">
        <v>12</v>
      </c>
      <c r="AK954">
        <v>28</v>
      </c>
      <c r="AL954" t="s">
        <v>121</v>
      </c>
      <c r="AM954" t="s">
        <v>122</v>
      </c>
      <c r="AN954" t="s">
        <v>123</v>
      </c>
      <c r="AO954" t="s">
        <v>74</v>
      </c>
      <c r="AP954" t="s">
        <v>258</v>
      </c>
      <c r="AQ954" t="s">
        <v>74</v>
      </c>
      <c r="AR954" t="s">
        <v>259</v>
      </c>
      <c r="AS954" t="s">
        <v>260</v>
      </c>
      <c r="AT954" t="s">
        <v>18399</v>
      </c>
      <c r="AU954">
        <v>2022</v>
      </c>
      <c r="AV954">
        <v>9</v>
      </c>
      <c r="AW954" t="s">
        <v>74</v>
      </c>
      <c r="AX954" t="s">
        <v>74</v>
      </c>
      <c r="AY954" t="s">
        <v>74</v>
      </c>
      <c r="AZ954" t="s">
        <v>74</v>
      </c>
      <c r="BA954" t="s">
        <v>74</v>
      </c>
      <c r="BB954" t="s">
        <v>74</v>
      </c>
      <c r="BC954" t="s">
        <v>74</v>
      </c>
      <c r="BD954">
        <v>827061</v>
      </c>
      <c r="BE954" t="s">
        <v>18400</v>
      </c>
      <c r="BF954" t="str">
        <f>HYPERLINK("http://dx.doi.org/10.3389/fmars.2022.827061","http://dx.doi.org/10.3389/fmars.2022.827061")</f>
        <v>http://dx.doi.org/10.3389/fmars.2022.827061</v>
      </c>
      <c r="BG954" t="s">
        <v>74</v>
      </c>
      <c r="BH954" t="s">
        <v>74</v>
      </c>
      <c r="BI954">
        <v>21</v>
      </c>
      <c r="BJ954" t="s">
        <v>263</v>
      </c>
      <c r="BK954" t="s">
        <v>100</v>
      </c>
      <c r="BL954" t="s">
        <v>264</v>
      </c>
      <c r="BM954" t="s">
        <v>18401</v>
      </c>
      <c r="BN954" t="s">
        <v>74</v>
      </c>
      <c r="BO954" t="s">
        <v>159</v>
      </c>
      <c r="BP954" t="s">
        <v>74</v>
      </c>
      <c r="BQ954" t="s">
        <v>74</v>
      </c>
      <c r="BR954" t="s">
        <v>103</v>
      </c>
      <c r="BS954" t="s">
        <v>18402</v>
      </c>
      <c r="BT954" t="str">
        <f>HYPERLINK("https%3A%2F%2Fwww.webofscience.com%2Fwos%2Fwoscc%2Ffull-record%2FWOS:000878820200001","View Full Record in Web of Science")</f>
        <v>View Full Record in Web of Science</v>
      </c>
    </row>
    <row r="955" spans="1:72" x14ac:dyDescent="0.15">
      <c r="A955" t="s">
        <v>72</v>
      </c>
      <c r="B955" t="s">
        <v>18403</v>
      </c>
      <c r="C955" t="s">
        <v>74</v>
      </c>
      <c r="D955" t="s">
        <v>74</v>
      </c>
      <c r="E955" t="s">
        <v>74</v>
      </c>
      <c r="F955" t="s">
        <v>18404</v>
      </c>
      <c r="G955" t="s">
        <v>74</v>
      </c>
      <c r="H955" t="s">
        <v>74</v>
      </c>
      <c r="I955" t="s">
        <v>18405</v>
      </c>
      <c r="J955" t="s">
        <v>247</v>
      </c>
      <c r="K955" t="s">
        <v>74</v>
      </c>
      <c r="L955" t="s">
        <v>74</v>
      </c>
      <c r="M955" t="s">
        <v>78</v>
      </c>
      <c r="N955" t="s">
        <v>79</v>
      </c>
      <c r="O955" t="s">
        <v>74</v>
      </c>
      <c r="P955" t="s">
        <v>74</v>
      </c>
      <c r="Q955" t="s">
        <v>74</v>
      </c>
      <c r="R955" t="s">
        <v>74</v>
      </c>
      <c r="S955" t="s">
        <v>74</v>
      </c>
      <c r="T955" t="s">
        <v>18406</v>
      </c>
      <c r="U955" t="s">
        <v>18407</v>
      </c>
      <c r="V955" t="s">
        <v>18408</v>
      </c>
      <c r="W955" t="s">
        <v>18409</v>
      </c>
      <c r="X955" t="s">
        <v>18410</v>
      </c>
      <c r="Y955" t="s">
        <v>18411</v>
      </c>
      <c r="Z955" t="s">
        <v>18412</v>
      </c>
      <c r="AA955" t="s">
        <v>18413</v>
      </c>
      <c r="AB955" t="s">
        <v>74</v>
      </c>
      <c r="AC955" t="s">
        <v>74</v>
      </c>
      <c r="AD955" t="s">
        <v>74</v>
      </c>
      <c r="AE955" t="s">
        <v>74</v>
      </c>
      <c r="AF955" t="s">
        <v>74</v>
      </c>
      <c r="AG955">
        <v>79</v>
      </c>
      <c r="AH955">
        <v>7</v>
      </c>
      <c r="AI955">
        <v>7</v>
      </c>
      <c r="AJ955">
        <v>1</v>
      </c>
      <c r="AK955">
        <v>2</v>
      </c>
      <c r="AL955" t="s">
        <v>121</v>
      </c>
      <c r="AM955" t="s">
        <v>122</v>
      </c>
      <c r="AN955" t="s">
        <v>123</v>
      </c>
      <c r="AO955" t="s">
        <v>74</v>
      </c>
      <c r="AP955" t="s">
        <v>258</v>
      </c>
      <c r="AQ955" t="s">
        <v>74</v>
      </c>
      <c r="AR955" t="s">
        <v>259</v>
      </c>
      <c r="AS955" t="s">
        <v>260</v>
      </c>
      <c r="AT955" t="s">
        <v>18399</v>
      </c>
      <c r="AU955">
        <v>2022</v>
      </c>
      <c r="AV955">
        <v>9</v>
      </c>
      <c r="AW955" t="s">
        <v>74</v>
      </c>
      <c r="AX955" t="s">
        <v>74</v>
      </c>
      <c r="AY955" t="s">
        <v>74</v>
      </c>
      <c r="AZ955" t="s">
        <v>74</v>
      </c>
      <c r="BA955" t="s">
        <v>74</v>
      </c>
      <c r="BB955" t="s">
        <v>74</v>
      </c>
      <c r="BC955" t="s">
        <v>74</v>
      </c>
      <c r="BD955">
        <v>877904</v>
      </c>
      <c r="BE955" t="s">
        <v>18414</v>
      </c>
      <c r="BF955" t="str">
        <f>HYPERLINK("http://dx.doi.org/10.3389/fmars.2022.877904","http://dx.doi.org/10.3389/fmars.2022.877904")</f>
        <v>http://dx.doi.org/10.3389/fmars.2022.877904</v>
      </c>
      <c r="BG955" t="s">
        <v>74</v>
      </c>
      <c r="BH955" t="s">
        <v>74</v>
      </c>
      <c r="BI955">
        <v>13</v>
      </c>
      <c r="BJ955" t="s">
        <v>263</v>
      </c>
      <c r="BK955" t="s">
        <v>100</v>
      </c>
      <c r="BL955" t="s">
        <v>264</v>
      </c>
      <c r="BM955" t="s">
        <v>18415</v>
      </c>
      <c r="BN955" t="s">
        <v>74</v>
      </c>
      <c r="BO955" t="s">
        <v>266</v>
      </c>
      <c r="BP955" t="s">
        <v>74</v>
      </c>
      <c r="BQ955" t="s">
        <v>74</v>
      </c>
      <c r="BR955" t="s">
        <v>103</v>
      </c>
      <c r="BS955" t="s">
        <v>18416</v>
      </c>
      <c r="BT955" t="str">
        <f>HYPERLINK("https%3A%2F%2Fwww.webofscience.com%2Fwos%2Fwoscc%2Ffull-record%2FWOS:000819163500001","View Full Record in Web of Science")</f>
        <v>View Full Record in Web of Science</v>
      </c>
    </row>
    <row r="956" spans="1:72" x14ac:dyDescent="0.15">
      <c r="A956" t="s">
        <v>72</v>
      </c>
      <c r="B956" t="s">
        <v>18417</v>
      </c>
      <c r="C956" t="s">
        <v>74</v>
      </c>
      <c r="D956" t="s">
        <v>74</v>
      </c>
      <c r="E956" t="s">
        <v>74</v>
      </c>
      <c r="F956" t="s">
        <v>18418</v>
      </c>
      <c r="G956" t="s">
        <v>74</v>
      </c>
      <c r="H956" t="s">
        <v>74</v>
      </c>
      <c r="I956" t="s">
        <v>18419</v>
      </c>
      <c r="J956" t="s">
        <v>247</v>
      </c>
      <c r="K956" t="s">
        <v>74</v>
      </c>
      <c r="L956" t="s">
        <v>74</v>
      </c>
      <c r="M956" t="s">
        <v>78</v>
      </c>
      <c r="N956" t="s">
        <v>79</v>
      </c>
      <c r="O956" t="s">
        <v>74</v>
      </c>
      <c r="P956" t="s">
        <v>74</v>
      </c>
      <c r="Q956" t="s">
        <v>74</v>
      </c>
      <c r="R956" t="s">
        <v>74</v>
      </c>
      <c r="S956" t="s">
        <v>74</v>
      </c>
      <c r="T956" t="s">
        <v>18420</v>
      </c>
      <c r="U956" t="s">
        <v>18421</v>
      </c>
      <c r="V956" t="s">
        <v>18422</v>
      </c>
      <c r="W956" t="s">
        <v>18423</v>
      </c>
      <c r="X956" t="s">
        <v>18424</v>
      </c>
      <c r="Y956" t="s">
        <v>18425</v>
      </c>
      <c r="Z956" t="s">
        <v>18426</v>
      </c>
      <c r="AA956" t="s">
        <v>18427</v>
      </c>
      <c r="AB956" t="s">
        <v>18428</v>
      </c>
      <c r="AC956" t="s">
        <v>18429</v>
      </c>
      <c r="AD956" t="s">
        <v>18430</v>
      </c>
      <c r="AE956" t="s">
        <v>18431</v>
      </c>
      <c r="AF956" t="s">
        <v>74</v>
      </c>
      <c r="AG956">
        <v>27</v>
      </c>
      <c r="AH956">
        <v>2</v>
      </c>
      <c r="AI956">
        <v>2</v>
      </c>
      <c r="AJ956">
        <v>1</v>
      </c>
      <c r="AK956">
        <v>5</v>
      </c>
      <c r="AL956" t="s">
        <v>121</v>
      </c>
      <c r="AM956" t="s">
        <v>122</v>
      </c>
      <c r="AN956" t="s">
        <v>123</v>
      </c>
      <c r="AO956" t="s">
        <v>74</v>
      </c>
      <c r="AP956" t="s">
        <v>258</v>
      </c>
      <c r="AQ956" t="s">
        <v>74</v>
      </c>
      <c r="AR956" t="s">
        <v>259</v>
      </c>
      <c r="AS956" t="s">
        <v>260</v>
      </c>
      <c r="AT956" t="s">
        <v>18399</v>
      </c>
      <c r="AU956">
        <v>2022</v>
      </c>
      <c r="AV956">
        <v>9</v>
      </c>
      <c r="AW956" t="s">
        <v>74</v>
      </c>
      <c r="AX956" t="s">
        <v>74</v>
      </c>
      <c r="AY956" t="s">
        <v>74</v>
      </c>
      <c r="AZ956" t="s">
        <v>74</v>
      </c>
      <c r="BA956" t="s">
        <v>74</v>
      </c>
      <c r="BB956" t="s">
        <v>74</v>
      </c>
      <c r="BC956" t="s">
        <v>74</v>
      </c>
      <c r="BD956">
        <v>907290</v>
      </c>
      <c r="BE956" t="s">
        <v>18432</v>
      </c>
      <c r="BF956" t="str">
        <f>HYPERLINK("http://dx.doi.org/10.3389/fmars.2022.907290","http://dx.doi.org/10.3389/fmars.2022.907290")</f>
        <v>http://dx.doi.org/10.3389/fmars.2022.907290</v>
      </c>
      <c r="BG956" t="s">
        <v>74</v>
      </c>
      <c r="BH956" t="s">
        <v>74</v>
      </c>
      <c r="BI956">
        <v>6</v>
      </c>
      <c r="BJ956" t="s">
        <v>263</v>
      </c>
      <c r="BK956" t="s">
        <v>100</v>
      </c>
      <c r="BL956" t="s">
        <v>264</v>
      </c>
      <c r="BM956" t="s">
        <v>18433</v>
      </c>
      <c r="BN956" t="s">
        <v>74</v>
      </c>
      <c r="BO956" t="s">
        <v>5447</v>
      </c>
      <c r="BP956" t="s">
        <v>74</v>
      </c>
      <c r="BQ956" t="s">
        <v>74</v>
      </c>
      <c r="BR956" t="s">
        <v>103</v>
      </c>
      <c r="BS956" t="s">
        <v>18434</v>
      </c>
      <c r="BT956" t="str">
        <f>HYPERLINK("https%3A%2F%2Fwww.webofscience.com%2Fwos%2Fwoscc%2Ffull-record%2FWOS:000819187100001","View Full Record in Web of Science")</f>
        <v>View Full Record in Web of Science</v>
      </c>
    </row>
    <row r="957" spans="1:72" x14ac:dyDescent="0.15">
      <c r="A957" t="s">
        <v>72</v>
      </c>
      <c r="B957" t="s">
        <v>18435</v>
      </c>
      <c r="C957" t="s">
        <v>74</v>
      </c>
      <c r="D957" t="s">
        <v>74</v>
      </c>
      <c r="E957" t="s">
        <v>74</v>
      </c>
      <c r="F957" t="s">
        <v>18436</v>
      </c>
      <c r="G957" t="s">
        <v>74</v>
      </c>
      <c r="H957" t="s">
        <v>74</v>
      </c>
      <c r="I957" t="s">
        <v>18437</v>
      </c>
      <c r="J957" t="s">
        <v>247</v>
      </c>
      <c r="K957" t="s">
        <v>74</v>
      </c>
      <c r="L957" t="s">
        <v>74</v>
      </c>
      <c r="M957" t="s">
        <v>78</v>
      </c>
      <c r="N957" t="s">
        <v>79</v>
      </c>
      <c r="O957" t="s">
        <v>74</v>
      </c>
      <c r="P957" t="s">
        <v>74</v>
      </c>
      <c r="Q957" t="s">
        <v>74</v>
      </c>
      <c r="R957" t="s">
        <v>74</v>
      </c>
      <c r="S957" t="s">
        <v>74</v>
      </c>
      <c r="T957" t="s">
        <v>18438</v>
      </c>
      <c r="U957" t="s">
        <v>18439</v>
      </c>
      <c r="V957" t="s">
        <v>18440</v>
      </c>
      <c r="W957" t="s">
        <v>18441</v>
      </c>
      <c r="X957" t="s">
        <v>18442</v>
      </c>
      <c r="Y957" t="s">
        <v>18443</v>
      </c>
      <c r="Z957" t="s">
        <v>18444</v>
      </c>
      <c r="AA957" t="s">
        <v>18445</v>
      </c>
      <c r="AB957" t="s">
        <v>18446</v>
      </c>
      <c r="AC957" t="s">
        <v>18447</v>
      </c>
      <c r="AD957" t="s">
        <v>18448</v>
      </c>
      <c r="AE957" t="s">
        <v>18449</v>
      </c>
      <c r="AF957" t="s">
        <v>74</v>
      </c>
      <c r="AG957">
        <v>68</v>
      </c>
      <c r="AH957">
        <v>2</v>
      </c>
      <c r="AI957">
        <v>2</v>
      </c>
      <c r="AJ957">
        <v>1</v>
      </c>
      <c r="AK957">
        <v>7</v>
      </c>
      <c r="AL957" t="s">
        <v>121</v>
      </c>
      <c r="AM957" t="s">
        <v>122</v>
      </c>
      <c r="AN957" t="s">
        <v>123</v>
      </c>
      <c r="AO957" t="s">
        <v>74</v>
      </c>
      <c r="AP957" t="s">
        <v>258</v>
      </c>
      <c r="AQ957" t="s">
        <v>74</v>
      </c>
      <c r="AR957" t="s">
        <v>259</v>
      </c>
      <c r="AS957" t="s">
        <v>260</v>
      </c>
      <c r="AT957" t="s">
        <v>18399</v>
      </c>
      <c r="AU957">
        <v>2022</v>
      </c>
      <c r="AV957">
        <v>9</v>
      </c>
      <c r="AW957" t="s">
        <v>74</v>
      </c>
      <c r="AX957" t="s">
        <v>74</v>
      </c>
      <c r="AY957" t="s">
        <v>74</v>
      </c>
      <c r="AZ957" t="s">
        <v>74</v>
      </c>
      <c r="BA957" t="s">
        <v>74</v>
      </c>
      <c r="BB957" t="s">
        <v>74</v>
      </c>
      <c r="BC957" t="s">
        <v>74</v>
      </c>
      <c r="BD957">
        <v>914095</v>
      </c>
      <c r="BE957" t="s">
        <v>18450</v>
      </c>
      <c r="BF957" t="str">
        <f>HYPERLINK("http://dx.doi.org/10.3389/fmars.2022.914095","http://dx.doi.org/10.3389/fmars.2022.914095")</f>
        <v>http://dx.doi.org/10.3389/fmars.2022.914095</v>
      </c>
      <c r="BG957" t="s">
        <v>74</v>
      </c>
      <c r="BH957" t="s">
        <v>74</v>
      </c>
      <c r="BI957">
        <v>15</v>
      </c>
      <c r="BJ957" t="s">
        <v>263</v>
      </c>
      <c r="BK957" t="s">
        <v>100</v>
      </c>
      <c r="BL957" t="s">
        <v>264</v>
      </c>
      <c r="BM957" t="s">
        <v>18451</v>
      </c>
      <c r="BN957" t="s">
        <v>74</v>
      </c>
      <c r="BO957" t="s">
        <v>132</v>
      </c>
      <c r="BP957" t="s">
        <v>74</v>
      </c>
      <c r="BQ957" t="s">
        <v>74</v>
      </c>
      <c r="BR957" t="s">
        <v>103</v>
      </c>
      <c r="BS957" t="s">
        <v>18452</v>
      </c>
      <c r="BT957" t="str">
        <f>HYPERLINK("https%3A%2F%2Fwww.webofscience.com%2Fwos%2Fwoscc%2Ffull-record%2FWOS:000819142000001","View Full Record in Web of Science")</f>
        <v>View Full Record in Web of Science</v>
      </c>
    </row>
    <row r="958" spans="1:72" x14ac:dyDescent="0.15">
      <c r="A958" t="s">
        <v>72</v>
      </c>
      <c r="B958" t="s">
        <v>18453</v>
      </c>
      <c r="C958" t="s">
        <v>74</v>
      </c>
      <c r="D958" t="s">
        <v>74</v>
      </c>
      <c r="E958" t="s">
        <v>74</v>
      </c>
      <c r="F958" t="s">
        <v>18454</v>
      </c>
      <c r="G958" t="s">
        <v>74</v>
      </c>
      <c r="H958" t="s">
        <v>74</v>
      </c>
      <c r="I958" t="s">
        <v>18455</v>
      </c>
      <c r="J958" t="s">
        <v>18456</v>
      </c>
      <c r="K958" t="s">
        <v>74</v>
      </c>
      <c r="L958" t="s">
        <v>74</v>
      </c>
      <c r="M958" t="s">
        <v>78</v>
      </c>
      <c r="N958" t="s">
        <v>79</v>
      </c>
      <c r="O958" t="s">
        <v>74</v>
      </c>
      <c r="P958" t="s">
        <v>74</v>
      </c>
      <c r="Q958" t="s">
        <v>74</v>
      </c>
      <c r="R958" t="s">
        <v>74</v>
      </c>
      <c r="S958" t="s">
        <v>74</v>
      </c>
      <c r="T958" t="s">
        <v>74</v>
      </c>
      <c r="U958" t="s">
        <v>18457</v>
      </c>
      <c r="V958" t="s">
        <v>18458</v>
      </c>
      <c r="W958" t="s">
        <v>18459</v>
      </c>
      <c r="X958" t="s">
        <v>18460</v>
      </c>
      <c r="Y958" t="s">
        <v>18461</v>
      </c>
      <c r="Z958" t="s">
        <v>18462</v>
      </c>
      <c r="AA958" t="s">
        <v>18463</v>
      </c>
      <c r="AB958" t="s">
        <v>18464</v>
      </c>
      <c r="AC958" t="s">
        <v>18465</v>
      </c>
      <c r="AD958" t="s">
        <v>18466</v>
      </c>
      <c r="AE958" t="s">
        <v>18467</v>
      </c>
      <c r="AF958" t="s">
        <v>74</v>
      </c>
      <c r="AG958">
        <v>47</v>
      </c>
      <c r="AH958">
        <v>2</v>
      </c>
      <c r="AI958">
        <v>2</v>
      </c>
      <c r="AJ958">
        <v>2</v>
      </c>
      <c r="AK958">
        <v>11</v>
      </c>
      <c r="AL958" t="s">
        <v>3450</v>
      </c>
      <c r="AM958" t="s">
        <v>346</v>
      </c>
      <c r="AN958" t="s">
        <v>3451</v>
      </c>
      <c r="AO958" t="s">
        <v>18468</v>
      </c>
      <c r="AP958" t="s">
        <v>18469</v>
      </c>
      <c r="AQ958" t="s">
        <v>74</v>
      </c>
      <c r="AR958" t="s">
        <v>18470</v>
      </c>
      <c r="AS958" t="s">
        <v>18471</v>
      </c>
      <c r="AT958" t="s">
        <v>13616</v>
      </c>
      <c r="AU958">
        <v>2022</v>
      </c>
      <c r="AV958">
        <v>13</v>
      </c>
      <c r="AW958">
        <v>14</v>
      </c>
      <c r="AX958" t="s">
        <v>74</v>
      </c>
      <c r="AY958" t="s">
        <v>74</v>
      </c>
      <c r="AZ958" t="s">
        <v>74</v>
      </c>
      <c r="BA958" t="s">
        <v>74</v>
      </c>
      <c r="BB958">
        <v>7740</v>
      </c>
      <c r="BC958">
        <v>7749</v>
      </c>
      <c r="BD958" t="s">
        <v>74</v>
      </c>
      <c r="BE958" t="s">
        <v>18472</v>
      </c>
      <c r="BF958" t="str">
        <f>HYPERLINK("http://dx.doi.org/10.1039/d1fo04241f","http://dx.doi.org/10.1039/d1fo04241f")</f>
        <v>http://dx.doi.org/10.1039/d1fo04241f</v>
      </c>
      <c r="BG958" t="s">
        <v>74</v>
      </c>
      <c r="BH958" t="s">
        <v>17025</v>
      </c>
      <c r="BI958">
        <v>10</v>
      </c>
      <c r="BJ958" t="s">
        <v>18473</v>
      </c>
      <c r="BK958" t="s">
        <v>100</v>
      </c>
      <c r="BL958" t="s">
        <v>18473</v>
      </c>
      <c r="BM958" t="s">
        <v>18474</v>
      </c>
      <c r="BN958">
        <v>35762853</v>
      </c>
      <c r="BO958" t="s">
        <v>74</v>
      </c>
      <c r="BP958" t="s">
        <v>74</v>
      </c>
      <c r="BQ958" t="s">
        <v>74</v>
      </c>
      <c r="BR958" t="s">
        <v>103</v>
      </c>
      <c r="BS958" t="s">
        <v>18475</v>
      </c>
      <c r="BT958" t="str">
        <f>HYPERLINK("https%3A%2F%2Fwww.webofscience.com%2Fwos%2Fwoscc%2Ffull-record%2FWOS:000817741700001","View Full Record in Web of Science")</f>
        <v>View Full Record in Web of Science</v>
      </c>
    </row>
    <row r="959" spans="1:72" x14ac:dyDescent="0.15">
      <c r="A959" t="s">
        <v>72</v>
      </c>
      <c r="B959" t="s">
        <v>18476</v>
      </c>
      <c r="C959" t="s">
        <v>74</v>
      </c>
      <c r="D959" t="s">
        <v>74</v>
      </c>
      <c r="E959" t="s">
        <v>74</v>
      </c>
      <c r="F959" t="s">
        <v>18477</v>
      </c>
      <c r="G959" t="s">
        <v>74</v>
      </c>
      <c r="H959" t="s">
        <v>74</v>
      </c>
      <c r="I959" t="s">
        <v>18478</v>
      </c>
      <c r="J959" t="s">
        <v>12764</v>
      </c>
      <c r="K959" t="s">
        <v>74</v>
      </c>
      <c r="L959" t="s">
        <v>74</v>
      </c>
      <c r="M959" t="s">
        <v>78</v>
      </c>
      <c r="N959" t="s">
        <v>79</v>
      </c>
      <c r="O959" t="s">
        <v>74</v>
      </c>
      <c r="P959" t="s">
        <v>74</v>
      </c>
      <c r="Q959" t="s">
        <v>74</v>
      </c>
      <c r="R959" t="s">
        <v>74</v>
      </c>
      <c r="S959" t="s">
        <v>74</v>
      </c>
      <c r="T959" t="s">
        <v>18479</v>
      </c>
      <c r="U959" t="s">
        <v>18480</v>
      </c>
      <c r="V959" t="s">
        <v>18481</v>
      </c>
      <c r="W959" t="s">
        <v>18482</v>
      </c>
      <c r="X959" t="s">
        <v>18483</v>
      </c>
      <c r="Y959" t="s">
        <v>18484</v>
      </c>
      <c r="Z959" t="s">
        <v>18485</v>
      </c>
      <c r="AA959" t="s">
        <v>74</v>
      </c>
      <c r="AB959" t="s">
        <v>18486</v>
      </c>
      <c r="AC959" t="s">
        <v>18487</v>
      </c>
      <c r="AD959" t="s">
        <v>18488</v>
      </c>
      <c r="AE959" t="s">
        <v>18489</v>
      </c>
      <c r="AF959" t="s">
        <v>74</v>
      </c>
      <c r="AG959">
        <v>31</v>
      </c>
      <c r="AH959">
        <v>0</v>
      </c>
      <c r="AI959">
        <v>0</v>
      </c>
      <c r="AJ959">
        <v>1</v>
      </c>
      <c r="AK959">
        <v>3</v>
      </c>
      <c r="AL959" t="s">
        <v>12776</v>
      </c>
      <c r="AM959" t="s">
        <v>12777</v>
      </c>
      <c r="AN959" t="s">
        <v>12778</v>
      </c>
      <c r="AO959" t="s">
        <v>12779</v>
      </c>
      <c r="AP959" t="s">
        <v>12780</v>
      </c>
      <c r="AQ959" t="s">
        <v>74</v>
      </c>
      <c r="AR959" t="s">
        <v>12764</v>
      </c>
      <c r="AS959" t="s">
        <v>12781</v>
      </c>
      <c r="AT959" t="s">
        <v>18399</v>
      </c>
      <c r="AU959">
        <v>2022</v>
      </c>
      <c r="AV959">
        <v>5154</v>
      </c>
      <c r="AW959">
        <v>4</v>
      </c>
      <c r="AX959" t="s">
        <v>74</v>
      </c>
      <c r="AY959" t="s">
        <v>74</v>
      </c>
      <c r="AZ959" t="s">
        <v>74</v>
      </c>
      <c r="BA959" t="s">
        <v>74</v>
      </c>
      <c r="BB959">
        <v>483</v>
      </c>
      <c r="BC959">
        <v>495</v>
      </c>
      <c r="BD959" t="s">
        <v>74</v>
      </c>
      <c r="BE959" t="s">
        <v>18490</v>
      </c>
      <c r="BF959" t="str">
        <f>HYPERLINK("http://dx.doi.org/10.11646/zootaxa.5154.4.6","http://dx.doi.org/10.11646/zootaxa.5154.4.6")</f>
        <v>http://dx.doi.org/10.11646/zootaxa.5154.4.6</v>
      </c>
      <c r="BG959" t="s">
        <v>74</v>
      </c>
      <c r="BH959" t="s">
        <v>74</v>
      </c>
      <c r="BI959">
        <v>13</v>
      </c>
      <c r="BJ959" t="s">
        <v>2211</v>
      </c>
      <c r="BK959" t="s">
        <v>100</v>
      </c>
      <c r="BL959" t="s">
        <v>2211</v>
      </c>
      <c r="BM959" t="s">
        <v>18491</v>
      </c>
      <c r="BN959">
        <v>36095607</v>
      </c>
      <c r="BO959" t="s">
        <v>74</v>
      </c>
      <c r="BP959" t="s">
        <v>74</v>
      </c>
      <c r="BQ959" t="s">
        <v>74</v>
      </c>
      <c r="BR959" t="s">
        <v>103</v>
      </c>
      <c r="BS959" t="s">
        <v>18492</v>
      </c>
      <c r="BT959" t="str">
        <f>HYPERLINK("https%3A%2F%2Fwww.webofscience.com%2Fwos%2Fwoscc%2Ffull-record%2FWOS:000817917700006","View Full Record in Web of Science")</f>
        <v>View Full Record in Web of Science</v>
      </c>
    </row>
    <row r="960" spans="1:72" x14ac:dyDescent="0.15">
      <c r="A960" t="s">
        <v>72</v>
      </c>
      <c r="B960" t="s">
        <v>18493</v>
      </c>
      <c r="C960" t="s">
        <v>74</v>
      </c>
      <c r="D960" t="s">
        <v>74</v>
      </c>
      <c r="E960" t="s">
        <v>74</v>
      </c>
      <c r="F960" t="s">
        <v>18494</v>
      </c>
      <c r="G960" t="s">
        <v>74</v>
      </c>
      <c r="H960" t="s">
        <v>74</v>
      </c>
      <c r="I960" t="s">
        <v>18495</v>
      </c>
      <c r="J960" t="s">
        <v>3302</v>
      </c>
      <c r="K960" t="s">
        <v>74</v>
      </c>
      <c r="L960" t="s">
        <v>74</v>
      </c>
      <c r="M960" t="s">
        <v>78</v>
      </c>
      <c r="N960" t="s">
        <v>79</v>
      </c>
      <c r="O960" t="s">
        <v>74</v>
      </c>
      <c r="P960" t="s">
        <v>74</v>
      </c>
      <c r="Q960" t="s">
        <v>74</v>
      </c>
      <c r="R960" t="s">
        <v>74</v>
      </c>
      <c r="S960" t="s">
        <v>74</v>
      </c>
      <c r="T960" t="s">
        <v>18496</v>
      </c>
      <c r="U960" t="s">
        <v>18497</v>
      </c>
      <c r="V960" t="s">
        <v>18498</v>
      </c>
      <c r="W960" t="s">
        <v>18499</v>
      </c>
      <c r="X960" t="s">
        <v>18500</v>
      </c>
      <c r="Y960" t="s">
        <v>18501</v>
      </c>
      <c r="Z960" t="s">
        <v>18502</v>
      </c>
      <c r="AA960" t="s">
        <v>74</v>
      </c>
      <c r="AB960" t="s">
        <v>18503</v>
      </c>
      <c r="AC960" t="s">
        <v>18504</v>
      </c>
      <c r="AD960" t="s">
        <v>18504</v>
      </c>
      <c r="AE960" t="s">
        <v>18505</v>
      </c>
      <c r="AF960" t="s">
        <v>74</v>
      </c>
      <c r="AG960">
        <v>94</v>
      </c>
      <c r="AH960">
        <v>2</v>
      </c>
      <c r="AI960">
        <v>3</v>
      </c>
      <c r="AJ960">
        <v>1</v>
      </c>
      <c r="AK960">
        <v>20</v>
      </c>
      <c r="AL960" t="s">
        <v>3315</v>
      </c>
      <c r="AM960" t="s">
        <v>3316</v>
      </c>
      <c r="AN960" t="s">
        <v>3317</v>
      </c>
      <c r="AO960" t="s">
        <v>3318</v>
      </c>
      <c r="AP960" t="s">
        <v>3319</v>
      </c>
      <c r="AQ960" t="s">
        <v>74</v>
      </c>
      <c r="AR960" t="s">
        <v>3320</v>
      </c>
      <c r="AS960" t="s">
        <v>3321</v>
      </c>
      <c r="AT960" t="s">
        <v>18399</v>
      </c>
      <c r="AU960">
        <v>2022</v>
      </c>
      <c r="AV960">
        <v>691</v>
      </c>
      <c r="AW960" t="s">
        <v>74</v>
      </c>
      <c r="AX960" t="s">
        <v>74</v>
      </c>
      <c r="AY960" t="s">
        <v>74</v>
      </c>
      <c r="AZ960" t="s">
        <v>74</v>
      </c>
      <c r="BA960" t="s">
        <v>74</v>
      </c>
      <c r="BB960">
        <v>151</v>
      </c>
      <c r="BC960">
        <v>171</v>
      </c>
      <c r="BD960" t="s">
        <v>74</v>
      </c>
      <c r="BE960" t="s">
        <v>18506</v>
      </c>
      <c r="BF960" t="str">
        <f>HYPERLINK("http://dx.doi.org/10.3354/meps14054","http://dx.doi.org/10.3354/meps14054")</f>
        <v>http://dx.doi.org/10.3354/meps14054</v>
      </c>
      <c r="BG960" t="s">
        <v>74</v>
      </c>
      <c r="BH960" t="s">
        <v>74</v>
      </c>
      <c r="BI960">
        <v>21</v>
      </c>
      <c r="BJ960" t="s">
        <v>3324</v>
      </c>
      <c r="BK960" t="s">
        <v>100</v>
      </c>
      <c r="BL960" t="s">
        <v>3325</v>
      </c>
      <c r="BM960" t="s">
        <v>18507</v>
      </c>
      <c r="BN960" t="s">
        <v>74</v>
      </c>
      <c r="BO960" t="s">
        <v>74</v>
      </c>
      <c r="BP960" t="s">
        <v>74</v>
      </c>
      <c r="BQ960" t="s">
        <v>74</v>
      </c>
      <c r="BR960" t="s">
        <v>103</v>
      </c>
      <c r="BS960" t="s">
        <v>18508</v>
      </c>
      <c r="BT960" t="str">
        <f>HYPERLINK("https%3A%2F%2Fwww.webofscience.com%2Fwos%2Fwoscc%2Ffull-record%2FWOS:000814086000011","View Full Record in Web of Science")</f>
        <v>View Full Record in Web of Science</v>
      </c>
    </row>
    <row r="961" spans="1:72" x14ac:dyDescent="0.15">
      <c r="A961" t="s">
        <v>72</v>
      </c>
      <c r="B961" t="s">
        <v>18509</v>
      </c>
      <c r="C961" t="s">
        <v>74</v>
      </c>
      <c r="D961" t="s">
        <v>74</v>
      </c>
      <c r="E961" t="s">
        <v>74</v>
      </c>
      <c r="F961" t="s">
        <v>18510</v>
      </c>
      <c r="G961" t="s">
        <v>74</v>
      </c>
      <c r="H961" t="s">
        <v>74</v>
      </c>
      <c r="I961" t="s">
        <v>18511</v>
      </c>
      <c r="J961" t="s">
        <v>4327</v>
      </c>
      <c r="K961" t="s">
        <v>74</v>
      </c>
      <c r="L961" t="s">
        <v>74</v>
      </c>
      <c r="M961" t="s">
        <v>78</v>
      </c>
      <c r="N961" t="s">
        <v>79</v>
      </c>
      <c r="O961" t="s">
        <v>74</v>
      </c>
      <c r="P961" t="s">
        <v>74</v>
      </c>
      <c r="Q961" t="s">
        <v>74</v>
      </c>
      <c r="R961" t="s">
        <v>74</v>
      </c>
      <c r="S961" t="s">
        <v>74</v>
      </c>
      <c r="T961" t="s">
        <v>18512</v>
      </c>
      <c r="U961" t="s">
        <v>18513</v>
      </c>
      <c r="V961" t="s">
        <v>18514</v>
      </c>
      <c r="W961" t="s">
        <v>18515</v>
      </c>
      <c r="X961" t="s">
        <v>18516</v>
      </c>
      <c r="Y961" t="s">
        <v>18517</v>
      </c>
      <c r="Z961" t="s">
        <v>18518</v>
      </c>
      <c r="AA961" t="s">
        <v>18519</v>
      </c>
      <c r="AB961" t="s">
        <v>18520</v>
      </c>
      <c r="AC961" t="s">
        <v>18521</v>
      </c>
      <c r="AD961" t="s">
        <v>18522</v>
      </c>
      <c r="AE961" t="s">
        <v>18523</v>
      </c>
      <c r="AF961" t="s">
        <v>74</v>
      </c>
      <c r="AG961">
        <v>79</v>
      </c>
      <c r="AH961">
        <v>3</v>
      </c>
      <c r="AI961">
        <v>3</v>
      </c>
      <c r="AJ961">
        <v>1</v>
      </c>
      <c r="AK961">
        <v>6</v>
      </c>
      <c r="AL961" t="s">
        <v>178</v>
      </c>
      <c r="AM961" t="s">
        <v>450</v>
      </c>
      <c r="AN961" t="s">
        <v>668</v>
      </c>
      <c r="AO961" t="s">
        <v>4340</v>
      </c>
      <c r="AP961" t="s">
        <v>4341</v>
      </c>
      <c r="AQ961" t="s">
        <v>74</v>
      </c>
      <c r="AR961" t="s">
        <v>4342</v>
      </c>
      <c r="AS961" t="s">
        <v>4343</v>
      </c>
      <c r="AT961" t="s">
        <v>352</v>
      </c>
      <c r="AU961">
        <v>2022</v>
      </c>
      <c r="AV961">
        <v>45</v>
      </c>
      <c r="AW961">
        <v>6</v>
      </c>
      <c r="AX961" t="s">
        <v>74</v>
      </c>
      <c r="AY961" t="s">
        <v>74</v>
      </c>
      <c r="AZ961" t="s">
        <v>74</v>
      </c>
      <c r="BA961" t="s">
        <v>74</v>
      </c>
      <c r="BB961">
        <v>1077</v>
      </c>
      <c r="BC961">
        <v>1092</v>
      </c>
      <c r="BD961" t="s">
        <v>74</v>
      </c>
      <c r="BE961" t="s">
        <v>18524</v>
      </c>
      <c r="BF961" t="str">
        <f>HYPERLINK("http://dx.doi.org/10.1007/s00300-022-03054-z","http://dx.doi.org/10.1007/s00300-022-03054-z")</f>
        <v>http://dx.doi.org/10.1007/s00300-022-03054-z</v>
      </c>
      <c r="BG961" t="s">
        <v>74</v>
      </c>
      <c r="BH961" t="s">
        <v>17025</v>
      </c>
      <c r="BI961">
        <v>16</v>
      </c>
      <c r="BJ961" t="s">
        <v>1169</v>
      </c>
      <c r="BK961" t="s">
        <v>100</v>
      </c>
      <c r="BL961" t="s">
        <v>1170</v>
      </c>
      <c r="BM961" t="s">
        <v>17759</v>
      </c>
      <c r="BN961" t="s">
        <v>74</v>
      </c>
      <c r="BO961" t="s">
        <v>74</v>
      </c>
      <c r="BP961" t="s">
        <v>74</v>
      </c>
      <c r="BQ961" t="s">
        <v>74</v>
      </c>
      <c r="BR961" t="s">
        <v>103</v>
      </c>
      <c r="BS961" t="s">
        <v>18525</v>
      </c>
      <c r="BT961" t="str">
        <f>HYPERLINK("https%3A%2F%2Fwww.webofscience.com%2Fwos%2Fwoscc%2Ffull-record%2FWOS:000811945200001","View Full Record in Web of Science")</f>
        <v>View Full Record in Web of Science</v>
      </c>
    </row>
    <row r="962" spans="1:72" x14ac:dyDescent="0.15">
      <c r="A962" t="s">
        <v>72</v>
      </c>
      <c r="B962" t="s">
        <v>18526</v>
      </c>
      <c r="C962" t="s">
        <v>74</v>
      </c>
      <c r="D962" t="s">
        <v>74</v>
      </c>
      <c r="E962" t="s">
        <v>74</v>
      </c>
      <c r="F962" t="s">
        <v>18527</v>
      </c>
      <c r="G962" t="s">
        <v>74</v>
      </c>
      <c r="H962" t="s">
        <v>74</v>
      </c>
      <c r="I962" t="s">
        <v>18528</v>
      </c>
      <c r="J962" t="s">
        <v>2473</v>
      </c>
      <c r="K962" t="s">
        <v>74</v>
      </c>
      <c r="L962" t="s">
        <v>74</v>
      </c>
      <c r="M962" t="s">
        <v>78</v>
      </c>
      <c r="N962" t="s">
        <v>79</v>
      </c>
      <c r="O962" t="s">
        <v>74</v>
      </c>
      <c r="P962" t="s">
        <v>74</v>
      </c>
      <c r="Q962" t="s">
        <v>74</v>
      </c>
      <c r="R962" t="s">
        <v>74</v>
      </c>
      <c r="S962" t="s">
        <v>74</v>
      </c>
      <c r="T962" t="s">
        <v>74</v>
      </c>
      <c r="U962" t="s">
        <v>18529</v>
      </c>
      <c r="V962" t="s">
        <v>18530</v>
      </c>
      <c r="W962" t="s">
        <v>18531</v>
      </c>
      <c r="X962" t="s">
        <v>18532</v>
      </c>
      <c r="Y962" t="s">
        <v>18533</v>
      </c>
      <c r="Z962" t="s">
        <v>18534</v>
      </c>
      <c r="AA962" t="s">
        <v>18535</v>
      </c>
      <c r="AB962" t="s">
        <v>18536</v>
      </c>
      <c r="AC962" t="s">
        <v>18537</v>
      </c>
      <c r="AD962" t="s">
        <v>18538</v>
      </c>
      <c r="AE962" t="s">
        <v>18539</v>
      </c>
      <c r="AF962" t="s">
        <v>74</v>
      </c>
      <c r="AG962">
        <v>85</v>
      </c>
      <c r="AH962">
        <v>11</v>
      </c>
      <c r="AI962">
        <v>11</v>
      </c>
      <c r="AJ962">
        <v>3</v>
      </c>
      <c r="AK962">
        <v>5</v>
      </c>
      <c r="AL962" t="s">
        <v>2460</v>
      </c>
      <c r="AM962" t="s">
        <v>2461</v>
      </c>
      <c r="AN962" t="s">
        <v>2462</v>
      </c>
      <c r="AO962" t="s">
        <v>2485</v>
      </c>
      <c r="AP962" t="s">
        <v>2486</v>
      </c>
      <c r="AQ962" t="s">
        <v>74</v>
      </c>
      <c r="AR962" t="s">
        <v>2473</v>
      </c>
      <c r="AS962" t="s">
        <v>2487</v>
      </c>
      <c r="AT962" t="s">
        <v>18399</v>
      </c>
      <c r="AU962">
        <v>2022</v>
      </c>
      <c r="AV962">
        <v>16</v>
      </c>
      <c r="AW962">
        <v>6</v>
      </c>
      <c r="AX962" t="s">
        <v>74</v>
      </c>
      <c r="AY962" t="s">
        <v>74</v>
      </c>
      <c r="AZ962" t="s">
        <v>74</v>
      </c>
      <c r="BA962" t="s">
        <v>74</v>
      </c>
      <c r="BB962">
        <v>2325</v>
      </c>
      <c r="BC962">
        <v>2353</v>
      </c>
      <c r="BD962" t="s">
        <v>74</v>
      </c>
      <c r="BE962" t="s">
        <v>18540</v>
      </c>
      <c r="BF962" t="str">
        <f>HYPERLINK("http://dx.doi.org/10.5194/tc-16-2325-2022","http://dx.doi.org/10.5194/tc-16-2325-2022")</f>
        <v>http://dx.doi.org/10.5194/tc-16-2325-2022</v>
      </c>
      <c r="BG962" t="s">
        <v>74</v>
      </c>
      <c r="BH962" t="s">
        <v>74</v>
      </c>
      <c r="BI962">
        <v>29</v>
      </c>
      <c r="BJ962" t="s">
        <v>354</v>
      </c>
      <c r="BK962" t="s">
        <v>100</v>
      </c>
      <c r="BL962" t="s">
        <v>241</v>
      </c>
      <c r="BM962" t="s">
        <v>18541</v>
      </c>
      <c r="BN962" t="s">
        <v>74</v>
      </c>
      <c r="BO962" t="s">
        <v>15570</v>
      </c>
      <c r="BP962" t="s">
        <v>74</v>
      </c>
      <c r="BQ962" t="s">
        <v>74</v>
      </c>
      <c r="BR962" t="s">
        <v>103</v>
      </c>
      <c r="BS962" t="s">
        <v>18542</v>
      </c>
      <c r="BT962" t="str">
        <f>HYPERLINK("https%3A%2F%2Fwww.webofscience.com%2Fwos%2Fwoscc%2Ffull-record%2FWOS:000811536900001","View Full Record in Web of Science")</f>
        <v>View Full Record in Web of Science</v>
      </c>
    </row>
    <row r="963" spans="1:72" x14ac:dyDescent="0.15">
      <c r="A963" t="s">
        <v>72</v>
      </c>
      <c r="B963" t="s">
        <v>18543</v>
      </c>
      <c r="C963" t="s">
        <v>74</v>
      </c>
      <c r="D963" t="s">
        <v>74</v>
      </c>
      <c r="E963" t="s">
        <v>74</v>
      </c>
      <c r="F963" t="s">
        <v>18544</v>
      </c>
      <c r="G963" t="s">
        <v>74</v>
      </c>
      <c r="H963" t="s">
        <v>74</v>
      </c>
      <c r="I963" t="s">
        <v>18545</v>
      </c>
      <c r="J963" t="s">
        <v>2551</v>
      </c>
      <c r="K963" t="s">
        <v>74</v>
      </c>
      <c r="L963" t="s">
        <v>74</v>
      </c>
      <c r="M963" t="s">
        <v>78</v>
      </c>
      <c r="N963" t="s">
        <v>79</v>
      </c>
      <c r="O963" t="s">
        <v>74</v>
      </c>
      <c r="P963" t="s">
        <v>74</v>
      </c>
      <c r="Q963" t="s">
        <v>74</v>
      </c>
      <c r="R963" t="s">
        <v>74</v>
      </c>
      <c r="S963" t="s">
        <v>74</v>
      </c>
      <c r="T963" t="s">
        <v>18546</v>
      </c>
      <c r="U963" t="s">
        <v>18547</v>
      </c>
      <c r="V963" t="s">
        <v>18548</v>
      </c>
      <c r="W963" t="s">
        <v>18549</v>
      </c>
      <c r="X963" t="s">
        <v>18550</v>
      </c>
      <c r="Y963" t="s">
        <v>18551</v>
      </c>
      <c r="Z963" t="s">
        <v>18552</v>
      </c>
      <c r="AA963" t="s">
        <v>18553</v>
      </c>
      <c r="AB963" t="s">
        <v>18554</v>
      </c>
      <c r="AC963" t="s">
        <v>18555</v>
      </c>
      <c r="AD963" t="s">
        <v>18556</v>
      </c>
      <c r="AE963" t="s">
        <v>18557</v>
      </c>
      <c r="AF963" t="s">
        <v>74</v>
      </c>
      <c r="AG963">
        <v>63</v>
      </c>
      <c r="AH963">
        <v>4</v>
      </c>
      <c r="AI963">
        <v>4</v>
      </c>
      <c r="AJ963">
        <v>2</v>
      </c>
      <c r="AK963">
        <v>4</v>
      </c>
      <c r="AL963" t="s">
        <v>946</v>
      </c>
      <c r="AM963" t="s">
        <v>207</v>
      </c>
      <c r="AN963" t="s">
        <v>947</v>
      </c>
      <c r="AO963" t="s">
        <v>2563</v>
      </c>
      <c r="AP963" t="s">
        <v>2564</v>
      </c>
      <c r="AQ963" t="s">
        <v>74</v>
      </c>
      <c r="AR963" t="s">
        <v>2565</v>
      </c>
      <c r="AS963" t="s">
        <v>2566</v>
      </c>
      <c r="AT963" t="s">
        <v>18399</v>
      </c>
      <c r="AU963">
        <v>2022</v>
      </c>
      <c r="AV963">
        <v>49</v>
      </c>
      <c r="AW963">
        <v>11</v>
      </c>
      <c r="AX963" t="s">
        <v>74</v>
      </c>
      <c r="AY963" t="s">
        <v>74</v>
      </c>
      <c r="AZ963" t="s">
        <v>74</v>
      </c>
      <c r="BA963" t="s">
        <v>74</v>
      </c>
      <c r="BB963" t="s">
        <v>74</v>
      </c>
      <c r="BC963" t="s">
        <v>74</v>
      </c>
      <c r="BD963" t="s">
        <v>18558</v>
      </c>
      <c r="BE963" t="s">
        <v>18559</v>
      </c>
      <c r="BF963" t="str">
        <f>HYPERLINK("http://dx.doi.org/10.1029/2021GL097560","http://dx.doi.org/10.1029/2021GL097560")</f>
        <v>http://dx.doi.org/10.1029/2021GL097560</v>
      </c>
      <c r="BG963" t="s">
        <v>74</v>
      </c>
      <c r="BH963" t="s">
        <v>74</v>
      </c>
      <c r="BI963">
        <v>11</v>
      </c>
      <c r="BJ963" t="s">
        <v>129</v>
      </c>
      <c r="BK963" t="s">
        <v>100</v>
      </c>
      <c r="BL963" t="s">
        <v>130</v>
      </c>
      <c r="BM963" t="s">
        <v>18560</v>
      </c>
      <c r="BN963" t="s">
        <v>74</v>
      </c>
      <c r="BO963" t="s">
        <v>3859</v>
      </c>
      <c r="BP963" t="s">
        <v>74</v>
      </c>
      <c r="BQ963" t="s">
        <v>74</v>
      </c>
      <c r="BR963" t="s">
        <v>103</v>
      </c>
      <c r="BS963" t="s">
        <v>18561</v>
      </c>
      <c r="BT963" t="str">
        <f>HYPERLINK("https%3A%2F%2Fwww.webofscience.com%2Fwos%2Fwoscc%2Ffull-record%2FWOS:000810339400001","View Full Record in Web of Science")</f>
        <v>View Full Record in Web of Science</v>
      </c>
    </row>
    <row r="964" spans="1:72" x14ac:dyDescent="0.15">
      <c r="A964" t="s">
        <v>72</v>
      </c>
      <c r="B964" t="s">
        <v>18562</v>
      </c>
      <c r="C964" t="s">
        <v>74</v>
      </c>
      <c r="D964" t="s">
        <v>74</v>
      </c>
      <c r="E964" t="s">
        <v>74</v>
      </c>
      <c r="F964" t="s">
        <v>18563</v>
      </c>
      <c r="G964" t="s">
        <v>74</v>
      </c>
      <c r="H964" t="s">
        <v>74</v>
      </c>
      <c r="I964" t="s">
        <v>18564</v>
      </c>
      <c r="J964" t="s">
        <v>3380</v>
      </c>
      <c r="K964" t="s">
        <v>74</v>
      </c>
      <c r="L964" t="s">
        <v>74</v>
      </c>
      <c r="M964" t="s">
        <v>78</v>
      </c>
      <c r="N964" t="s">
        <v>1346</v>
      </c>
      <c r="O964" t="s">
        <v>74</v>
      </c>
      <c r="P964" t="s">
        <v>74</v>
      </c>
      <c r="Q964" t="s">
        <v>74</v>
      </c>
      <c r="R964" t="s">
        <v>74</v>
      </c>
      <c r="S964" t="s">
        <v>74</v>
      </c>
      <c r="T964" t="s">
        <v>74</v>
      </c>
      <c r="U964" t="s">
        <v>74</v>
      </c>
      <c r="V964" t="s">
        <v>74</v>
      </c>
      <c r="W964" t="s">
        <v>18565</v>
      </c>
      <c r="X964" t="s">
        <v>3385</v>
      </c>
      <c r="Y964" t="s">
        <v>18566</v>
      </c>
      <c r="Z964" t="s">
        <v>74</v>
      </c>
      <c r="AA964" t="s">
        <v>74</v>
      </c>
      <c r="AB964" t="s">
        <v>74</v>
      </c>
      <c r="AC964" t="s">
        <v>74</v>
      </c>
      <c r="AD964" t="s">
        <v>74</v>
      </c>
      <c r="AE964" t="s">
        <v>74</v>
      </c>
      <c r="AF964" t="s">
        <v>74</v>
      </c>
      <c r="AG964">
        <v>0</v>
      </c>
      <c r="AH964">
        <v>0</v>
      </c>
      <c r="AI964">
        <v>0</v>
      </c>
      <c r="AJ964">
        <v>0</v>
      </c>
      <c r="AK964">
        <v>0</v>
      </c>
      <c r="AL964" t="s">
        <v>149</v>
      </c>
      <c r="AM964" t="s">
        <v>150</v>
      </c>
      <c r="AN964" t="s">
        <v>151</v>
      </c>
      <c r="AO964" t="s">
        <v>3390</v>
      </c>
      <c r="AP964" t="s">
        <v>3391</v>
      </c>
      <c r="AQ964" t="s">
        <v>74</v>
      </c>
      <c r="AR964" t="s">
        <v>3380</v>
      </c>
      <c r="AS964" t="s">
        <v>3392</v>
      </c>
      <c r="AT964" t="s">
        <v>18399</v>
      </c>
      <c r="AU964">
        <v>2022</v>
      </c>
      <c r="AV964">
        <v>606</v>
      </c>
      <c r="AW964">
        <v>7914</v>
      </c>
      <c r="AX964" t="s">
        <v>74</v>
      </c>
      <c r="AY964" t="s">
        <v>74</v>
      </c>
      <c r="AZ964" t="s">
        <v>74</v>
      </c>
      <c r="BA964" t="s">
        <v>74</v>
      </c>
      <c r="BB964">
        <v>611</v>
      </c>
      <c r="BC964">
        <v>611</v>
      </c>
      <c r="BD964" t="s">
        <v>74</v>
      </c>
      <c r="BE964" t="s">
        <v>74</v>
      </c>
      <c r="BF964" t="s">
        <v>74</v>
      </c>
      <c r="BG964" t="s">
        <v>74</v>
      </c>
      <c r="BH964" t="s">
        <v>74</v>
      </c>
      <c r="BI964">
        <v>1</v>
      </c>
      <c r="BJ964" t="s">
        <v>156</v>
      </c>
      <c r="BK964" t="s">
        <v>100</v>
      </c>
      <c r="BL964" t="s">
        <v>157</v>
      </c>
      <c r="BM964" t="s">
        <v>18567</v>
      </c>
      <c r="BN964" t="s">
        <v>74</v>
      </c>
      <c r="BO964" t="s">
        <v>74</v>
      </c>
      <c r="BP964" t="s">
        <v>74</v>
      </c>
      <c r="BQ964" t="s">
        <v>74</v>
      </c>
      <c r="BR964" t="s">
        <v>103</v>
      </c>
      <c r="BS964" t="s">
        <v>18568</v>
      </c>
      <c r="BT964" t="str">
        <f>HYPERLINK("https%3A%2F%2Fwww.webofscience.com%2Fwos%2Fwoscc%2Ffull-record%2FWOS:000810660500019","View Full Record in Web of Science")</f>
        <v>View Full Record in Web of Science</v>
      </c>
    </row>
    <row r="965" spans="1:72" x14ac:dyDescent="0.15">
      <c r="A965" t="s">
        <v>72</v>
      </c>
      <c r="B965" t="s">
        <v>18569</v>
      </c>
      <c r="C965" t="s">
        <v>74</v>
      </c>
      <c r="D965" t="s">
        <v>74</v>
      </c>
      <c r="E965" t="s">
        <v>74</v>
      </c>
      <c r="F965" t="s">
        <v>18570</v>
      </c>
      <c r="G965" t="s">
        <v>74</v>
      </c>
      <c r="H965" t="s">
        <v>74</v>
      </c>
      <c r="I965" t="s">
        <v>18571</v>
      </c>
      <c r="J965" t="s">
        <v>2551</v>
      </c>
      <c r="K965" t="s">
        <v>74</v>
      </c>
      <c r="L965" t="s">
        <v>74</v>
      </c>
      <c r="M965" t="s">
        <v>78</v>
      </c>
      <c r="N965" t="s">
        <v>79</v>
      </c>
      <c r="O965" t="s">
        <v>74</v>
      </c>
      <c r="P965" t="s">
        <v>74</v>
      </c>
      <c r="Q965" t="s">
        <v>74</v>
      </c>
      <c r="R965" t="s">
        <v>74</v>
      </c>
      <c r="S965" t="s">
        <v>74</v>
      </c>
      <c r="T965" t="s">
        <v>18572</v>
      </c>
      <c r="U965" t="s">
        <v>18573</v>
      </c>
      <c r="V965" t="s">
        <v>18574</v>
      </c>
      <c r="W965" t="s">
        <v>18575</v>
      </c>
      <c r="X965" t="s">
        <v>18576</v>
      </c>
      <c r="Y965" t="s">
        <v>18577</v>
      </c>
      <c r="Z965" t="s">
        <v>18578</v>
      </c>
      <c r="AA965" t="s">
        <v>18579</v>
      </c>
      <c r="AB965" t="s">
        <v>18580</v>
      </c>
      <c r="AC965" t="s">
        <v>18581</v>
      </c>
      <c r="AD965" t="s">
        <v>18582</v>
      </c>
      <c r="AE965" t="s">
        <v>18583</v>
      </c>
      <c r="AF965" t="s">
        <v>74</v>
      </c>
      <c r="AG965">
        <v>93</v>
      </c>
      <c r="AH965">
        <v>8</v>
      </c>
      <c r="AI965">
        <v>9</v>
      </c>
      <c r="AJ965">
        <v>15</v>
      </c>
      <c r="AK965">
        <v>39</v>
      </c>
      <c r="AL965" t="s">
        <v>946</v>
      </c>
      <c r="AM965" t="s">
        <v>207</v>
      </c>
      <c r="AN965" t="s">
        <v>947</v>
      </c>
      <c r="AO965" t="s">
        <v>2563</v>
      </c>
      <c r="AP965" t="s">
        <v>2564</v>
      </c>
      <c r="AQ965" t="s">
        <v>74</v>
      </c>
      <c r="AR965" t="s">
        <v>2565</v>
      </c>
      <c r="AS965" t="s">
        <v>2566</v>
      </c>
      <c r="AT965" t="s">
        <v>18399</v>
      </c>
      <c r="AU965">
        <v>2022</v>
      </c>
      <c r="AV965">
        <v>49</v>
      </c>
      <c r="AW965">
        <v>11</v>
      </c>
      <c r="AX965" t="s">
        <v>74</v>
      </c>
      <c r="AY965" t="s">
        <v>74</v>
      </c>
      <c r="AZ965" t="s">
        <v>74</v>
      </c>
      <c r="BA965" t="s">
        <v>74</v>
      </c>
      <c r="BB965" t="s">
        <v>74</v>
      </c>
      <c r="BC965" t="s">
        <v>74</v>
      </c>
      <c r="BD965" t="s">
        <v>18584</v>
      </c>
      <c r="BE965" t="s">
        <v>18585</v>
      </c>
      <c r="BF965" t="str">
        <f>HYPERLINK("http://dx.doi.org/10.1029/2021GL097538","http://dx.doi.org/10.1029/2021GL097538")</f>
        <v>http://dx.doi.org/10.1029/2021GL097538</v>
      </c>
      <c r="BG965" t="s">
        <v>74</v>
      </c>
      <c r="BH965" t="s">
        <v>74</v>
      </c>
      <c r="BI965">
        <v>11</v>
      </c>
      <c r="BJ965" t="s">
        <v>129</v>
      </c>
      <c r="BK965" t="s">
        <v>100</v>
      </c>
      <c r="BL965" t="s">
        <v>130</v>
      </c>
      <c r="BM965" t="s">
        <v>18586</v>
      </c>
      <c r="BN965" t="s">
        <v>74</v>
      </c>
      <c r="BO965" t="s">
        <v>1221</v>
      </c>
      <c r="BP965" t="s">
        <v>74</v>
      </c>
      <c r="BQ965" t="s">
        <v>74</v>
      </c>
      <c r="BR965" t="s">
        <v>103</v>
      </c>
      <c r="BS965" t="s">
        <v>18587</v>
      </c>
      <c r="BT965" t="str">
        <f>HYPERLINK("https%3A%2F%2Fwww.webofscience.com%2Fwos%2Fwoscc%2Ffull-record%2FWOS:000806619200001","View Full Record in Web of Science")</f>
        <v>View Full Record in Web of Science</v>
      </c>
    </row>
    <row r="966" spans="1:72" x14ac:dyDescent="0.15">
      <c r="A966" t="s">
        <v>72</v>
      </c>
      <c r="B966" t="s">
        <v>18588</v>
      </c>
      <c r="C966" t="s">
        <v>74</v>
      </c>
      <c r="D966" t="s">
        <v>74</v>
      </c>
      <c r="E966" t="s">
        <v>74</v>
      </c>
      <c r="F966" t="s">
        <v>18589</v>
      </c>
      <c r="G966" t="s">
        <v>74</v>
      </c>
      <c r="H966" t="s">
        <v>74</v>
      </c>
      <c r="I966" t="s">
        <v>18590</v>
      </c>
      <c r="J966" t="s">
        <v>2551</v>
      </c>
      <c r="K966" t="s">
        <v>74</v>
      </c>
      <c r="L966" t="s">
        <v>74</v>
      </c>
      <c r="M966" t="s">
        <v>78</v>
      </c>
      <c r="N966" t="s">
        <v>79</v>
      </c>
      <c r="O966" t="s">
        <v>74</v>
      </c>
      <c r="P966" t="s">
        <v>74</v>
      </c>
      <c r="Q966" t="s">
        <v>74</v>
      </c>
      <c r="R966" t="s">
        <v>74</v>
      </c>
      <c r="S966" t="s">
        <v>74</v>
      </c>
      <c r="T966" t="s">
        <v>18591</v>
      </c>
      <c r="U966" t="s">
        <v>18592</v>
      </c>
      <c r="V966" t="s">
        <v>18593</v>
      </c>
      <c r="W966" t="s">
        <v>18594</v>
      </c>
      <c r="X966" t="s">
        <v>18595</v>
      </c>
      <c r="Y966" t="s">
        <v>18596</v>
      </c>
      <c r="Z966" t="s">
        <v>18597</v>
      </c>
      <c r="AA966" t="s">
        <v>18598</v>
      </c>
      <c r="AB966" t="s">
        <v>18599</v>
      </c>
      <c r="AC966" t="s">
        <v>18600</v>
      </c>
      <c r="AD966" t="s">
        <v>18601</v>
      </c>
      <c r="AE966" t="s">
        <v>18602</v>
      </c>
      <c r="AF966" t="s">
        <v>74</v>
      </c>
      <c r="AG966">
        <v>49</v>
      </c>
      <c r="AH966">
        <v>6</v>
      </c>
      <c r="AI966">
        <v>6</v>
      </c>
      <c r="AJ966">
        <v>1</v>
      </c>
      <c r="AK966">
        <v>17</v>
      </c>
      <c r="AL966" t="s">
        <v>946</v>
      </c>
      <c r="AM966" t="s">
        <v>207</v>
      </c>
      <c r="AN966" t="s">
        <v>947</v>
      </c>
      <c r="AO966" t="s">
        <v>2563</v>
      </c>
      <c r="AP966" t="s">
        <v>2564</v>
      </c>
      <c r="AQ966" t="s">
        <v>74</v>
      </c>
      <c r="AR966" t="s">
        <v>2565</v>
      </c>
      <c r="AS966" t="s">
        <v>2566</v>
      </c>
      <c r="AT966" t="s">
        <v>18399</v>
      </c>
      <c r="AU966">
        <v>2022</v>
      </c>
      <c r="AV966">
        <v>49</v>
      </c>
      <c r="AW966">
        <v>11</v>
      </c>
      <c r="AX966" t="s">
        <v>74</v>
      </c>
      <c r="AY966" t="s">
        <v>74</v>
      </c>
      <c r="AZ966" t="s">
        <v>74</v>
      </c>
      <c r="BA966" t="s">
        <v>74</v>
      </c>
      <c r="BB966" t="s">
        <v>74</v>
      </c>
      <c r="BC966" t="s">
        <v>74</v>
      </c>
      <c r="BD966" t="s">
        <v>18603</v>
      </c>
      <c r="BE966" t="s">
        <v>18604</v>
      </c>
      <c r="BF966" t="str">
        <f>HYPERLINK("http://dx.doi.org/10.1029/2022GL097745","http://dx.doi.org/10.1029/2022GL097745")</f>
        <v>http://dx.doi.org/10.1029/2022GL097745</v>
      </c>
      <c r="BG966" t="s">
        <v>74</v>
      </c>
      <c r="BH966" t="s">
        <v>74</v>
      </c>
      <c r="BI966">
        <v>12</v>
      </c>
      <c r="BJ966" t="s">
        <v>129</v>
      </c>
      <c r="BK966" t="s">
        <v>100</v>
      </c>
      <c r="BL966" t="s">
        <v>130</v>
      </c>
      <c r="BM966" t="s">
        <v>18605</v>
      </c>
      <c r="BN966" t="s">
        <v>74</v>
      </c>
      <c r="BO966" t="s">
        <v>2512</v>
      </c>
      <c r="BP966" t="s">
        <v>74</v>
      </c>
      <c r="BQ966" t="s">
        <v>74</v>
      </c>
      <c r="BR966" t="s">
        <v>103</v>
      </c>
      <c r="BS966" t="s">
        <v>18606</v>
      </c>
      <c r="BT966" t="str">
        <f>HYPERLINK("https%3A%2F%2Fwww.webofscience.com%2Fwos%2Fwoscc%2Ffull-record%2FWOS:000806621500001","View Full Record in Web of Science")</f>
        <v>View Full Record in Web of Science</v>
      </c>
    </row>
    <row r="967" spans="1:72" x14ac:dyDescent="0.15">
      <c r="A967" t="s">
        <v>72</v>
      </c>
      <c r="B967" t="s">
        <v>18607</v>
      </c>
      <c r="C967" t="s">
        <v>74</v>
      </c>
      <c r="D967" t="s">
        <v>74</v>
      </c>
      <c r="E967" t="s">
        <v>74</v>
      </c>
      <c r="F967" t="s">
        <v>18608</v>
      </c>
      <c r="G967" t="s">
        <v>74</v>
      </c>
      <c r="H967" t="s">
        <v>74</v>
      </c>
      <c r="I967" t="s">
        <v>18609</v>
      </c>
      <c r="J967" t="s">
        <v>2551</v>
      </c>
      <c r="K967" t="s">
        <v>74</v>
      </c>
      <c r="L967" t="s">
        <v>74</v>
      </c>
      <c r="M967" t="s">
        <v>78</v>
      </c>
      <c r="N967" t="s">
        <v>79</v>
      </c>
      <c r="O967" t="s">
        <v>74</v>
      </c>
      <c r="P967" t="s">
        <v>74</v>
      </c>
      <c r="Q967" t="s">
        <v>74</v>
      </c>
      <c r="R967" t="s">
        <v>74</v>
      </c>
      <c r="S967" t="s">
        <v>74</v>
      </c>
      <c r="T967" t="s">
        <v>18610</v>
      </c>
      <c r="U967" t="s">
        <v>18611</v>
      </c>
      <c r="V967" t="s">
        <v>18612</v>
      </c>
      <c r="W967" t="s">
        <v>18613</v>
      </c>
      <c r="X967" t="s">
        <v>3385</v>
      </c>
      <c r="Y967" t="s">
        <v>18614</v>
      </c>
      <c r="Z967" t="s">
        <v>18615</v>
      </c>
      <c r="AA967" t="s">
        <v>74</v>
      </c>
      <c r="AB967" t="s">
        <v>18616</v>
      </c>
      <c r="AC967" t="s">
        <v>18617</v>
      </c>
      <c r="AD967" t="s">
        <v>18618</v>
      </c>
      <c r="AE967" t="s">
        <v>18619</v>
      </c>
      <c r="AF967" t="s">
        <v>74</v>
      </c>
      <c r="AG967">
        <v>32</v>
      </c>
      <c r="AH967">
        <v>4</v>
      </c>
      <c r="AI967">
        <v>4</v>
      </c>
      <c r="AJ967">
        <v>3</v>
      </c>
      <c r="AK967">
        <v>17</v>
      </c>
      <c r="AL967" t="s">
        <v>946</v>
      </c>
      <c r="AM967" t="s">
        <v>207</v>
      </c>
      <c r="AN967" t="s">
        <v>947</v>
      </c>
      <c r="AO967" t="s">
        <v>2563</v>
      </c>
      <c r="AP967" t="s">
        <v>2564</v>
      </c>
      <c r="AQ967" t="s">
        <v>74</v>
      </c>
      <c r="AR967" t="s">
        <v>2565</v>
      </c>
      <c r="AS967" t="s">
        <v>2566</v>
      </c>
      <c r="AT967" t="s">
        <v>18399</v>
      </c>
      <c r="AU967">
        <v>2022</v>
      </c>
      <c r="AV967">
        <v>49</v>
      </c>
      <c r="AW967">
        <v>11</v>
      </c>
      <c r="AX967" t="s">
        <v>74</v>
      </c>
      <c r="AY967" t="s">
        <v>74</v>
      </c>
      <c r="AZ967" t="s">
        <v>74</v>
      </c>
      <c r="BA967" t="s">
        <v>74</v>
      </c>
      <c r="BB967" t="s">
        <v>74</v>
      </c>
      <c r="BC967" t="s">
        <v>74</v>
      </c>
      <c r="BD967" t="s">
        <v>18620</v>
      </c>
      <c r="BE967" t="s">
        <v>18621</v>
      </c>
      <c r="BF967" t="str">
        <f>HYPERLINK("http://dx.doi.org/10.1029/2022GL098212","http://dx.doi.org/10.1029/2022GL098212")</f>
        <v>http://dx.doi.org/10.1029/2022GL098212</v>
      </c>
      <c r="BG967" t="s">
        <v>74</v>
      </c>
      <c r="BH967" t="s">
        <v>74</v>
      </c>
      <c r="BI967">
        <v>9</v>
      </c>
      <c r="BJ967" t="s">
        <v>129</v>
      </c>
      <c r="BK967" t="s">
        <v>100</v>
      </c>
      <c r="BL967" t="s">
        <v>130</v>
      </c>
      <c r="BM967" t="s">
        <v>18622</v>
      </c>
      <c r="BN967" t="s">
        <v>74</v>
      </c>
      <c r="BO967" t="s">
        <v>2260</v>
      </c>
      <c r="BP967" t="s">
        <v>74</v>
      </c>
      <c r="BQ967" t="s">
        <v>74</v>
      </c>
      <c r="BR967" t="s">
        <v>103</v>
      </c>
      <c r="BS967" t="s">
        <v>18623</v>
      </c>
      <c r="BT967" t="str">
        <f>HYPERLINK("https%3A%2F%2Fwww.webofscience.com%2Fwos%2Fwoscc%2Ffull-record%2FWOS:000806208600001","View Full Record in Web of Science")</f>
        <v>View Full Record in Web of Science</v>
      </c>
    </row>
    <row r="968" spans="1:72" x14ac:dyDescent="0.15">
      <c r="A968" t="s">
        <v>72</v>
      </c>
      <c r="B968" t="s">
        <v>18624</v>
      </c>
      <c r="C968" t="s">
        <v>74</v>
      </c>
      <c r="D968" t="s">
        <v>74</v>
      </c>
      <c r="E968" t="s">
        <v>74</v>
      </c>
      <c r="F968" t="s">
        <v>18625</v>
      </c>
      <c r="G968" t="s">
        <v>74</v>
      </c>
      <c r="H968" t="s">
        <v>74</v>
      </c>
      <c r="I968" t="s">
        <v>18626</v>
      </c>
      <c r="J968" t="s">
        <v>2738</v>
      </c>
      <c r="K968" t="s">
        <v>74</v>
      </c>
      <c r="L968" t="s">
        <v>74</v>
      </c>
      <c r="M968" t="s">
        <v>78</v>
      </c>
      <c r="N968" t="s">
        <v>79</v>
      </c>
      <c r="O968" t="s">
        <v>74</v>
      </c>
      <c r="P968" t="s">
        <v>74</v>
      </c>
      <c r="Q968" t="s">
        <v>74</v>
      </c>
      <c r="R968" t="s">
        <v>74</v>
      </c>
      <c r="S968" t="s">
        <v>74</v>
      </c>
      <c r="T968" t="s">
        <v>18627</v>
      </c>
      <c r="U968" t="s">
        <v>18628</v>
      </c>
      <c r="V968" t="s">
        <v>18629</v>
      </c>
      <c r="W968" t="s">
        <v>18630</v>
      </c>
      <c r="X968" t="s">
        <v>18631</v>
      </c>
      <c r="Y968" t="s">
        <v>18632</v>
      </c>
      <c r="Z968" t="s">
        <v>18633</v>
      </c>
      <c r="AA968" t="s">
        <v>18634</v>
      </c>
      <c r="AB968" t="s">
        <v>18635</v>
      </c>
      <c r="AC968" t="s">
        <v>18636</v>
      </c>
      <c r="AD968" t="s">
        <v>18636</v>
      </c>
      <c r="AE968" t="s">
        <v>18637</v>
      </c>
      <c r="AF968" t="s">
        <v>74</v>
      </c>
      <c r="AG968">
        <v>56</v>
      </c>
      <c r="AH968">
        <v>9</v>
      </c>
      <c r="AI968">
        <v>9</v>
      </c>
      <c r="AJ968">
        <v>2</v>
      </c>
      <c r="AK968">
        <v>11</v>
      </c>
      <c r="AL968" t="s">
        <v>946</v>
      </c>
      <c r="AM968" t="s">
        <v>207</v>
      </c>
      <c r="AN968" t="s">
        <v>947</v>
      </c>
      <c r="AO968" t="s">
        <v>2751</v>
      </c>
      <c r="AP968" t="s">
        <v>2752</v>
      </c>
      <c r="AQ968" t="s">
        <v>74</v>
      </c>
      <c r="AR968" t="s">
        <v>2753</v>
      </c>
      <c r="AS968" t="s">
        <v>2754</v>
      </c>
      <c r="AT968" t="s">
        <v>18399</v>
      </c>
      <c r="AU968">
        <v>2022</v>
      </c>
      <c r="AV968">
        <v>127</v>
      </c>
      <c r="AW968">
        <v>11</v>
      </c>
      <c r="AX968" t="s">
        <v>74</v>
      </c>
      <c r="AY968" t="s">
        <v>74</v>
      </c>
      <c r="AZ968" t="s">
        <v>74</v>
      </c>
      <c r="BA968" t="s">
        <v>74</v>
      </c>
      <c r="BB968" t="s">
        <v>74</v>
      </c>
      <c r="BC968" t="s">
        <v>74</v>
      </c>
      <c r="BD968" t="s">
        <v>18638</v>
      </c>
      <c r="BE968" t="s">
        <v>18639</v>
      </c>
      <c r="BF968" t="str">
        <f>HYPERLINK("http://dx.doi.org/10.1029/2021JD036424","http://dx.doi.org/10.1029/2021JD036424")</f>
        <v>http://dx.doi.org/10.1029/2021JD036424</v>
      </c>
      <c r="BG968" t="s">
        <v>74</v>
      </c>
      <c r="BH968" t="s">
        <v>74</v>
      </c>
      <c r="BI968">
        <v>15</v>
      </c>
      <c r="BJ968" t="s">
        <v>457</v>
      </c>
      <c r="BK968" t="s">
        <v>100</v>
      </c>
      <c r="BL968" t="s">
        <v>457</v>
      </c>
      <c r="BM968" t="s">
        <v>18640</v>
      </c>
      <c r="BN968" t="s">
        <v>74</v>
      </c>
      <c r="BO968" t="s">
        <v>1013</v>
      </c>
      <c r="BP968" t="s">
        <v>74</v>
      </c>
      <c r="BQ968" t="s">
        <v>74</v>
      </c>
      <c r="BR968" t="s">
        <v>103</v>
      </c>
      <c r="BS968" t="s">
        <v>18641</v>
      </c>
      <c r="BT968" t="str">
        <f>HYPERLINK("https%3A%2F%2Fwww.webofscience.com%2Fwos%2Fwoscc%2Ffull-record%2FWOS:000805261200001","View Full Record in Web of Science")</f>
        <v>View Full Record in Web of Science</v>
      </c>
    </row>
    <row r="969" spans="1:72" x14ac:dyDescent="0.15">
      <c r="A969" t="s">
        <v>72</v>
      </c>
      <c r="B969" t="s">
        <v>18642</v>
      </c>
      <c r="C969" t="s">
        <v>74</v>
      </c>
      <c r="D969" t="s">
        <v>74</v>
      </c>
      <c r="E969" t="s">
        <v>74</v>
      </c>
      <c r="F969" t="s">
        <v>18643</v>
      </c>
      <c r="G969" t="s">
        <v>74</v>
      </c>
      <c r="H969" t="s">
        <v>74</v>
      </c>
      <c r="I969" t="s">
        <v>18644</v>
      </c>
      <c r="J969" t="s">
        <v>2551</v>
      </c>
      <c r="K969" t="s">
        <v>74</v>
      </c>
      <c r="L969" t="s">
        <v>74</v>
      </c>
      <c r="M969" t="s">
        <v>78</v>
      </c>
      <c r="N969" t="s">
        <v>79</v>
      </c>
      <c r="O969" t="s">
        <v>74</v>
      </c>
      <c r="P969" t="s">
        <v>74</v>
      </c>
      <c r="Q969" t="s">
        <v>74</v>
      </c>
      <c r="R969" t="s">
        <v>74</v>
      </c>
      <c r="S969" t="s">
        <v>74</v>
      </c>
      <c r="T969" t="s">
        <v>18645</v>
      </c>
      <c r="U969" t="s">
        <v>18646</v>
      </c>
      <c r="V969" t="s">
        <v>18647</v>
      </c>
      <c r="W969" t="s">
        <v>18648</v>
      </c>
      <c r="X969" t="s">
        <v>18649</v>
      </c>
      <c r="Y969" t="s">
        <v>18650</v>
      </c>
      <c r="Z969" t="s">
        <v>18651</v>
      </c>
      <c r="AA969" t="s">
        <v>18652</v>
      </c>
      <c r="AB969" t="s">
        <v>18653</v>
      </c>
      <c r="AC969" t="s">
        <v>18654</v>
      </c>
      <c r="AD969" t="s">
        <v>18655</v>
      </c>
      <c r="AE969" t="s">
        <v>18656</v>
      </c>
      <c r="AF969" t="s">
        <v>74</v>
      </c>
      <c r="AG969">
        <v>70</v>
      </c>
      <c r="AH969">
        <v>8</v>
      </c>
      <c r="AI969">
        <v>10</v>
      </c>
      <c r="AJ969">
        <v>10</v>
      </c>
      <c r="AK969">
        <v>35</v>
      </c>
      <c r="AL969" t="s">
        <v>946</v>
      </c>
      <c r="AM969" t="s">
        <v>207</v>
      </c>
      <c r="AN969" t="s">
        <v>947</v>
      </c>
      <c r="AO969" t="s">
        <v>2563</v>
      </c>
      <c r="AP969" t="s">
        <v>2564</v>
      </c>
      <c r="AQ969" t="s">
        <v>74</v>
      </c>
      <c r="AR969" t="s">
        <v>2565</v>
      </c>
      <c r="AS969" t="s">
        <v>2566</v>
      </c>
      <c r="AT969" t="s">
        <v>18399</v>
      </c>
      <c r="AU969">
        <v>2022</v>
      </c>
      <c r="AV969">
        <v>49</v>
      </c>
      <c r="AW969">
        <v>11</v>
      </c>
      <c r="AX969" t="s">
        <v>74</v>
      </c>
      <c r="AY969" t="s">
        <v>74</v>
      </c>
      <c r="AZ969" t="s">
        <v>74</v>
      </c>
      <c r="BA969" t="s">
        <v>74</v>
      </c>
      <c r="BB969" t="s">
        <v>74</v>
      </c>
      <c r="BC969" t="s">
        <v>74</v>
      </c>
      <c r="BD969" t="s">
        <v>18657</v>
      </c>
      <c r="BE969" t="s">
        <v>18658</v>
      </c>
      <c r="BF969" t="str">
        <f>HYPERLINK("http://dx.doi.org/10.1029/2022GL098370","http://dx.doi.org/10.1029/2022GL098370")</f>
        <v>http://dx.doi.org/10.1029/2022GL098370</v>
      </c>
      <c r="BG969" t="s">
        <v>74</v>
      </c>
      <c r="BH969" t="s">
        <v>74</v>
      </c>
      <c r="BI969">
        <v>11</v>
      </c>
      <c r="BJ969" t="s">
        <v>129</v>
      </c>
      <c r="BK969" t="s">
        <v>100</v>
      </c>
      <c r="BL969" t="s">
        <v>130</v>
      </c>
      <c r="BM969" t="s">
        <v>18659</v>
      </c>
      <c r="BN969" t="s">
        <v>74</v>
      </c>
      <c r="BO969" t="s">
        <v>74</v>
      </c>
      <c r="BP969" t="s">
        <v>74</v>
      </c>
      <c r="BQ969" t="s">
        <v>74</v>
      </c>
      <c r="BR969" t="s">
        <v>103</v>
      </c>
      <c r="BS969" t="s">
        <v>18660</v>
      </c>
      <c r="BT969" t="str">
        <f>HYPERLINK("https%3A%2F%2Fwww.webofscience.com%2Fwos%2Fwoscc%2Ffull-record%2FWOS:000804163000001","View Full Record in Web of Science")</f>
        <v>View Full Record in Web of Science</v>
      </c>
    </row>
    <row r="970" spans="1:72" x14ac:dyDescent="0.15">
      <c r="A970" t="s">
        <v>72</v>
      </c>
      <c r="B970" t="s">
        <v>18661</v>
      </c>
      <c r="C970" t="s">
        <v>74</v>
      </c>
      <c r="D970" t="s">
        <v>74</v>
      </c>
      <c r="E970" t="s">
        <v>74</v>
      </c>
      <c r="F970" t="s">
        <v>18662</v>
      </c>
      <c r="G970" t="s">
        <v>74</v>
      </c>
      <c r="H970" t="s">
        <v>74</v>
      </c>
      <c r="I970" t="s">
        <v>18663</v>
      </c>
      <c r="J970" t="s">
        <v>271</v>
      </c>
      <c r="K970" t="s">
        <v>74</v>
      </c>
      <c r="L970" t="s">
        <v>74</v>
      </c>
      <c r="M970" t="s">
        <v>78</v>
      </c>
      <c r="N970" t="s">
        <v>79</v>
      </c>
      <c r="O970" t="s">
        <v>74</v>
      </c>
      <c r="P970" t="s">
        <v>74</v>
      </c>
      <c r="Q970" t="s">
        <v>74</v>
      </c>
      <c r="R970" t="s">
        <v>74</v>
      </c>
      <c r="S970" t="s">
        <v>74</v>
      </c>
      <c r="T970" t="s">
        <v>74</v>
      </c>
      <c r="U970" t="s">
        <v>18664</v>
      </c>
      <c r="V970" t="s">
        <v>18665</v>
      </c>
      <c r="W970" t="s">
        <v>18666</v>
      </c>
      <c r="X970" t="s">
        <v>18667</v>
      </c>
      <c r="Y970" t="s">
        <v>18668</v>
      </c>
      <c r="Z970" t="s">
        <v>18669</v>
      </c>
      <c r="AA970" t="s">
        <v>18670</v>
      </c>
      <c r="AB970" t="s">
        <v>18671</v>
      </c>
      <c r="AC970" t="s">
        <v>18672</v>
      </c>
      <c r="AD970" t="s">
        <v>18673</v>
      </c>
      <c r="AE970" t="s">
        <v>18674</v>
      </c>
      <c r="AF970" t="s">
        <v>74</v>
      </c>
      <c r="AG970">
        <v>64</v>
      </c>
      <c r="AH970">
        <v>64</v>
      </c>
      <c r="AI970">
        <v>65</v>
      </c>
      <c r="AJ970">
        <v>10</v>
      </c>
      <c r="AK970">
        <v>15</v>
      </c>
      <c r="AL970" t="s">
        <v>149</v>
      </c>
      <c r="AM970" t="s">
        <v>150</v>
      </c>
      <c r="AN970" t="s">
        <v>151</v>
      </c>
      <c r="AO970" t="s">
        <v>283</v>
      </c>
      <c r="AP970" t="s">
        <v>74</v>
      </c>
      <c r="AQ970" t="s">
        <v>74</v>
      </c>
      <c r="AR970" t="s">
        <v>284</v>
      </c>
      <c r="AS970" t="s">
        <v>285</v>
      </c>
      <c r="AT970" t="s">
        <v>18675</v>
      </c>
      <c r="AU970">
        <v>2022</v>
      </c>
      <c r="AV970">
        <v>12</v>
      </c>
      <c r="AW970">
        <v>1</v>
      </c>
      <c r="AX970" t="s">
        <v>74</v>
      </c>
      <c r="AY970" t="s">
        <v>74</v>
      </c>
      <c r="AZ970" t="s">
        <v>74</v>
      </c>
      <c r="BA970" t="s">
        <v>74</v>
      </c>
      <c r="BB970" t="s">
        <v>74</v>
      </c>
      <c r="BC970" t="s">
        <v>74</v>
      </c>
      <c r="BD970">
        <v>9371</v>
      </c>
      <c r="BE970" t="s">
        <v>18676</v>
      </c>
      <c r="BF970" t="str">
        <f>HYPERLINK("http://dx.doi.org/10.1038/s41598-022-13568-5","http://dx.doi.org/10.1038/s41598-022-13568-5")</f>
        <v>http://dx.doi.org/10.1038/s41598-022-13568-5</v>
      </c>
      <c r="BG970" t="s">
        <v>74</v>
      </c>
      <c r="BH970" t="s">
        <v>74</v>
      </c>
      <c r="BI970">
        <v>18</v>
      </c>
      <c r="BJ970" t="s">
        <v>156</v>
      </c>
      <c r="BK970" t="s">
        <v>100</v>
      </c>
      <c r="BL970" t="s">
        <v>157</v>
      </c>
      <c r="BM970" t="s">
        <v>18677</v>
      </c>
      <c r="BN970">
        <v>35705593</v>
      </c>
      <c r="BO970" t="s">
        <v>159</v>
      </c>
      <c r="BP970" t="s">
        <v>4887</v>
      </c>
      <c r="BQ970" t="s">
        <v>17456</v>
      </c>
      <c r="BR970" t="s">
        <v>103</v>
      </c>
      <c r="BS970" t="s">
        <v>18678</v>
      </c>
      <c r="BT970" t="str">
        <f>HYPERLINK("https%3A%2F%2Fwww.webofscience.com%2Fwos%2Fwoscc%2Ffull-record%2FWOS:000965283900017","View Full Record in Web of Science")</f>
        <v>View Full Record in Web of Science</v>
      </c>
    </row>
    <row r="971" spans="1:72" x14ac:dyDescent="0.15">
      <c r="A971" t="s">
        <v>72</v>
      </c>
      <c r="B971" t="s">
        <v>18679</v>
      </c>
      <c r="C971" t="s">
        <v>74</v>
      </c>
      <c r="D971" t="s">
        <v>74</v>
      </c>
      <c r="E971" t="s">
        <v>74</v>
      </c>
      <c r="F971" t="s">
        <v>18680</v>
      </c>
      <c r="G971" t="s">
        <v>74</v>
      </c>
      <c r="H971" t="s">
        <v>74</v>
      </c>
      <c r="I971" t="s">
        <v>18681</v>
      </c>
      <c r="J971" t="s">
        <v>18682</v>
      </c>
      <c r="K971" t="s">
        <v>74</v>
      </c>
      <c r="L971" t="s">
        <v>74</v>
      </c>
      <c r="M971" t="s">
        <v>78</v>
      </c>
      <c r="N971" t="s">
        <v>79</v>
      </c>
      <c r="O971" t="s">
        <v>74</v>
      </c>
      <c r="P971" t="s">
        <v>74</v>
      </c>
      <c r="Q971" t="s">
        <v>74</v>
      </c>
      <c r="R971" t="s">
        <v>74</v>
      </c>
      <c r="S971" t="s">
        <v>74</v>
      </c>
      <c r="T971" t="s">
        <v>18683</v>
      </c>
      <c r="U971" t="s">
        <v>18684</v>
      </c>
      <c r="V971" t="s">
        <v>18685</v>
      </c>
      <c r="W971" t="s">
        <v>18686</v>
      </c>
      <c r="X971" t="s">
        <v>18687</v>
      </c>
      <c r="Y971" t="s">
        <v>18688</v>
      </c>
      <c r="Z971" t="s">
        <v>18689</v>
      </c>
      <c r="AA971" t="s">
        <v>74</v>
      </c>
      <c r="AB971" t="s">
        <v>74</v>
      </c>
      <c r="AC971" t="s">
        <v>18690</v>
      </c>
      <c r="AD971" t="s">
        <v>18691</v>
      </c>
      <c r="AE971" t="s">
        <v>18692</v>
      </c>
      <c r="AF971" t="s">
        <v>74</v>
      </c>
      <c r="AG971">
        <v>126</v>
      </c>
      <c r="AH971">
        <v>1</v>
      </c>
      <c r="AI971">
        <v>1</v>
      </c>
      <c r="AJ971">
        <v>4</v>
      </c>
      <c r="AK971">
        <v>8</v>
      </c>
      <c r="AL971" t="s">
        <v>18693</v>
      </c>
      <c r="AM971" t="s">
        <v>18694</v>
      </c>
      <c r="AN971" t="s">
        <v>18695</v>
      </c>
      <c r="AO971" t="s">
        <v>18696</v>
      </c>
      <c r="AP971" t="s">
        <v>18697</v>
      </c>
      <c r="AQ971" t="s">
        <v>74</v>
      </c>
      <c r="AR971" t="s">
        <v>18698</v>
      </c>
      <c r="AS971" t="s">
        <v>18699</v>
      </c>
      <c r="AT971" t="s">
        <v>184</v>
      </c>
      <c r="AU971">
        <v>2023</v>
      </c>
      <c r="AV971">
        <v>60</v>
      </c>
      <c r="AW971">
        <v>7</v>
      </c>
      <c r="AX971" t="s">
        <v>74</v>
      </c>
      <c r="AY971" t="s">
        <v>74</v>
      </c>
      <c r="AZ971" t="s">
        <v>74</v>
      </c>
      <c r="BA971" t="s">
        <v>74</v>
      </c>
      <c r="BB971">
        <v>765</v>
      </c>
      <c r="BC971">
        <v>777</v>
      </c>
      <c r="BD971" t="s">
        <v>74</v>
      </c>
      <c r="BE971" t="s">
        <v>18700</v>
      </c>
      <c r="BF971" t="str">
        <f>HYPERLINK("http://dx.doi.org/10.1139/cjes-2022-0004","http://dx.doi.org/10.1139/cjes-2022-0004")</f>
        <v>http://dx.doi.org/10.1139/cjes-2022-0004</v>
      </c>
      <c r="BG971" t="s">
        <v>74</v>
      </c>
      <c r="BH971" t="s">
        <v>17025</v>
      </c>
      <c r="BI971">
        <v>13</v>
      </c>
      <c r="BJ971" t="s">
        <v>129</v>
      </c>
      <c r="BK971" t="s">
        <v>100</v>
      </c>
      <c r="BL971" t="s">
        <v>130</v>
      </c>
      <c r="BM971" t="s">
        <v>18701</v>
      </c>
      <c r="BN971" t="s">
        <v>74</v>
      </c>
      <c r="BO971" t="s">
        <v>74</v>
      </c>
      <c r="BP971" t="s">
        <v>74</v>
      </c>
      <c r="BQ971" t="s">
        <v>74</v>
      </c>
      <c r="BR971" t="s">
        <v>103</v>
      </c>
      <c r="BS971" t="s">
        <v>18702</v>
      </c>
      <c r="BT971" t="str">
        <f>HYPERLINK("https%3A%2F%2Fwww.webofscience.com%2Fwos%2Fwoscc%2Ffull-record%2FWOS:000916665400001","View Full Record in Web of Science")</f>
        <v>View Full Record in Web of Science</v>
      </c>
    </row>
    <row r="972" spans="1:72" x14ac:dyDescent="0.15">
      <c r="A972" t="s">
        <v>72</v>
      </c>
      <c r="B972" t="s">
        <v>18703</v>
      </c>
      <c r="C972" t="s">
        <v>74</v>
      </c>
      <c r="D972" t="s">
        <v>74</v>
      </c>
      <c r="E972" t="s">
        <v>74</v>
      </c>
      <c r="F972" t="s">
        <v>18704</v>
      </c>
      <c r="G972" t="s">
        <v>74</v>
      </c>
      <c r="H972" t="s">
        <v>74</v>
      </c>
      <c r="I972" t="s">
        <v>18705</v>
      </c>
      <c r="J972" t="s">
        <v>3465</v>
      </c>
      <c r="K972" t="s">
        <v>74</v>
      </c>
      <c r="L972" t="s">
        <v>74</v>
      </c>
      <c r="M972" t="s">
        <v>78</v>
      </c>
      <c r="N972" t="s">
        <v>79</v>
      </c>
      <c r="O972" t="s">
        <v>74</v>
      </c>
      <c r="P972" t="s">
        <v>74</v>
      </c>
      <c r="Q972" t="s">
        <v>74</v>
      </c>
      <c r="R972" t="s">
        <v>74</v>
      </c>
      <c r="S972" t="s">
        <v>74</v>
      </c>
      <c r="T972" t="s">
        <v>18706</v>
      </c>
      <c r="U972" t="s">
        <v>18707</v>
      </c>
      <c r="V972" t="s">
        <v>18708</v>
      </c>
      <c r="W972" t="s">
        <v>18709</v>
      </c>
      <c r="X972" t="s">
        <v>18710</v>
      </c>
      <c r="Y972" t="s">
        <v>18711</v>
      </c>
      <c r="Z972" t="s">
        <v>18712</v>
      </c>
      <c r="AA972" t="s">
        <v>18713</v>
      </c>
      <c r="AB972" t="s">
        <v>18714</v>
      </c>
      <c r="AC972" t="s">
        <v>18715</v>
      </c>
      <c r="AD972" t="s">
        <v>18716</v>
      </c>
      <c r="AE972" t="s">
        <v>18717</v>
      </c>
      <c r="AF972" t="s">
        <v>74</v>
      </c>
      <c r="AG972">
        <v>112</v>
      </c>
      <c r="AH972">
        <v>3</v>
      </c>
      <c r="AI972">
        <v>3</v>
      </c>
      <c r="AJ972">
        <v>0</v>
      </c>
      <c r="AK972">
        <v>3</v>
      </c>
      <c r="AL972" t="s">
        <v>3478</v>
      </c>
      <c r="AM972" t="s">
        <v>2774</v>
      </c>
      <c r="AN972" t="s">
        <v>3479</v>
      </c>
      <c r="AO972" t="s">
        <v>3480</v>
      </c>
      <c r="AP972" t="s">
        <v>74</v>
      </c>
      <c r="AQ972" t="s">
        <v>74</v>
      </c>
      <c r="AR972" t="s">
        <v>3465</v>
      </c>
      <c r="AS972" t="s">
        <v>3481</v>
      </c>
      <c r="AT972" t="s">
        <v>18675</v>
      </c>
      <c r="AU972">
        <v>2022</v>
      </c>
      <c r="AV972">
        <v>10</v>
      </c>
      <c r="AW972" t="s">
        <v>74</v>
      </c>
      <c r="AX972" t="s">
        <v>74</v>
      </c>
      <c r="AY972" t="s">
        <v>74</v>
      </c>
      <c r="AZ972" t="s">
        <v>74</v>
      </c>
      <c r="BA972" t="s">
        <v>74</v>
      </c>
      <c r="BB972" t="s">
        <v>74</v>
      </c>
      <c r="BC972" t="s">
        <v>74</v>
      </c>
      <c r="BD972" t="s">
        <v>18718</v>
      </c>
      <c r="BE972" t="s">
        <v>18719</v>
      </c>
      <c r="BF972" t="str">
        <f>HYPERLINK("http://dx.doi.org/10.7717/peerj.13394","http://dx.doi.org/10.7717/peerj.13394")</f>
        <v>http://dx.doi.org/10.7717/peerj.13394</v>
      </c>
      <c r="BG972" t="s">
        <v>74</v>
      </c>
      <c r="BH972" t="s">
        <v>74</v>
      </c>
      <c r="BI972">
        <v>41</v>
      </c>
      <c r="BJ972" t="s">
        <v>156</v>
      </c>
      <c r="BK972" t="s">
        <v>100</v>
      </c>
      <c r="BL972" t="s">
        <v>157</v>
      </c>
      <c r="BM972" t="s">
        <v>18720</v>
      </c>
      <c r="BN972">
        <v>35726260</v>
      </c>
      <c r="BO972" t="s">
        <v>15371</v>
      </c>
      <c r="BP972" t="s">
        <v>74</v>
      </c>
      <c r="BQ972" t="s">
        <v>74</v>
      </c>
      <c r="BR972" t="s">
        <v>103</v>
      </c>
      <c r="BS972" t="s">
        <v>18721</v>
      </c>
      <c r="BT972" t="str">
        <f>HYPERLINK("https%3A%2F%2Fwww.webofscience.com%2Fwos%2Fwoscc%2Ffull-record%2FWOS:000834720100006","View Full Record in Web of Science")</f>
        <v>View Full Record in Web of Science</v>
      </c>
    </row>
    <row r="973" spans="1:72" x14ac:dyDescent="0.15">
      <c r="A973" t="s">
        <v>72</v>
      </c>
      <c r="B973" t="s">
        <v>18722</v>
      </c>
      <c r="C973" t="s">
        <v>74</v>
      </c>
      <c r="D973" t="s">
        <v>74</v>
      </c>
      <c r="E973" t="s">
        <v>74</v>
      </c>
      <c r="F973" t="s">
        <v>18723</v>
      </c>
      <c r="G973" t="s">
        <v>74</v>
      </c>
      <c r="H973" t="s">
        <v>74</v>
      </c>
      <c r="I973" t="s">
        <v>18724</v>
      </c>
      <c r="J973" t="s">
        <v>3356</v>
      </c>
      <c r="K973" t="s">
        <v>74</v>
      </c>
      <c r="L973" t="s">
        <v>74</v>
      </c>
      <c r="M973" t="s">
        <v>78</v>
      </c>
      <c r="N973" t="s">
        <v>3357</v>
      </c>
      <c r="O973" t="s">
        <v>74</v>
      </c>
      <c r="P973" t="s">
        <v>74</v>
      </c>
      <c r="Q973" t="s">
        <v>74</v>
      </c>
      <c r="R973" t="s">
        <v>74</v>
      </c>
      <c r="S973" t="s">
        <v>74</v>
      </c>
      <c r="T973" t="s">
        <v>74</v>
      </c>
      <c r="U973" t="s">
        <v>18725</v>
      </c>
      <c r="V973" t="s">
        <v>18726</v>
      </c>
      <c r="W973" t="s">
        <v>18727</v>
      </c>
      <c r="X973" t="s">
        <v>18728</v>
      </c>
      <c r="Y973" t="s">
        <v>18729</v>
      </c>
      <c r="Z973" t="s">
        <v>18730</v>
      </c>
      <c r="AA973" t="s">
        <v>74</v>
      </c>
      <c r="AB973" t="s">
        <v>74</v>
      </c>
      <c r="AC973" t="s">
        <v>18731</v>
      </c>
      <c r="AD973" t="s">
        <v>18732</v>
      </c>
      <c r="AE973" t="s">
        <v>18733</v>
      </c>
      <c r="AF973" t="s">
        <v>74</v>
      </c>
      <c r="AG973">
        <v>57</v>
      </c>
      <c r="AH973">
        <v>2</v>
      </c>
      <c r="AI973">
        <v>2</v>
      </c>
      <c r="AJ973">
        <v>1</v>
      </c>
      <c r="AK973">
        <v>9</v>
      </c>
      <c r="AL973" t="s">
        <v>2460</v>
      </c>
      <c r="AM973" t="s">
        <v>2461</v>
      </c>
      <c r="AN973" t="s">
        <v>2462</v>
      </c>
      <c r="AO973" t="s">
        <v>3368</v>
      </c>
      <c r="AP973" t="s">
        <v>3369</v>
      </c>
      <c r="AQ973" t="s">
        <v>74</v>
      </c>
      <c r="AR973" t="s">
        <v>3370</v>
      </c>
      <c r="AS973" t="s">
        <v>3371</v>
      </c>
      <c r="AT973" t="s">
        <v>18675</v>
      </c>
      <c r="AU973">
        <v>2022</v>
      </c>
      <c r="AV973">
        <v>14</v>
      </c>
      <c r="AW973">
        <v>6</v>
      </c>
      <c r="AX973" t="s">
        <v>74</v>
      </c>
      <c r="AY973" t="s">
        <v>74</v>
      </c>
      <c r="AZ973" t="s">
        <v>74</v>
      </c>
      <c r="BA973" t="s">
        <v>74</v>
      </c>
      <c r="BB973">
        <v>2737</v>
      </c>
      <c r="BC973">
        <v>2747</v>
      </c>
      <c r="BD973" t="s">
        <v>74</v>
      </c>
      <c r="BE973" t="s">
        <v>18734</v>
      </c>
      <c r="BF973" t="str">
        <f>HYPERLINK("http://dx.doi.org/10.5194/essd-14-2737-2022","http://dx.doi.org/10.5194/essd-14-2737-2022")</f>
        <v>http://dx.doi.org/10.5194/essd-14-2737-2022</v>
      </c>
      <c r="BG973" t="s">
        <v>74</v>
      </c>
      <c r="BH973" t="s">
        <v>74</v>
      </c>
      <c r="BI973">
        <v>11</v>
      </c>
      <c r="BJ973" t="s">
        <v>3373</v>
      </c>
      <c r="BK973" t="s">
        <v>100</v>
      </c>
      <c r="BL973" t="s">
        <v>3374</v>
      </c>
      <c r="BM973" t="s">
        <v>18735</v>
      </c>
      <c r="BN973" t="s">
        <v>74</v>
      </c>
      <c r="BO973" t="s">
        <v>3262</v>
      </c>
      <c r="BP973" t="s">
        <v>74</v>
      </c>
      <c r="BQ973" t="s">
        <v>74</v>
      </c>
      <c r="BR973" t="s">
        <v>103</v>
      </c>
      <c r="BS973" t="s">
        <v>18736</v>
      </c>
      <c r="BT973" t="str">
        <f>HYPERLINK("https%3A%2F%2Fwww.webofscience.com%2Fwos%2Fwoscc%2Ffull-record%2FWOS:000810910900001","View Full Record in Web of Science")</f>
        <v>View Full Record in Web of Science</v>
      </c>
    </row>
    <row r="974" spans="1:72" x14ac:dyDescent="0.15">
      <c r="A974" t="s">
        <v>72</v>
      </c>
      <c r="B974" t="s">
        <v>18737</v>
      </c>
      <c r="C974" t="s">
        <v>74</v>
      </c>
      <c r="D974" t="s">
        <v>74</v>
      </c>
      <c r="E974" t="s">
        <v>74</v>
      </c>
      <c r="F974" t="s">
        <v>18738</v>
      </c>
      <c r="G974" t="s">
        <v>74</v>
      </c>
      <c r="H974" t="s">
        <v>74</v>
      </c>
      <c r="I974" t="s">
        <v>18739</v>
      </c>
      <c r="J974" t="s">
        <v>14913</v>
      </c>
      <c r="K974" t="s">
        <v>74</v>
      </c>
      <c r="L974" t="s">
        <v>74</v>
      </c>
      <c r="M974" t="s">
        <v>78</v>
      </c>
      <c r="N974" t="s">
        <v>79</v>
      </c>
      <c r="O974" t="s">
        <v>74</v>
      </c>
      <c r="P974" t="s">
        <v>74</v>
      </c>
      <c r="Q974" t="s">
        <v>74</v>
      </c>
      <c r="R974" t="s">
        <v>74</v>
      </c>
      <c r="S974" t="s">
        <v>74</v>
      </c>
      <c r="T974" t="s">
        <v>18740</v>
      </c>
      <c r="U974" t="s">
        <v>18741</v>
      </c>
      <c r="V974" t="s">
        <v>18742</v>
      </c>
      <c r="W974" t="s">
        <v>18743</v>
      </c>
      <c r="X974" t="s">
        <v>18744</v>
      </c>
      <c r="Y974" t="s">
        <v>13068</v>
      </c>
      <c r="Z974" t="s">
        <v>18745</v>
      </c>
      <c r="AA974" t="s">
        <v>13070</v>
      </c>
      <c r="AB974" t="s">
        <v>18746</v>
      </c>
      <c r="AC974" t="s">
        <v>18747</v>
      </c>
      <c r="AD974" t="s">
        <v>18748</v>
      </c>
      <c r="AE974" t="s">
        <v>18749</v>
      </c>
      <c r="AF974" t="s">
        <v>74</v>
      </c>
      <c r="AG974">
        <v>85</v>
      </c>
      <c r="AH974">
        <v>2</v>
      </c>
      <c r="AI974">
        <v>2</v>
      </c>
      <c r="AJ974">
        <v>1</v>
      </c>
      <c r="AK974">
        <v>10</v>
      </c>
      <c r="AL974" t="s">
        <v>231</v>
      </c>
      <c r="AM974" t="s">
        <v>232</v>
      </c>
      <c r="AN974" t="s">
        <v>233</v>
      </c>
      <c r="AO974" t="s">
        <v>14925</v>
      </c>
      <c r="AP974" t="s">
        <v>14926</v>
      </c>
      <c r="AQ974" t="s">
        <v>74</v>
      </c>
      <c r="AR974" t="s">
        <v>14927</v>
      </c>
      <c r="AS974" t="s">
        <v>14928</v>
      </c>
      <c r="AT974" t="s">
        <v>184</v>
      </c>
      <c r="AU974">
        <v>2022</v>
      </c>
      <c r="AV974">
        <v>101</v>
      </c>
      <c r="AW974">
        <v>1</v>
      </c>
      <c r="AX974" t="s">
        <v>74</v>
      </c>
      <c r="AY974" t="s">
        <v>74</v>
      </c>
      <c r="AZ974" t="s">
        <v>74</v>
      </c>
      <c r="BA974" t="s">
        <v>74</v>
      </c>
      <c r="BB974">
        <v>289</v>
      </c>
      <c r="BC974">
        <v>301</v>
      </c>
      <c r="BD974" t="s">
        <v>74</v>
      </c>
      <c r="BE974" t="s">
        <v>18750</v>
      </c>
      <c r="BF974" t="str">
        <f>HYPERLINK("http://dx.doi.org/10.1111/jfb.15120","http://dx.doi.org/10.1111/jfb.15120")</f>
        <v>http://dx.doi.org/10.1111/jfb.15120</v>
      </c>
      <c r="BG974" t="s">
        <v>74</v>
      </c>
      <c r="BH974" t="s">
        <v>17025</v>
      </c>
      <c r="BI974">
        <v>13</v>
      </c>
      <c r="BJ974" t="s">
        <v>1193</v>
      </c>
      <c r="BK974" t="s">
        <v>100</v>
      </c>
      <c r="BL974" t="s">
        <v>1193</v>
      </c>
      <c r="BM974" t="s">
        <v>18751</v>
      </c>
      <c r="BN974">
        <v>35633144</v>
      </c>
      <c r="BO974" t="s">
        <v>74</v>
      </c>
      <c r="BP974" t="s">
        <v>74</v>
      </c>
      <c r="BQ974" t="s">
        <v>74</v>
      </c>
      <c r="BR974" t="s">
        <v>103</v>
      </c>
      <c r="BS974" t="s">
        <v>18752</v>
      </c>
      <c r="BT974" t="str">
        <f>HYPERLINK("https%3A%2F%2Fwww.webofscience.com%2Fwos%2Fwoscc%2Ffull-record%2FWOS:000811079600001","View Full Record in Web of Science")</f>
        <v>View Full Record in Web of Science</v>
      </c>
    </row>
    <row r="975" spans="1:72" x14ac:dyDescent="0.15">
      <c r="A975" t="s">
        <v>72</v>
      </c>
      <c r="B975" t="s">
        <v>18753</v>
      </c>
      <c r="C975" t="s">
        <v>74</v>
      </c>
      <c r="D975" t="s">
        <v>74</v>
      </c>
      <c r="E975" t="s">
        <v>74</v>
      </c>
      <c r="F975" t="s">
        <v>18754</v>
      </c>
      <c r="G975" t="s">
        <v>74</v>
      </c>
      <c r="H975" t="s">
        <v>74</v>
      </c>
      <c r="I975" t="s">
        <v>18755</v>
      </c>
      <c r="J975" t="s">
        <v>4327</v>
      </c>
      <c r="K975" t="s">
        <v>74</v>
      </c>
      <c r="L975" t="s">
        <v>74</v>
      </c>
      <c r="M975" t="s">
        <v>78</v>
      </c>
      <c r="N975" t="s">
        <v>79</v>
      </c>
      <c r="O975" t="s">
        <v>74</v>
      </c>
      <c r="P975" t="s">
        <v>74</v>
      </c>
      <c r="Q975" t="s">
        <v>74</v>
      </c>
      <c r="R975" t="s">
        <v>74</v>
      </c>
      <c r="S975" t="s">
        <v>74</v>
      </c>
      <c r="T975" t="s">
        <v>18756</v>
      </c>
      <c r="U975" t="s">
        <v>18757</v>
      </c>
      <c r="V975" t="s">
        <v>18758</v>
      </c>
      <c r="W975" t="s">
        <v>18759</v>
      </c>
      <c r="X975" t="s">
        <v>18760</v>
      </c>
      <c r="Y975" t="s">
        <v>18761</v>
      </c>
      <c r="Z975" t="s">
        <v>18762</v>
      </c>
      <c r="AA975" t="s">
        <v>18763</v>
      </c>
      <c r="AB975" t="s">
        <v>18764</v>
      </c>
      <c r="AC975" t="s">
        <v>18765</v>
      </c>
      <c r="AD975" t="s">
        <v>18766</v>
      </c>
      <c r="AE975" t="s">
        <v>18767</v>
      </c>
      <c r="AF975" t="s">
        <v>74</v>
      </c>
      <c r="AG975">
        <v>75</v>
      </c>
      <c r="AH975">
        <v>6</v>
      </c>
      <c r="AI975">
        <v>7</v>
      </c>
      <c r="AJ975">
        <v>3</v>
      </c>
      <c r="AK975">
        <v>21</v>
      </c>
      <c r="AL975" t="s">
        <v>178</v>
      </c>
      <c r="AM975" t="s">
        <v>450</v>
      </c>
      <c r="AN975" t="s">
        <v>668</v>
      </c>
      <c r="AO975" t="s">
        <v>4340</v>
      </c>
      <c r="AP975" t="s">
        <v>4341</v>
      </c>
      <c r="AQ975" t="s">
        <v>74</v>
      </c>
      <c r="AR975" t="s">
        <v>4342</v>
      </c>
      <c r="AS975" t="s">
        <v>4343</v>
      </c>
      <c r="AT975" t="s">
        <v>352</v>
      </c>
      <c r="AU975">
        <v>2022</v>
      </c>
      <c r="AV975">
        <v>45</v>
      </c>
      <c r="AW975">
        <v>6</v>
      </c>
      <c r="AX975" t="s">
        <v>74</v>
      </c>
      <c r="AY975" t="s">
        <v>74</v>
      </c>
      <c r="AZ975" t="s">
        <v>74</v>
      </c>
      <c r="BA975" t="s">
        <v>74</v>
      </c>
      <c r="BB975">
        <v>1059</v>
      </c>
      <c r="BC975">
        <v>1076</v>
      </c>
      <c r="BD975" t="s">
        <v>74</v>
      </c>
      <c r="BE975" t="s">
        <v>18768</v>
      </c>
      <c r="BF975" t="str">
        <f>HYPERLINK("http://dx.doi.org/10.1007/s00300-022-03057-w","http://dx.doi.org/10.1007/s00300-022-03057-w")</f>
        <v>http://dx.doi.org/10.1007/s00300-022-03057-w</v>
      </c>
      <c r="BG975" t="s">
        <v>74</v>
      </c>
      <c r="BH975" t="s">
        <v>17025</v>
      </c>
      <c r="BI975">
        <v>18</v>
      </c>
      <c r="BJ975" t="s">
        <v>1169</v>
      </c>
      <c r="BK975" t="s">
        <v>100</v>
      </c>
      <c r="BL975" t="s">
        <v>1170</v>
      </c>
      <c r="BM975" t="s">
        <v>17759</v>
      </c>
      <c r="BN975" t="s">
        <v>74</v>
      </c>
      <c r="BO975" t="s">
        <v>74</v>
      </c>
      <c r="BP975" t="s">
        <v>74</v>
      </c>
      <c r="BQ975" t="s">
        <v>74</v>
      </c>
      <c r="BR975" t="s">
        <v>103</v>
      </c>
      <c r="BS975" t="s">
        <v>18769</v>
      </c>
      <c r="BT975" t="str">
        <f>HYPERLINK("https%3A%2F%2Fwww.webofscience.com%2Fwos%2Fwoscc%2Ffull-record%2FWOS:000811421100001","View Full Record in Web of Science")</f>
        <v>View Full Record in Web of Science</v>
      </c>
    </row>
    <row r="976" spans="1:72" x14ac:dyDescent="0.15">
      <c r="A976" t="s">
        <v>72</v>
      </c>
      <c r="B976" t="s">
        <v>18770</v>
      </c>
      <c r="C976" t="s">
        <v>74</v>
      </c>
      <c r="D976" t="s">
        <v>74</v>
      </c>
      <c r="E976" t="s">
        <v>74</v>
      </c>
      <c r="F976" t="s">
        <v>18771</v>
      </c>
      <c r="G976" t="s">
        <v>74</v>
      </c>
      <c r="H976" t="s">
        <v>74</v>
      </c>
      <c r="I976" t="s">
        <v>18772</v>
      </c>
      <c r="J976" t="s">
        <v>1839</v>
      </c>
      <c r="K976" t="s">
        <v>74</v>
      </c>
      <c r="L976" t="s">
        <v>74</v>
      </c>
      <c r="M976" t="s">
        <v>78</v>
      </c>
      <c r="N976" t="s">
        <v>79</v>
      </c>
      <c r="O976" t="s">
        <v>74</v>
      </c>
      <c r="P976" t="s">
        <v>74</v>
      </c>
      <c r="Q976" t="s">
        <v>74</v>
      </c>
      <c r="R976" t="s">
        <v>74</v>
      </c>
      <c r="S976" t="s">
        <v>74</v>
      </c>
      <c r="T976" t="s">
        <v>18773</v>
      </c>
      <c r="U976" t="s">
        <v>18774</v>
      </c>
      <c r="V976" t="s">
        <v>18775</v>
      </c>
      <c r="W976" t="s">
        <v>18776</v>
      </c>
      <c r="X976" t="s">
        <v>18777</v>
      </c>
      <c r="Y976" t="s">
        <v>18778</v>
      </c>
      <c r="Z976" t="s">
        <v>18779</v>
      </c>
      <c r="AA976" t="s">
        <v>18780</v>
      </c>
      <c r="AB976" t="s">
        <v>18781</v>
      </c>
      <c r="AC976" t="s">
        <v>18782</v>
      </c>
      <c r="AD976" t="s">
        <v>18783</v>
      </c>
      <c r="AE976" t="s">
        <v>18784</v>
      </c>
      <c r="AF976" t="s">
        <v>74</v>
      </c>
      <c r="AG976">
        <v>61</v>
      </c>
      <c r="AH976">
        <v>3</v>
      </c>
      <c r="AI976">
        <v>3</v>
      </c>
      <c r="AJ976">
        <v>5</v>
      </c>
      <c r="AK976">
        <v>26</v>
      </c>
      <c r="AL976" t="s">
        <v>1065</v>
      </c>
      <c r="AM976" t="s">
        <v>1066</v>
      </c>
      <c r="AN976" t="s">
        <v>18785</v>
      </c>
      <c r="AO976" t="s">
        <v>1851</v>
      </c>
      <c r="AP976" t="s">
        <v>1852</v>
      </c>
      <c r="AQ976" t="s">
        <v>74</v>
      </c>
      <c r="AR976" t="s">
        <v>1853</v>
      </c>
      <c r="AS976" t="s">
        <v>1854</v>
      </c>
      <c r="AT976" t="s">
        <v>18675</v>
      </c>
      <c r="AU976">
        <v>2022</v>
      </c>
      <c r="AV976">
        <v>35</v>
      </c>
      <c r="AW976">
        <v>12</v>
      </c>
      <c r="AX976" t="s">
        <v>74</v>
      </c>
      <c r="AY976" t="s">
        <v>74</v>
      </c>
      <c r="AZ976" t="s">
        <v>74</v>
      </c>
      <c r="BA976" t="s">
        <v>74</v>
      </c>
      <c r="BB976">
        <v>3643</v>
      </c>
      <c r="BC976">
        <v>3657</v>
      </c>
      <c r="BD976" t="s">
        <v>74</v>
      </c>
      <c r="BE976" t="s">
        <v>18786</v>
      </c>
      <c r="BF976" t="str">
        <f>HYPERLINK("http://dx.doi.org/10.1175/JCLI-D-21-0834.1","http://dx.doi.org/10.1175/JCLI-D-21-0834.1")</f>
        <v>http://dx.doi.org/10.1175/JCLI-D-21-0834.1</v>
      </c>
      <c r="BG976" t="s">
        <v>74</v>
      </c>
      <c r="BH976" t="s">
        <v>74</v>
      </c>
      <c r="BI976">
        <v>15</v>
      </c>
      <c r="BJ976" t="s">
        <v>457</v>
      </c>
      <c r="BK976" t="s">
        <v>100</v>
      </c>
      <c r="BL976" t="s">
        <v>457</v>
      </c>
      <c r="BM976" t="s">
        <v>18787</v>
      </c>
      <c r="BN976" t="s">
        <v>74</v>
      </c>
      <c r="BO976" t="s">
        <v>74</v>
      </c>
      <c r="BP976" t="s">
        <v>74</v>
      </c>
      <c r="BQ976" t="s">
        <v>74</v>
      </c>
      <c r="BR976" t="s">
        <v>103</v>
      </c>
      <c r="BS976" t="s">
        <v>18788</v>
      </c>
      <c r="BT976" t="str">
        <f>HYPERLINK("https%3A%2F%2Fwww.webofscience.com%2Fwos%2Fwoscc%2Ffull-record%2FWOS:000808012000003","View Full Record in Web of Science")</f>
        <v>View Full Record in Web of Science</v>
      </c>
    </row>
    <row r="977" spans="1:72" x14ac:dyDescent="0.15">
      <c r="A977" t="s">
        <v>72</v>
      </c>
      <c r="B977" t="s">
        <v>18789</v>
      </c>
      <c r="C977" t="s">
        <v>74</v>
      </c>
      <c r="D977" t="s">
        <v>74</v>
      </c>
      <c r="E977" t="s">
        <v>74</v>
      </c>
      <c r="F977" t="s">
        <v>18790</v>
      </c>
      <c r="G977" t="s">
        <v>74</v>
      </c>
      <c r="H977" t="s">
        <v>74</v>
      </c>
      <c r="I977" t="s">
        <v>18791</v>
      </c>
      <c r="J977" t="s">
        <v>1839</v>
      </c>
      <c r="K977" t="s">
        <v>74</v>
      </c>
      <c r="L977" t="s">
        <v>74</v>
      </c>
      <c r="M977" t="s">
        <v>78</v>
      </c>
      <c r="N977" t="s">
        <v>79</v>
      </c>
      <c r="O977" t="s">
        <v>74</v>
      </c>
      <c r="P977" t="s">
        <v>74</v>
      </c>
      <c r="Q977" t="s">
        <v>74</v>
      </c>
      <c r="R977" t="s">
        <v>74</v>
      </c>
      <c r="S977" t="s">
        <v>74</v>
      </c>
      <c r="T977" t="s">
        <v>18792</v>
      </c>
      <c r="U977" t="s">
        <v>18793</v>
      </c>
      <c r="V977" t="s">
        <v>18794</v>
      </c>
      <c r="W977" t="s">
        <v>18795</v>
      </c>
      <c r="X977" t="s">
        <v>18796</v>
      </c>
      <c r="Y977" t="s">
        <v>18797</v>
      </c>
      <c r="Z977" t="s">
        <v>18798</v>
      </c>
      <c r="AA977" t="s">
        <v>18799</v>
      </c>
      <c r="AB977" t="s">
        <v>18800</v>
      </c>
      <c r="AC977" t="s">
        <v>18801</v>
      </c>
      <c r="AD977" t="s">
        <v>18802</v>
      </c>
      <c r="AE977" t="s">
        <v>18803</v>
      </c>
      <c r="AF977" t="s">
        <v>74</v>
      </c>
      <c r="AG977">
        <v>103</v>
      </c>
      <c r="AH977">
        <v>6</v>
      </c>
      <c r="AI977">
        <v>7</v>
      </c>
      <c r="AJ977">
        <v>2</v>
      </c>
      <c r="AK977">
        <v>3</v>
      </c>
      <c r="AL977" t="s">
        <v>1065</v>
      </c>
      <c r="AM977" t="s">
        <v>1066</v>
      </c>
      <c r="AN977" t="s">
        <v>18785</v>
      </c>
      <c r="AO977" t="s">
        <v>1851</v>
      </c>
      <c r="AP977" t="s">
        <v>1852</v>
      </c>
      <c r="AQ977" t="s">
        <v>74</v>
      </c>
      <c r="AR977" t="s">
        <v>1853</v>
      </c>
      <c r="AS977" t="s">
        <v>1854</v>
      </c>
      <c r="AT977" t="s">
        <v>18675</v>
      </c>
      <c r="AU977">
        <v>2022</v>
      </c>
      <c r="AV977">
        <v>35</v>
      </c>
      <c r="AW977">
        <v>12</v>
      </c>
      <c r="AX977" t="s">
        <v>74</v>
      </c>
      <c r="AY977" t="s">
        <v>74</v>
      </c>
      <c r="AZ977" t="s">
        <v>74</v>
      </c>
      <c r="BA977" t="s">
        <v>74</v>
      </c>
      <c r="BB977">
        <v>3803</v>
      </c>
      <c r="BC977">
        <v>3818</v>
      </c>
      <c r="BD977" t="s">
        <v>74</v>
      </c>
      <c r="BE977" t="s">
        <v>18804</v>
      </c>
      <c r="BF977" t="str">
        <f>HYPERLINK("http://dx.doi.org/10.1175/JCLI-D-21-0323.1","http://dx.doi.org/10.1175/JCLI-D-21-0323.1")</f>
        <v>http://dx.doi.org/10.1175/JCLI-D-21-0323.1</v>
      </c>
      <c r="BG977" t="s">
        <v>74</v>
      </c>
      <c r="BH977" t="s">
        <v>74</v>
      </c>
      <c r="BI977">
        <v>16</v>
      </c>
      <c r="BJ977" t="s">
        <v>457</v>
      </c>
      <c r="BK977" t="s">
        <v>100</v>
      </c>
      <c r="BL977" t="s">
        <v>457</v>
      </c>
      <c r="BM977" t="s">
        <v>18787</v>
      </c>
      <c r="BN977" t="s">
        <v>74</v>
      </c>
      <c r="BO977" t="s">
        <v>404</v>
      </c>
      <c r="BP977" t="s">
        <v>74</v>
      </c>
      <c r="BQ977" t="s">
        <v>74</v>
      </c>
      <c r="BR977" t="s">
        <v>103</v>
      </c>
      <c r="BS977" t="s">
        <v>18805</v>
      </c>
      <c r="BT977" t="str">
        <f>HYPERLINK("https%3A%2F%2Fwww.webofscience.com%2Fwos%2Fwoscc%2Ffull-record%2FWOS:000808012000011","View Full Record in Web of Science")</f>
        <v>View Full Record in Web of Science</v>
      </c>
    </row>
    <row r="978" spans="1:72" x14ac:dyDescent="0.15">
      <c r="A978" t="s">
        <v>72</v>
      </c>
      <c r="B978" t="s">
        <v>18806</v>
      </c>
      <c r="C978" t="s">
        <v>74</v>
      </c>
      <c r="D978" t="s">
        <v>74</v>
      </c>
      <c r="E978" t="s">
        <v>74</v>
      </c>
      <c r="F978" t="s">
        <v>18807</v>
      </c>
      <c r="G978" t="s">
        <v>74</v>
      </c>
      <c r="H978" t="s">
        <v>74</v>
      </c>
      <c r="I978" t="s">
        <v>18808</v>
      </c>
      <c r="J978" t="s">
        <v>18809</v>
      </c>
      <c r="K978" t="s">
        <v>74</v>
      </c>
      <c r="L978" t="s">
        <v>74</v>
      </c>
      <c r="M978" t="s">
        <v>78</v>
      </c>
      <c r="N978" t="s">
        <v>79</v>
      </c>
      <c r="O978" t="s">
        <v>74</v>
      </c>
      <c r="P978" t="s">
        <v>74</v>
      </c>
      <c r="Q978" t="s">
        <v>74</v>
      </c>
      <c r="R978" t="s">
        <v>74</v>
      </c>
      <c r="S978" t="s">
        <v>74</v>
      </c>
      <c r="T978" t="s">
        <v>18810</v>
      </c>
      <c r="U978" t="s">
        <v>18811</v>
      </c>
      <c r="V978" t="s">
        <v>18812</v>
      </c>
      <c r="W978" t="s">
        <v>18813</v>
      </c>
      <c r="X978" t="s">
        <v>18814</v>
      </c>
      <c r="Y978" t="s">
        <v>18815</v>
      </c>
      <c r="Z978" t="s">
        <v>18816</v>
      </c>
      <c r="AA978" t="s">
        <v>74</v>
      </c>
      <c r="AB978" t="s">
        <v>74</v>
      </c>
      <c r="AC978" t="s">
        <v>18817</v>
      </c>
      <c r="AD978" t="s">
        <v>18818</v>
      </c>
      <c r="AE978" t="s">
        <v>18819</v>
      </c>
      <c r="AF978" t="s">
        <v>74</v>
      </c>
      <c r="AG978">
        <v>25</v>
      </c>
      <c r="AH978">
        <v>0</v>
      </c>
      <c r="AI978">
        <v>0</v>
      </c>
      <c r="AJ978">
        <v>0</v>
      </c>
      <c r="AK978">
        <v>9</v>
      </c>
      <c r="AL978" t="s">
        <v>2249</v>
      </c>
      <c r="AM978" t="s">
        <v>90</v>
      </c>
      <c r="AN978" t="s">
        <v>2250</v>
      </c>
      <c r="AO978" t="s">
        <v>18820</v>
      </c>
      <c r="AP978" t="s">
        <v>74</v>
      </c>
      <c r="AQ978" t="s">
        <v>74</v>
      </c>
      <c r="AR978" t="s">
        <v>18821</v>
      </c>
      <c r="AS978" t="s">
        <v>18822</v>
      </c>
      <c r="AT978" t="s">
        <v>5386</v>
      </c>
      <c r="AU978">
        <v>2022</v>
      </c>
      <c r="AV978">
        <v>50</v>
      </c>
      <c r="AW978" t="s">
        <v>74</v>
      </c>
      <c r="AX978" t="s">
        <v>74</v>
      </c>
      <c r="AY978" t="s">
        <v>74</v>
      </c>
      <c r="AZ978" t="s">
        <v>186</v>
      </c>
      <c r="BA978" t="s">
        <v>74</v>
      </c>
      <c r="BB978" t="s">
        <v>74</v>
      </c>
      <c r="BC978" t="s">
        <v>74</v>
      </c>
      <c r="BD978">
        <v>100578</v>
      </c>
      <c r="BE978" t="s">
        <v>18823</v>
      </c>
      <c r="BF978" t="str">
        <f>HYPERLINK("http://dx.doi.org/10.1016/j.spasta.2021.100578","http://dx.doi.org/10.1016/j.spasta.2021.100578")</f>
        <v>http://dx.doi.org/10.1016/j.spasta.2021.100578</v>
      </c>
      <c r="BG978" t="s">
        <v>74</v>
      </c>
      <c r="BH978" t="s">
        <v>17025</v>
      </c>
      <c r="BI978">
        <v>11</v>
      </c>
      <c r="BJ978" t="s">
        <v>18824</v>
      </c>
      <c r="BK978" t="s">
        <v>100</v>
      </c>
      <c r="BL978" t="s">
        <v>18825</v>
      </c>
      <c r="BM978" t="s">
        <v>18826</v>
      </c>
      <c r="BN978" t="s">
        <v>74</v>
      </c>
      <c r="BO978" t="s">
        <v>2512</v>
      </c>
      <c r="BP978" t="s">
        <v>74</v>
      </c>
      <c r="BQ978" t="s">
        <v>74</v>
      </c>
      <c r="BR978" t="s">
        <v>103</v>
      </c>
      <c r="BS978" t="s">
        <v>18827</v>
      </c>
      <c r="BT978" t="str">
        <f>HYPERLINK("https%3A%2F%2Fwww.webofscience.com%2Fwos%2Fwoscc%2Ffull-record%2FWOS:000822683400019","View Full Record in Web of Science")</f>
        <v>View Full Record in Web of Science</v>
      </c>
    </row>
    <row r="979" spans="1:72" x14ac:dyDescent="0.15">
      <c r="A979" t="s">
        <v>72</v>
      </c>
      <c r="B979" t="s">
        <v>18828</v>
      </c>
      <c r="C979" t="s">
        <v>74</v>
      </c>
      <c r="D979" t="s">
        <v>74</v>
      </c>
      <c r="E979" t="s">
        <v>74</v>
      </c>
      <c r="F979" t="s">
        <v>18829</v>
      </c>
      <c r="G979" t="s">
        <v>74</v>
      </c>
      <c r="H979" t="s">
        <v>74</v>
      </c>
      <c r="I979" t="s">
        <v>18830</v>
      </c>
      <c r="J979" t="s">
        <v>18831</v>
      </c>
      <c r="K979" t="s">
        <v>74</v>
      </c>
      <c r="L979" t="s">
        <v>74</v>
      </c>
      <c r="M979" t="s">
        <v>78</v>
      </c>
      <c r="N979" t="s">
        <v>3357</v>
      </c>
      <c r="O979" t="s">
        <v>74</v>
      </c>
      <c r="P979" t="s">
        <v>74</v>
      </c>
      <c r="Q979" t="s">
        <v>74</v>
      </c>
      <c r="R979" t="s">
        <v>74</v>
      </c>
      <c r="S979" t="s">
        <v>74</v>
      </c>
      <c r="T979" t="s">
        <v>18832</v>
      </c>
      <c r="U979" t="s">
        <v>18833</v>
      </c>
      <c r="V979" t="s">
        <v>18834</v>
      </c>
      <c r="W979" t="s">
        <v>18835</v>
      </c>
      <c r="X979" t="s">
        <v>18836</v>
      </c>
      <c r="Y979" t="s">
        <v>18837</v>
      </c>
      <c r="Z979" t="s">
        <v>18838</v>
      </c>
      <c r="AA979" t="s">
        <v>18839</v>
      </c>
      <c r="AB979" t="s">
        <v>18840</v>
      </c>
      <c r="AC979" t="s">
        <v>74</v>
      </c>
      <c r="AD979" t="s">
        <v>74</v>
      </c>
      <c r="AE979" t="s">
        <v>74</v>
      </c>
      <c r="AF979" t="s">
        <v>74</v>
      </c>
      <c r="AG979">
        <v>37</v>
      </c>
      <c r="AH979">
        <v>1</v>
      </c>
      <c r="AI979">
        <v>1</v>
      </c>
      <c r="AJ979">
        <v>0</v>
      </c>
      <c r="AK979">
        <v>2</v>
      </c>
      <c r="AL979" t="s">
        <v>18841</v>
      </c>
      <c r="AM979" t="s">
        <v>18842</v>
      </c>
      <c r="AN979" t="s">
        <v>18843</v>
      </c>
      <c r="AO979" t="s">
        <v>18844</v>
      </c>
      <c r="AP979" t="s">
        <v>18845</v>
      </c>
      <c r="AQ979" t="s">
        <v>74</v>
      </c>
      <c r="AR979" t="s">
        <v>18846</v>
      </c>
      <c r="AS979" t="s">
        <v>18847</v>
      </c>
      <c r="AT979" t="s">
        <v>18848</v>
      </c>
      <c r="AU979">
        <v>2022</v>
      </c>
      <c r="AV979">
        <v>10</v>
      </c>
      <c r="AW979" t="s">
        <v>74</v>
      </c>
      <c r="AX979" t="s">
        <v>74</v>
      </c>
      <c r="AY979" t="s">
        <v>74</v>
      </c>
      <c r="AZ979" t="s">
        <v>74</v>
      </c>
      <c r="BA979" t="s">
        <v>74</v>
      </c>
      <c r="BB979" t="s">
        <v>74</v>
      </c>
      <c r="BC979" t="s">
        <v>74</v>
      </c>
      <c r="BD979" t="s">
        <v>18849</v>
      </c>
      <c r="BE979" t="s">
        <v>18850</v>
      </c>
      <c r="BF979" t="str">
        <f>HYPERLINK("http://dx.doi.org/10.3897/BDJ.10.e79353","http://dx.doi.org/10.3897/BDJ.10.e79353")</f>
        <v>http://dx.doi.org/10.3897/BDJ.10.e79353</v>
      </c>
      <c r="BG979" t="s">
        <v>74</v>
      </c>
      <c r="BH979" t="s">
        <v>74</v>
      </c>
      <c r="BI979">
        <v>21</v>
      </c>
      <c r="BJ979" t="s">
        <v>7792</v>
      </c>
      <c r="BK979" t="s">
        <v>100</v>
      </c>
      <c r="BL979" t="s">
        <v>7793</v>
      </c>
      <c r="BM979" t="s">
        <v>18851</v>
      </c>
      <c r="BN979">
        <v>36761565</v>
      </c>
      <c r="BO979" t="s">
        <v>3537</v>
      </c>
      <c r="BP979" t="s">
        <v>74</v>
      </c>
      <c r="BQ979" t="s">
        <v>74</v>
      </c>
      <c r="BR979" t="s">
        <v>103</v>
      </c>
      <c r="BS979" t="s">
        <v>18852</v>
      </c>
      <c r="BT979" t="str">
        <f>HYPERLINK("https%3A%2F%2Fwww.webofscience.com%2Fwos%2Fwoscc%2Ffull-record%2FWOS:000814692700001","View Full Record in Web of Science")</f>
        <v>View Full Record in Web of Science</v>
      </c>
    </row>
    <row r="980" spans="1:72" x14ac:dyDescent="0.15">
      <c r="A980" t="s">
        <v>72</v>
      </c>
      <c r="B980" t="s">
        <v>18853</v>
      </c>
      <c r="C980" t="s">
        <v>74</v>
      </c>
      <c r="D980" t="s">
        <v>74</v>
      </c>
      <c r="E980" t="s">
        <v>74</v>
      </c>
      <c r="F980" t="s">
        <v>18854</v>
      </c>
      <c r="G980" t="s">
        <v>74</v>
      </c>
      <c r="H980" t="s">
        <v>74</v>
      </c>
      <c r="I980" t="s">
        <v>18855</v>
      </c>
      <c r="J980" t="s">
        <v>137</v>
      </c>
      <c r="K980" t="s">
        <v>74</v>
      </c>
      <c r="L980" t="s">
        <v>74</v>
      </c>
      <c r="M980" t="s">
        <v>78</v>
      </c>
      <c r="N980" t="s">
        <v>79</v>
      </c>
      <c r="O980" t="s">
        <v>74</v>
      </c>
      <c r="P980" t="s">
        <v>74</v>
      </c>
      <c r="Q980" t="s">
        <v>74</v>
      </c>
      <c r="R980" t="s">
        <v>74</v>
      </c>
      <c r="S980" t="s">
        <v>74</v>
      </c>
      <c r="T980" t="s">
        <v>74</v>
      </c>
      <c r="U980" t="s">
        <v>74</v>
      </c>
      <c r="V980" t="s">
        <v>18856</v>
      </c>
      <c r="W980" t="s">
        <v>18857</v>
      </c>
      <c r="X980" t="s">
        <v>3385</v>
      </c>
      <c r="Y980" t="s">
        <v>18858</v>
      </c>
      <c r="Z980" t="s">
        <v>18859</v>
      </c>
      <c r="AA980" t="s">
        <v>74</v>
      </c>
      <c r="AB980" t="s">
        <v>74</v>
      </c>
      <c r="AC980" t="s">
        <v>18860</v>
      </c>
      <c r="AD980" t="s">
        <v>6002</v>
      </c>
      <c r="AE980" t="s">
        <v>74</v>
      </c>
      <c r="AF980" t="s">
        <v>74</v>
      </c>
      <c r="AG980">
        <v>9</v>
      </c>
      <c r="AH980">
        <v>1</v>
      </c>
      <c r="AI980">
        <v>1</v>
      </c>
      <c r="AJ980">
        <v>3</v>
      </c>
      <c r="AK980">
        <v>18</v>
      </c>
      <c r="AL980" t="s">
        <v>149</v>
      </c>
      <c r="AM980" t="s">
        <v>150</v>
      </c>
      <c r="AN980" t="s">
        <v>151</v>
      </c>
      <c r="AO980" t="s">
        <v>74</v>
      </c>
      <c r="AP980" t="s">
        <v>152</v>
      </c>
      <c r="AQ980" t="s">
        <v>74</v>
      </c>
      <c r="AR980" t="s">
        <v>153</v>
      </c>
      <c r="AS980" t="s">
        <v>154</v>
      </c>
      <c r="AT980" t="s">
        <v>18848</v>
      </c>
      <c r="AU980">
        <v>2022</v>
      </c>
      <c r="AV980">
        <v>13</v>
      </c>
      <c r="AW980">
        <v>1</v>
      </c>
      <c r="AX980" t="s">
        <v>74</v>
      </c>
      <c r="AY980" t="s">
        <v>74</v>
      </c>
      <c r="AZ980" t="s">
        <v>74</v>
      </c>
      <c r="BA980" t="s">
        <v>74</v>
      </c>
      <c r="BB980" t="s">
        <v>74</v>
      </c>
      <c r="BC980" t="s">
        <v>74</v>
      </c>
      <c r="BD980">
        <v>3400</v>
      </c>
      <c r="BE980" t="s">
        <v>18861</v>
      </c>
      <c r="BF980" t="str">
        <f>HYPERLINK("http://dx.doi.org/10.1038/s41467-022-31152-3","http://dx.doi.org/10.1038/s41467-022-31152-3")</f>
        <v>http://dx.doi.org/10.1038/s41467-022-31152-3</v>
      </c>
      <c r="BG980" t="s">
        <v>74</v>
      </c>
      <c r="BH980" t="s">
        <v>74</v>
      </c>
      <c r="BI980">
        <v>3</v>
      </c>
      <c r="BJ980" t="s">
        <v>156</v>
      </c>
      <c r="BK980" t="s">
        <v>100</v>
      </c>
      <c r="BL980" t="s">
        <v>157</v>
      </c>
      <c r="BM980" t="s">
        <v>18862</v>
      </c>
      <c r="BN980">
        <v>35701425</v>
      </c>
      <c r="BO980" t="s">
        <v>1655</v>
      </c>
      <c r="BP980" t="s">
        <v>74</v>
      </c>
      <c r="BQ980" t="s">
        <v>74</v>
      </c>
      <c r="BR980" t="s">
        <v>103</v>
      </c>
      <c r="BS980" t="s">
        <v>18863</v>
      </c>
      <c r="BT980" t="str">
        <f>HYPERLINK("https%3A%2F%2Fwww.webofscience.com%2Fwos%2Fwoscc%2Ffull-record%2FWOS:000811535600008","View Full Record in Web of Science")</f>
        <v>View Full Record in Web of Science</v>
      </c>
    </row>
    <row r="981" spans="1:72" x14ac:dyDescent="0.15">
      <c r="A981" t="s">
        <v>72</v>
      </c>
      <c r="B981" t="s">
        <v>18864</v>
      </c>
      <c r="C981" t="s">
        <v>74</v>
      </c>
      <c r="D981" t="s">
        <v>74</v>
      </c>
      <c r="E981" t="s">
        <v>74</v>
      </c>
      <c r="F981" t="s">
        <v>18865</v>
      </c>
      <c r="G981" t="s">
        <v>74</v>
      </c>
      <c r="H981" t="s">
        <v>74</v>
      </c>
      <c r="I981" t="s">
        <v>18866</v>
      </c>
      <c r="J981" t="s">
        <v>137</v>
      </c>
      <c r="K981" t="s">
        <v>74</v>
      </c>
      <c r="L981" t="s">
        <v>74</v>
      </c>
      <c r="M981" t="s">
        <v>78</v>
      </c>
      <c r="N981" t="s">
        <v>79</v>
      </c>
      <c r="O981" t="s">
        <v>74</v>
      </c>
      <c r="P981" t="s">
        <v>74</v>
      </c>
      <c r="Q981" t="s">
        <v>74</v>
      </c>
      <c r="R981" t="s">
        <v>74</v>
      </c>
      <c r="S981" t="s">
        <v>74</v>
      </c>
      <c r="T981" t="s">
        <v>74</v>
      </c>
      <c r="U981" t="s">
        <v>18867</v>
      </c>
      <c r="V981" t="s">
        <v>18868</v>
      </c>
      <c r="W981" t="s">
        <v>18869</v>
      </c>
      <c r="X981" t="s">
        <v>18870</v>
      </c>
      <c r="Y981" t="s">
        <v>18871</v>
      </c>
      <c r="Z981" t="s">
        <v>18872</v>
      </c>
      <c r="AA981" t="s">
        <v>18873</v>
      </c>
      <c r="AB981" t="s">
        <v>18874</v>
      </c>
      <c r="AC981" t="s">
        <v>18875</v>
      </c>
      <c r="AD981" t="s">
        <v>18876</v>
      </c>
      <c r="AE981" t="s">
        <v>18877</v>
      </c>
      <c r="AF981" t="s">
        <v>74</v>
      </c>
      <c r="AG981">
        <v>87</v>
      </c>
      <c r="AH981">
        <v>12</v>
      </c>
      <c r="AI981">
        <v>12</v>
      </c>
      <c r="AJ981">
        <v>1</v>
      </c>
      <c r="AK981">
        <v>11</v>
      </c>
      <c r="AL981" t="s">
        <v>149</v>
      </c>
      <c r="AM981" t="s">
        <v>150</v>
      </c>
      <c r="AN981" t="s">
        <v>151</v>
      </c>
      <c r="AO981" t="s">
        <v>74</v>
      </c>
      <c r="AP981" t="s">
        <v>152</v>
      </c>
      <c r="AQ981" t="s">
        <v>74</v>
      </c>
      <c r="AR981" t="s">
        <v>153</v>
      </c>
      <c r="AS981" t="s">
        <v>154</v>
      </c>
      <c r="AT981" t="s">
        <v>18848</v>
      </c>
      <c r="AU981">
        <v>2022</v>
      </c>
      <c r="AV981">
        <v>13</v>
      </c>
      <c r="AW981">
        <v>1</v>
      </c>
      <c r="AX981" t="s">
        <v>74</v>
      </c>
      <c r="AY981" t="s">
        <v>74</v>
      </c>
      <c r="AZ981" t="s">
        <v>74</v>
      </c>
      <c r="BA981" t="s">
        <v>74</v>
      </c>
      <c r="BB981" t="s">
        <v>74</v>
      </c>
      <c r="BC981" t="s">
        <v>74</v>
      </c>
      <c r="BD981">
        <v>3402</v>
      </c>
      <c r="BE981" t="s">
        <v>18878</v>
      </c>
      <c r="BF981" t="str">
        <f>HYPERLINK("http://dx.doi.org/10.1038/s41467-022-30671-3","http://dx.doi.org/10.1038/s41467-022-30671-3")</f>
        <v>http://dx.doi.org/10.1038/s41467-022-30671-3</v>
      </c>
      <c r="BG981" t="s">
        <v>74</v>
      </c>
      <c r="BH981" t="s">
        <v>74</v>
      </c>
      <c r="BI981">
        <v>14</v>
      </c>
      <c r="BJ981" t="s">
        <v>156</v>
      </c>
      <c r="BK981" t="s">
        <v>100</v>
      </c>
      <c r="BL981" t="s">
        <v>157</v>
      </c>
      <c r="BM981" t="s">
        <v>18862</v>
      </c>
      <c r="BN981">
        <v>35701406</v>
      </c>
      <c r="BO981" t="s">
        <v>13392</v>
      </c>
      <c r="BP981" t="s">
        <v>74</v>
      </c>
      <c r="BQ981" t="s">
        <v>74</v>
      </c>
      <c r="BR981" t="s">
        <v>103</v>
      </c>
      <c r="BS981" t="s">
        <v>18879</v>
      </c>
      <c r="BT981" t="str">
        <f>HYPERLINK("https%3A%2F%2Fwww.webofscience.com%2Fwos%2Fwoscc%2Ffull-record%2FWOS:000811535600019","View Full Record in Web of Science")</f>
        <v>View Full Record in Web of Science</v>
      </c>
    </row>
    <row r="982" spans="1:72" x14ac:dyDescent="0.15">
      <c r="A982" t="s">
        <v>72</v>
      </c>
      <c r="B982" t="s">
        <v>18880</v>
      </c>
      <c r="C982" t="s">
        <v>74</v>
      </c>
      <c r="D982" t="s">
        <v>74</v>
      </c>
      <c r="E982" t="s">
        <v>74</v>
      </c>
      <c r="F982" t="s">
        <v>18881</v>
      </c>
      <c r="G982" t="s">
        <v>74</v>
      </c>
      <c r="H982" t="s">
        <v>74</v>
      </c>
      <c r="I982" t="s">
        <v>18882</v>
      </c>
      <c r="J982" t="s">
        <v>10259</v>
      </c>
      <c r="K982" t="s">
        <v>74</v>
      </c>
      <c r="L982" t="s">
        <v>74</v>
      </c>
      <c r="M982" t="s">
        <v>78</v>
      </c>
      <c r="N982" t="s">
        <v>3357</v>
      </c>
      <c r="O982" t="s">
        <v>74</v>
      </c>
      <c r="P982" t="s">
        <v>74</v>
      </c>
      <c r="Q982" t="s">
        <v>74</v>
      </c>
      <c r="R982" t="s">
        <v>74</v>
      </c>
      <c r="S982" t="s">
        <v>74</v>
      </c>
      <c r="T982" t="s">
        <v>74</v>
      </c>
      <c r="U982" t="s">
        <v>18883</v>
      </c>
      <c r="V982" t="s">
        <v>18884</v>
      </c>
      <c r="W982" t="s">
        <v>18885</v>
      </c>
      <c r="X982" t="s">
        <v>18886</v>
      </c>
      <c r="Y982" t="s">
        <v>18887</v>
      </c>
      <c r="Z982" t="s">
        <v>18888</v>
      </c>
      <c r="AA982" t="s">
        <v>18889</v>
      </c>
      <c r="AB982" t="s">
        <v>18890</v>
      </c>
      <c r="AC982" t="s">
        <v>18891</v>
      </c>
      <c r="AD982" t="s">
        <v>18892</v>
      </c>
      <c r="AE982" t="s">
        <v>18893</v>
      </c>
      <c r="AF982" t="s">
        <v>74</v>
      </c>
      <c r="AG982">
        <v>80</v>
      </c>
      <c r="AH982">
        <v>3</v>
      </c>
      <c r="AI982">
        <v>4</v>
      </c>
      <c r="AJ982">
        <v>5</v>
      </c>
      <c r="AK982">
        <v>58</v>
      </c>
      <c r="AL982" t="s">
        <v>149</v>
      </c>
      <c r="AM982" t="s">
        <v>150</v>
      </c>
      <c r="AN982" t="s">
        <v>151</v>
      </c>
      <c r="AO982" t="s">
        <v>74</v>
      </c>
      <c r="AP982" t="s">
        <v>10267</v>
      </c>
      <c r="AQ982" t="s">
        <v>74</v>
      </c>
      <c r="AR982" t="s">
        <v>10268</v>
      </c>
      <c r="AS982" t="s">
        <v>10269</v>
      </c>
      <c r="AT982" t="s">
        <v>18848</v>
      </c>
      <c r="AU982">
        <v>2022</v>
      </c>
      <c r="AV982">
        <v>9</v>
      </c>
      <c r="AW982">
        <v>1</v>
      </c>
      <c r="AX982" t="s">
        <v>74</v>
      </c>
      <c r="AY982" t="s">
        <v>74</v>
      </c>
      <c r="AZ982" t="s">
        <v>74</v>
      </c>
      <c r="BA982" t="s">
        <v>74</v>
      </c>
      <c r="BB982" t="s">
        <v>74</v>
      </c>
      <c r="BC982" t="s">
        <v>74</v>
      </c>
      <c r="BD982">
        <v>337</v>
      </c>
      <c r="BE982" t="s">
        <v>18894</v>
      </c>
      <c r="BF982" t="str">
        <f>HYPERLINK("http://dx.doi.org/10.1038/s41597-022-01419-x","http://dx.doi.org/10.1038/s41597-022-01419-x")</f>
        <v>http://dx.doi.org/10.1038/s41597-022-01419-x</v>
      </c>
      <c r="BG982" t="s">
        <v>74</v>
      </c>
      <c r="BH982" t="s">
        <v>74</v>
      </c>
      <c r="BI982">
        <v>17</v>
      </c>
      <c r="BJ982" t="s">
        <v>156</v>
      </c>
      <c r="BK982" t="s">
        <v>100</v>
      </c>
      <c r="BL982" t="s">
        <v>157</v>
      </c>
      <c r="BM982" t="s">
        <v>18895</v>
      </c>
      <c r="BN982">
        <v>35701473</v>
      </c>
      <c r="BO982" t="s">
        <v>132</v>
      </c>
      <c r="BP982" t="s">
        <v>74</v>
      </c>
      <c r="BQ982" t="s">
        <v>74</v>
      </c>
      <c r="BR982" t="s">
        <v>103</v>
      </c>
      <c r="BS982" t="s">
        <v>18896</v>
      </c>
      <c r="BT982" t="str">
        <f>HYPERLINK("https%3A%2F%2Fwww.webofscience.com%2Fwos%2Fwoscc%2Ffull-record%2FWOS:000811220500005","View Full Record in Web of Science")</f>
        <v>View Full Record in Web of Science</v>
      </c>
    </row>
    <row r="983" spans="1:72" x14ac:dyDescent="0.15">
      <c r="A983" t="s">
        <v>72</v>
      </c>
      <c r="B983" t="s">
        <v>18897</v>
      </c>
      <c r="C983" t="s">
        <v>74</v>
      </c>
      <c r="D983" t="s">
        <v>74</v>
      </c>
      <c r="E983" t="s">
        <v>74</v>
      </c>
      <c r="F983" t="s">
        <v>18898</v>
      </c>
      <c r="G983" t="s">
        <v>74</v>
      </c>
      <c r="H983" t="s">
        <v>74</v>
      </c>
      <c r="I983" t="s">
        <v>18899</v>
      </c>
      <c r="J983" t="s">
        <v>18900</v>
      </c>
      <c r="K983" t="s">
        <v>74</v>
      </c>
      <c r="L983" t="s">
        <v>74</v>
      </c>
      <c r="M983" t="s">
        <v>78</v>
      </c>
      <c r="N983" t="s">
        <v>79</v>
      </c>
      <c r="O983" t="s">
        <v>74</v>
      </c>
      <c r="P983" t="s">
        <v>74</v>
      </c>
      <c r="Q983" t="s">
        <v>74</v>
      </c>
      <c r="R983" t="s">
        <v>74</v>
      </c>
      <c r="S983" t="s">
        <v>74</v>
      </c>
      <c r="T983" t="s">
        <v>18901</v>
      </c>
      <c r="U983" t="s">
        <v>18902</v>
      </c>
      <c r="V983" t="s">
        <v>18903</v>
      </c>
      <c r="W983" t="s">
        <v>18904</v>
      </c>
      <c r="X983" t="s">
        <v>18905</v>
      </c>
      <c r="Y983" t="s">
        <v>18906</v>
      </c>
      <c r="Z983" t="s">
        <v>18907</v>
      </c>
      <c r="AA983" t="s">
        <v>18908</v>
      </c>
      <c r="AB983" t="s">
        <v>18909</v>
      </c>
      <c r="AC983" t="s">
        <v>18910</v>
      </c>
      <c r="AD983" t="s">
        <v>18911</v>
      </c>
      <c r="AE983" t="s">
        <v>18912</v>
      </c>
      <c r="AF983" t="s">
        <v>74</v>
      </c>
      <c r="AG983">
        <v>27</v>
      </c>
      <c r="AH983">
        <v>18</v>
      </c>
      <c r="AI983">
        <v>18</v>
      </c>
      <c r="AJ983">
        <v>5</v>
      </c>
      <c r="AK983">
        <v>22</v>
      </c>
      <c r="AL983" t="s">
        <v>231</v>
      </c>
      <c r="AM983" t="s">
        <v>232</v>
      </c>
      <c r="AN983" t="s">
        <v>233</v>
      </c>
      <c r="AO983" t="s">
        <v>18913</v>
      </c>
      <c r="AP983" t="s">
        <v>18914</v>
      </c>
      <c r="AQ983" t="s">
        <v>74</v>
      </c>
      <c r="AR983" t="s">
        <v>18915</v>
      </c>
      <c r="AS983" t="s">
        <v>18916</v>
      </c>
      <c r="AT983" t="s">
        <v>3605</v>
      </c>
      <c r="AU983">
        <v>2022</v>
      </c>
      <c r="AV983">
        <v>59</v>
      </c>
      <c r="AW983">
        <v>9</v>
      </c>
      <c r="AX983" t="s">
        <v>74</v>
      </c>
      <c r="AY983" t="s">
        <v>74</v>
      </c>
      <c r="AZ983" t="s">
        <v>74</v>
      </c>
      <c r="BA983" t="s">
        <v>74</v>
      </c>
      <c r="BB983">
        <v>2227</v>
      </c>
      <c r="BC983">
        <v>2233</v>
      </c>
      <c r="BD983" t="s">
        <v>74</v>
      </c>
      <c r="BE983" t="s">
        <v>18917</v>
      </c>
      <c r="BF983" t="str">
        <f>HYPERLINK("http://dx.doi.org/10.1111/1365-2664.14225","http://dx.doi.org/10.1111/1365-2664.14225")</f>
        <v>http://dx.doi.org/10.1111/1365-2664.14225</v>
      </c>
      <c r="BG983" t="s">
        <v>74</v>
      </c>
      <c r="BH983" t="s">
        <v>17025</v>
      </c>
      <c r="BI983">
        <v>7</v>
      </c>
      <c r="BJ983" t="s">
        <v>1169</v>
      </c>
      <c r="BK983" t="s">
        <v>100</v>
      </c>
      <c r="BL983" t="s">
        <v>1170</v>
      </c>
      <c r="BM983" t="s">
        <v>18918</v>
      </c>
      <c r="BN983" t="s">
        <v>74</v>
      </c>
      <c r="BO983" t="s">
        <v>6367</v>
      </c>
      <c r="BP983" t="s">
        <v>74</v>
      </c>
      <c r="BQ983" t="s">
        <v>74</v>
      </c>
      <c r="BR983" t="s">
        <v>103</v>
      </c>
      <c r="BS983" t="s">
        <v>18919</v>
      </c>
      <c r="BT983" t="str">
        <f>HYPERLINK("https%3A%2F%2Fwww.webofscience.com%2Fwos%2Fwoscc%2Ffull-record%2FWOS:000810568500001","View Full Record in Web of Science")</f>
        <v>View Full Record in Web of Science</v>
      </c>
    </row>
    <row r="984" spans="1:72" x14ac:dyDescent="0.15">
      <c r="A984" t="s">
        <v>72</v>
      </c>
      <c r="B984" t="s">
        <v>18920</v>
      </c>
      <c r="C984" t="s">
        <v>74</v>
      </c>
      <c r="D984" t="s">
        <v>74</v>
      </c>
      <c r="E984" t="s">
        <v>74</v>
      </c>
      <c r="F984" t="s">
        <v>18921</v>
      </c>
      <c r="G984" t="s">
        <v>74</v>
      </c>
      <c r="H984" t="s">
        <v>74</v>
      </c>
      <c r="I984" t="s">
        <v>18922</v>
      </c>
      <c r="J984" t="s">
        <v>5557</v>
      </c>
      <c r="K984" t="s">
        <v>74</v>
      </c>
      <c r="L984" t="s">
        <v>74</v>
      </c>
      <c r="M984" t="s">
        <v>78</v>
      </c>
      <c r="N984" t="s">
        <v>79</v>
      </c>
      <c r="O984" t="s">
        <v>74</v>
      </c>
      <c r="P984" t="s">
        <v>74</v>
      </c>
      <c r="Q984" t="s">
        <v>74</v>
      </c>
      <c r="R984" t="s">
        <v>74</v>
      </c>
      <c r="S984" t="s">
        <v>74</v>
      </c>
      <c r="T984" t="s">
        <v>18923</v>
      </c>
      <c r="U984" t="s">
        <v>74</v>
      </c>
      <c r="V984" t="s">
        <v>18924</v>
      </c>
      <c r="W984" t="s">
        <v>18925</v>
      </c>
      <c r="X984" t="s">
        <v>18926</v>
      </c>
      <c r="Y984" t="s">
        <v>18927</v>
      </c>
      <c r="Z984" t="s">
        <v>18928</v>
      </c>
      <c r="AA984" t="s">
        <v>18929</v>
      </c>
      <c r="AB984" t="s">
        <v>74</v>
      </c>
      <c r="AC984" t="s">
        <v>18930</v>
      </c>
      <c r="AD984" t="s">
        <v>18931</v>
      </c>
      <c r="AE984" t="s">
        <v>18932</v>
      </c>
      <c r="AF984" t="s">
        <v>74</v>
      </c>
      <c r="AG984">
        <v>19</v>
      </c>
      <c r="AH984">
        <v>1</v>
      </c>
      <c r="AI984">
        <v>1</v>
      </c>
      <c r="AJ984">
        <v>0</v>
      </c>
      <c r="AK984">
        <v>5</v>
      </c>
      <c r="AL984" t="s">
        <v>5570</v>
      </c>
      <c r="AM984" t="s">
        <v>5571</v>
      </c>
      <c r="AN984" t="s">
        <v>5572</v>
      </c>
      <c r="AO984" t="s">
        <v>5573</v>
      </c>
      <c r="AP984" t="s">
        <v>5574</v>
      </c>
      <c r="AQ984" t="s">
        <v>74</v>
      </c>
      <c r="AR984" t="s">
        <v>5575</v>
      </c>
      <c r="AS984" t="s">
        <v>5576</v>
      </c>
      <c r="AT984" t="s">
        <v>184</v>
      </c>
      <c r="AU984">
        <v>2022</v>
      </c>
      <c r="AV984">
        <v>19</v>
      </c>
      <c r="AW984">
        <v>7</v>
      </c>
      <c r="AX984" t="s">
        <v>74</v>
      </c>
      <c r="AY984" t="s">
        <v>74</v>
      </c>
      <c r="AZ984" t="s">
        <v>74</v>
      </c>
      <c r="BA984" t="s">
        <v>74</v>
      </c>
      <c r="BB984" t="s">
        <v>74</v>
      </c>
      <c r="BC984" t="s">
        <v>74</v>
      </c>
      <c r="BD984" t="s">
        <v>18933</v>
      </c>
      <c r="BE984" t="s">
        <v>18934</v>
      </c>
      <c r="BF984" t="str">
        <f>HYPERLINK("http://dx.doi.org/10.1002/cbdv.202200455","http://dx.doi.org/10.1002/cbdv.202200455")</f>
        <v>http://dx.doi.org/10.1002/cbdv.202200455</v>
      </c>
      <c r="BG984" t="s">
        <v>74</v>
      </c>
      <c r="BH984" t="s">
        <v>17025</v>
      </c>
      <c r="BI984">
        <v>6</v>
      </c>
      <c r="BJ984" t="s">
        <v>1514</v>
      </c>
      <c r="BK984" t="s">
        <v>100</v>
      </c>
      <c r="BL984" t="s">
        <v>1515</v>
      </c>
      <c r="BM984" t="s">
        <v>18935</v>
      </c>
      <c r="BN984">
        <v>35648483</v>
      </c>
      <c r="BO984" t="s">
        <v>74</v>
      </c>
      <c r="BP984" t="s">
        <v>74</v>
      </c>
      <c r="BQ984" t="s">
        <v>74</v>
      </c>
      <c r="BR984" t="s">
        <v>103</v>
      </c>
      <c r="BS984" t="s">
        <v>18936</v>
      </c>
      <c r="BT984" t="str">
        <f>HYPERLINK("https%3A%2F%2Fwww.webofscience.com%2Fwos%2Fwoscc%2Ffull-record%2FWOS:000810705200001","View Full Record in Web of Science")</f>
        <v>View Full Record in Web of Science</v>
      </c>
    </row>
    <row r="985" spans="1:72" x14ac:dyDescent="0.15">
      <c r="A985" t="s">
        <v>72</v>
      </c>
      <c r="B985" t="s">
        <v>18937</v>
      </c>
      <c r="C985" t="s">
        <v>74</v>
      </c>
      <c r="D985" t="s">
        <v>74</v>
      </c>
      <c r="E985" t="s">
        <v>74</v>
      </c>
      <c r="F985" t="s">
        <v>18938</v>
      </c>
      <c r="G985" t="s">
        <v>74</v>
      </c>
      <c r="H985" t="s">
        <v>74</v>
      </c>
      <c r="I985" t="s">
        <v>18939</v>
      </c>
      <c r="J985" t="s">
        <v>811</v>
      </c>
      <c r="K985" t="s">
        <v>74</v>
      </c>
      <c r="L985" t="s">
        <v>74</v>
      </c>
      <c r="M985" t="s">
        <v>78</v>
      </c>
      <c r="N985" t="s">
        <v>79</v>
      </c>
      <c r="O985" t="s">
        <v>74</v>
      </c>
      <c r="P985" t="s">
        <v>74</v>
      </c>
      <c r="Q985" t="s">
        <v>74</v>
      </c>
      <c r="R985" t="s">
        <v>74</v>
      </c>
      <c r="S985" t="s">
        <v>74</v>
      </c>
      <c r="T985" t="s">
        <v>18940</v>
      </c>
      <c r="U985" t="s">
        <v>18941</v>
      </c>
      <c r="V985" t="s">
        <v>18942</v>
      </c>
      <c r="W985" t="s">
        <v>18943</v>
      </c>
      <c r="X985" t="s">
        <v>18944</v>
      </c>
      <c r="Y985" t="s">
        <v>18945</v>
      </c>
      <c r="Z985" t="s">
        <v>18946</v>
      </c>
      <c r="AA985" t="s">
        <v>18947</v>
      </c>
      <c r="AB985" t="s">
        <v>18948</v>
      </c>
      <c r="AC985" t="s">
        <v>18949</v>
      </c>
      <c r="AD985" t="s">
        <v>18950</v>
      </c>
      <c r="AE985" t="s">
        <v>18951</v>
      </c>
      <c r="AF985" t="s">
        <v>74</v>
      </c>
      <c r="AG985">
        <v>46</v>
      </c>
      <c r="AH985">
        <v>1</v>
      </c>
      <c r="AI985">
        <v>1</v>
      </c>
      <c r="AJ985">
        <v>1</v>
      </c>
      <c r="AK985">
        <v>13</v>
      </c>
      <c r="AL985" t="s">
        <v>345</v>
      </c>
      <c r="AM985" t="s">
        <v>450</v>
      </c>
      <c r="AN985" t="s">
        <v>821</v>
      </c>
      <c r="AO985" t="s">
        <v>822</v>
      </c>
      <c r="AP985" t="s">
        <v>823</v>
      </c>
      <c r="AQ985" t="s">
        <v>74</v>
      </c>
      <c r="AR985" t="s">
        <v>824</v>
      </c>
      <c r="AS985" t="s">
        <v>825</v>
      </c>
      <c r="AT985" t="s">
        <v>5386</v>
      </c>
      <c r="AU985">
        <v>2022</v>
      </c>
      <c r="AV985">
        <v>34</v>
      </c>
      <c r="AW985">
        <v>4</v>
      </c>
      <c r="AX985" t="s">
        <v>74</v>
      </c>
      <c r="AY985" t="s">
        <v>74</v>
      </c>
      <c r="AZ985" t="s">
        <v>74</v>
      </c>
      <c r="BA985" t="s">
        <v>74</v>
      </c>
      <c r="BB985">
        <v>336</v>
      </c>
      <c r="BC985">
        <v>342</v>
      </c>
      <c r="BD985" t="s">
        <v>74</v>
      </c>
      <c r="BE985" t="s">
        <v>18952</v>
      </c>
      <c r="BF985" t="str">
        <f>HYPERLINK("http://dx.doi.org/10.1017/S0954102022000165","http://dx.doi.org/10.1017/S0954102022000165")</f>
        <v>http://dx.doi.org/10.1017/S0954102022000165</v>
      </c>
      <c r="BG985" t="s">
        <v>74</v>
      </c>
      <c r="BH985" t="s">
        <v>17025</v>
      </c>
      <c r="BI985">
        <v>7</v>
      </c>
      <c r="BJ985" t="s">
        <v>828</v>
      </c>
      <c r="BK985" t="s">
        <v>100</v>
      </c>
      <c r="BL985" t="s">
        <v>829</v>
      </c>
      <c r="BM985" t="s">
        <v>5389</v>
      </c>
      <c r="BN985" t="s">
        <v>74</v>
      </c>
      <c r="BO985" t="s">
        <v>1221</v>
      </c>
      <c r="BP985" t="s">
        <v>74</v>
      </c>
      <c r="BQ985" t="s">
        <v>74</v>
      </c>
      <c r="BR985" t="s">
        <v>103</v>
      </c>
      <c r="BS985" t="s">
        <v>18953</v>
      </c>
      <c r="BT985" t="str">
        <f>HYPERLINK("https%3A%2F%2Fwww.webofscience.com%2Fwos%2Fwoscc%2Ffull-record%2FWOS:000810781500001","View Full Record in Web of Science")</f>
        <v>View Full Record in Web of Science</v>
      </c>
    </row>
    <row r="986" spans="1:72" x14ac:dyDescent="0.15">
      <c r="A986" t="s">
        <v>72</v>
      </c>
      <c r="B986" t="s">
        <v>18954</v>
      </c>
      <c r="C986" t="s">
        <v>74</v>
      </c>
      <c r="D986" t="s">
        <v>74</v>
      </c>
      <c r="E986" t="s">
        <v>74</v>
      </c>
      <c r="F986" t="s">
        <v>18955</v>
      </c>
      <c r="G986" t="s">
        <v>74</v>
      </c>
      <c r="H986" t="s">
        <v>74</v>
      </c>
      <c r="I986" t="s">
        <v>18956</v>
      </c>
      <c r="J986" t="s">
        <v>18957</v>
      </c>
      <c r="K986" t="s">
        <v>74</v>
      </c>
      <c r="L986" t="s">
        <v>74</v>
      </c>
      <c r="M986" t="s">
        <v>78</v>
      </c>
      <c r="N986" t="s">
        <v>79</v>
      </c>
      <c r="O986" t="s">
        <v>74</v>
      </c>
      <c r="P986" t="s">
        <v>74</v>
      </c>
      <c r="Q986" t="s">
        <v>74</v>
      </c>
      <c r="R986" t="s">
        <v>74</v>
      </c>
      <c r="S986" t="s">
        <v>74</v>
      </c>
      <c r="T986" t="s">
        <v>18958</v>
      </c>
      <c r="U986" t="s">
        <v>18959</v>
      </c>
      <c r="V986" t="s">
        <v>18960</v>
      </c>
      <c r="W986" t="s">
        <v>18961</v>
      </c>
      <c r="X986" t="s">
        <v>18962</v>
      </c>
      <c r="Y986" t="s">
        <v>18963</v>
      </c>
      <c r="Z986" t="s">
        <v>18964</v>
      </c>
      <c r="AA986" t="s">
        <v>18965</v>
      </c>
      <c r="AB986" t="s">
        <v>18966</v>
      </c>
      <c r="AC986" t="s">
        <v>18967</v>
      </c>
      <c r="AD986" t="s">
        <v>18968</v>
      </c>
      <c r="AE986" t="s">
        <v>18969</v>
      </c>
      <c r="AF986" t="s">
        <v>74</v>
      </c>
      <c r="AG986">
        <v>38</v>
      </c>
      <c r="AH986">
        <v>0</v>
      </c>
      <c r="AI986">
        <v>0</v>
      </c>
      <c r="AJ986">
        <v>1</v>
      </c>
      <c r="AK986">
        <v>8</v>
      </c>
      <c r="AL986" t="s">
        <v>2275</v>
      </c>
      <c r="AM986" t="s">
        <v>90</v>
      </c>
      <c r="AN986" t="s">
        <v>2276</v>
      </c>
      <c r="AO986" t="s">
        <v>18970</v>
      </c>
      <c r="AP986" t="s">
        <v>18971</v>
      </c>
      <c r="AQ986" t="s">
        <v>74</v>
      </c>
      <c r="AR986" t="s">
        <v>18972</v>
      </c>
      <c r="AS986" t="s">
        <v>18973</v>
      </c>
      <c r="AT986" t="s">
        <v>184</v>
      </c>
      <c r="AU986">
        <v>2022</v>
      </c>
      <c r="AV986">
        <v>136</v>
      </c>
      <c r="AW986" t="s">
        <v>74</v>
      </c>
      <c r="AX986" t="s">
        <v>74</v>
      </c>
      <c r="AY986" t="s">
        <v>74</v>
      </c>
      <c r="AZ986" t="s">
        <v>74</v>
      </c>
      <c r="BA986" t="s">
        <v>74</v>
      </c>
      <c r="BB986" t="s">
        <v>74</v>
      </c>
      <c r="BC986" t="s">
        <v>74</v>
      </c>
      <c r="BD986">
        <v>106175</v>
      </c>
      <c r="BE986" t="s">
        <v>18974</v>
      </c>
      <c r="BF986" t="str">
        <f>HYPERLINK("http://dx.doi.org/10.1016/j.icheatmasstransfer.2022.106175","http://dx.doi.org/10.1016/j.icheatmasstransfer.2022.106175")</f>
        <v>http://dx.doi.org/10.1016/j.icheatmasstransfer.2022.106175</v>
      </c>
      <c r="BG986" t="s">
        <v>74</v>
      </c>
      <c r="BH986" t="s">
        <v>17025</v>
      </c>
      <c r="BI986">
        <v>11</v>
      </c>
      <c r="BJ986" t="s">
        <v>18975</v>
      </c>
      <c r="BK986" t="s">
        <v>100</v>
      </c>
      <c r="BL986" t="s">
        <v>18975</v>
      </c>
      <c r="BM986" t="s">
        <v>18976</v>
      </c>
      <c r="BN986" t="s">
        <v>74</v>
      </c>
      <c r="BO986" t="s">
        <v>74</v>
      </c>
      <c r="BP986" t="s">
        <v>74</v>
      </c>
      <c r="BQ986" t="s">
        <v>74</v>
      </c>
      <c r="BR986" t="s">
        <v>103</v>
      </c>
      <c r="BS986" t="s">
        <v>18977</v>
      </c>
      <c r="BT986" t="str">
        <f>HYPERLINK("https%3A%2F%2Fwww.webofscience.com%2Fwos%2Fwoscc%2Ffull-record%2FWOS:000822914300003","View Full Record in Web of Science")</f>
        <v>View Full Record in Web of Science</v>
      </c>
    </row>
    <row r="987" spans="1:72" x14ac:dyDescent="0.15">
      <c r="A987" t="s">
        <v>72</v>
      </c>
      <c r="B987" t="s">
        <v>18978</v>
      </c>
      <c r="C987" t="s">
        <v>74</v>
      </c>
      <c r="D987" t="s">
        <v>74</v>
      </c>
      <c r="E987" t="s">
        <v>74</v>
      </c>
      <c r="F987" t="s">
        <v>18979</v>
      </c>
      <c r="G987" t="s">
        <v>74</v>
      </c>
      <c r="H987" t="s">
        <v>74</v>
      </c>
      <c r="I987" t="s">
        <v>18980</v>
      </c>
      <c r="J987" t="s">
        <v>4910</v>
      </c>
      <c r="K987" t="s">
        <v>74</v>
      </c>
      <c r="L987" t="s">
        <v>74</v>
      </c>
      <c r="M987" t="s">
        <v>78</v>
      </c>
      <c r="N987" t="s">
        <v>79</v>
      </c>
      <c r="O987" t="s">
        <v>74</v>
      </c>
      <c r="P987" t="s">
        <v>74</v>
      </c>
      <c r="Q987" t="s">
        <v>74</v>
      </c>
      <c r="R987" t="s">
        <v>74</v>
      </c>
      <c r="S987" t="s">
        <v>74</v>
      </c>
      <c r="T987" t="s">
        <v>18981</v>
      </c>
      <c r="U987" t="s">
        <v>18982</v>
      </c>
      <c r="V987" t="s">
        <v>18983</v>
      </c>
      <c r="W987" t="s">
        <v>18984</v>
      </c>
      <c r="X987" t="s">
        <v>18985</v>
      </c>
      <c r="Y987" t="s">
        <v>18986</v>
      </c>
      <c r="Z987" t="s">
        <v>18987</v>
      </c>
      <c r="AA987" t="s">
        <v>18988</v>
      </c>
      <c r="AB987" t="s">
        <v>18989</v>
      </c>
      <c r="AC987" t="s">
        <v>18990</v>
      </c>
      <c r="AD987" t="s">
        <v>18991</v>
      </c>
      <c r="AE987" t="s">
        <v>18992</v>
      </c>
      <c r="AF987" t="s">
        <v>74</v>
      </c>
      <c r="AG987">
        <v>168</v>
      </c>
      <c r="AH987">
        <v>13</v>
      </c>
      <c r="AI987">
        <v>13</v>
      </c>
      <c r="AJ987">
        <v>1</v>
      </c>
      <c r="AK987">
        <v>15</v>
      </c>
      <c r="AL987" t="s">
        <v>2275</v>
      </c>
      <c r="AM987" t="s">
        <v>90</v>
      </c>
      <c r="AN987" t="s">
        <v>2276</v>
      </c>
      <c r="AO987" t="s">
        <v>4922</v>
      </c>
      <c r="AP987" t="s">
        <v>4923</v>
      </c>
      <c r="AQ987" t="s">
        <v>74</v>
      </c>
      <c r="AR987" t="s">
        <v>4924</v>
      </c>
      <c r="AS987" t="s">
        <v>4925</v>
      </c>
      <c r="AT987" t="s">
        <v>14065</v>
      </c>
      <c r="AU987">
        <v>2022</v>
      </c>
      <c r="AV987">
        <v>329</v>
      </c>
      <c r="AW987" t="s">
        <v>74</v>
      </c>
      <c r="AX987" t="s">
        <v>74</v>
      </c>
      <c r="AY987" t="s">
        <v>74</v>
      </c>
      <c r="AZ987" t="s">
        <v>74</v>
      </c>
      <c r="BA987" t="s">
        <v>74</v>
      </c>
      <c r="BB987">
        <v>206</v>
      </c>
      <c r="BC987">
        <v>230</v>
      </c>
      <c r="BD987" t="s">
        <v>74</v>
      </c>
      <c r="BE987" t="s">
        <v>18993</v>
      </c>
      <c r="BF987" t="str">
        <f>HYPERLINK("http://dx.doi.org/10.1016/j.gca.2022.05.005","http://dx.doi.org/10.1016/j.gca.2022.05.005")</f>
        <v>http://dx.doi.org/10.1016/j.gca.2022.05.005</v>
      </c>
      <c r="BG987" t="s">
        <v>74</v>
      </c>
      <c r="BH987" t="s">
        <v>17025</v>
      </c>
      <c r="BI987">
        <v>25</v>
      </c>
      <c r="BJ987" t="s">
        <v>1379</v>
      </c>
      <c r="BK987" t="s">
        <v>100</v>
      </c>
      <c r="BL987" t="s">
        <v>1379</v>
      </c>
      <c r="BM987" t="s">
        <v>18994</v>
      </c>
      <c r="BN987" t="s">
        <v>74</v>
      </c>
      <c r="BO987" t="s">
        <v>18995</v>
      </c>
      <c r="BP987" t="s">
        <v>74</v>
      </c>
      <c r="BQ987" t="s">
        <v>74</v>
      </c>
      <c r="BR987" t="s">
        <v>103</v>
      </c>
      <c r="BS987" t="s">
        <v>18996</v>
      </c>
      <c r="BT987" t="str">
        <f>HYPERLINK("https%3A%2F%2Fwww.webofscience.com%2Fwos%2Fwoscc%2Ffull-record%2FWOS:000818523300013","View Full Record in Web of Science")</f>
        <v>View Full Record in Web of Science</v>
      </c>
    </row>
    <row r="988" spans="1:72" x14ac:dyDescent="0.15">
      <c r="A988" t="s">
        <v>72</v>
      </c>
      <c r="B988" t="s">
        <v>18997</v>
      </c>
      <c r="C988" t="s">
        <v>74</v>
      </c>
      <c r="D988" t="s">
        <v>74</v>
      </c>
      <c r="E988" t="s">
        <v>74</v>
      </c>
      <c r="F988" t="s">
        <v>18998</v>
      </c>
      <c r="G988" t="s">
        <v>74</v>
      </c>
      <c r="H988" t="s">
        <v>74</v>
      </c>
      <c r="I988" t="s">
        <v>18999</v>
      </c>
      <c r="J988" t="s">
        <v>271</v>
      </c>
      <c r="K988" t="s">
        <v>74</v>
      </c>
      <c r="L988" t="s">
        <v>74</v>
      </c>
      <c r="M988" t="s">
        <v>78</v>
      </c>
      <c r="N988" t="s">
        <v>79</v>
      </c>
      <c r="O988" t="s">
        <v>74</v>
      </c>
      <c r="P988" t="s">
        <v>74</v>
      </c>
      <c r="Q988" t="s">
        <v>74</v>
      </c>
      <c r="R988" t="s">
        <v>74</v>
      </c>
      <c r="S988" t="s">
        <v>74</v>
      </c>
      <c r="T988" t="s">
        <v>74</v>
      </c>
      <c r="U988" t="s">
        <v>19000</v>
      </c>
      <c r="V988" t="s">
        <v>19001</v>
      </c>
      <c r="W988" t="s">
        <v>19002</v>
      </c>
      <c r="X988" t="s">
        <v>19003</v>
      </c>
      <c r="Y988" t="s">
        <v>19004</v>
      </c>
      <c r="Z988" t="s">
        <v>19005</v>
      </c>
      <c r="AA988" t="s">
        <v>74</v>
      </c>
      <c r="AB988" t="s">
        <v>19006</v>
      </c>
      <c r="AC988" t="s">
        <v>19007</v>
      </c>
      <c r="AD988" t="s">
        <v>19008</v>
      </c>
      <c r="AE988" t="s">
        <v>19009</v>
      </c>
      <c r="AF988" t="s">
        <v>74</v>
      </c>
      <c r="AG988">
        <v>97</v>
      </c>
      <c r="AH988">
        <v>4</v>
      </c>
      <c r="AI988">
        <v>4</v>
      </c>
      <c r="AJ988">
        <v>2</v>
      </c>
      <c r="AK988">
        <v>10</v>
      </c>
      <c r="AL988" t="s">
        <v>149</v>
      </c>
      <c r="AM988" t="s">
        <v>150</v>
      </c>
      <c r="AN988" t="s">
        <v>151</v>
      </c>
      <c r="AO988" t="s">
        <v>283</v>
      </c>
      <c r="AP988" t="s">
        <v>74</v>
      </c>
      <c r="AQ988" t="s">
        <v>74</v>
      </c>
      <c r="AR988" t="s">
        <v>284</v>
      </c>
      <c r="AS988" t="s">
        <v>285</v>
      </c>
      <c r="AT988" t="s">
        <v>19010</v>
      </c>
      <c r="AU988">
        <v>2022</v>
      </c>
      <c r="AV988">
        <v>12</v>
      </c>
      <c r="AW988">
        <v>1</v>
      </c>
      <c r="AX988" t="s">
        <v>74</v>
      </c>
      <c r="AY988" t="s">
        <v>74</v>
      </c>
      <c r="AZ988" t="s">
        <v>74</v>
      </c>
      <c r="BA988" t="s">
        <v>74</v>
      </c>
      <c r="BB988" t="s">
        <v>74</v>
      </c>
      <c r="BC988" t="s">
        <v>74</v>
      </c>
      <c r="BD988">
        <v>9438</v>
      </c>
      <c r="BE988" t="s">
        <v>19011</v>
      </c>
      <c r="BF988" t="str">
        <f>HYPERLINK("http://dx.doi.org/10.1038/s41598-022-12477-x","http://dx.doi.org/10.1038/s41598-022-12477-x")</f>
        <v>http://dx.doi.org/10.1038/s41598-022-12477-x</v>
      </c>
      <c r="BG988" t="s">
        <v>74</v>
      </c>
      <c r="BH988" t="s">
        <v>74</v>
      </c>
      <c r="BI988">
        <v>15</v>
      </c>
      <c r="BJ988" t="s">
        <v>156</v>
      </c>
      <c r="BK988" t="s">
        <v>100</v>
      </c>
      <c r="BL988" t="s">
        <v>157</v>
      </c>
      <c r="BM988" t="s">
        <v>19012</v>
      </c>
      <c r="BN988">
        <v>35697685</v>
      </c>
      <c r="BO988" t="s">
        <v>5348</v>
      </c>
      <c r="BP988" t="s">
        <v>74</v>
      </c>
      <c r="BQ988" t="s">
        <v>74</v>
      </c>
      <c r="BR988" t="s">
        <v>103</v>
      </c>
      <c r="BS988" t="s">
        <v>19013</v>
      </c>
      <c r="BT988" t="str">
        <f>HYPERLINK("https%3A%2F%2Fwww.webofscience.com%2Fwos%2Fwoscc%2Ffull-record%2FWOS:000810841100090","View Full Record in Web of Science")</f>
        <v>View Full Record in Web of Science</v>
      </c>
    </row>
    <row r="989" spans="1:72" x14ac:dyDescent="0.15">
      <c r="A989" t="s">
        <v>72</v>
      </c>
      <c r="B989" t="s">
        <v>19014</v>
      </c>
      <c r="C989" t="s">
        <v>74</v>
      </c>
      <c r="D989" t="s">
        <v>74</v>
      </c>
      <c r="E989" t="s">
        <v>74</v>
      </c>
      <c r="F989" t="s">
        <v>19015</v>
      </c>
      <c r="G989" t="s">
        <v>74</v>
      </c>
      <c r="H989" t="s">
        <v>74</v>
      </c>
      <c r="I989" t="s">
        <v>19016</v>
      </c>
      <c r="J989" t="s">
        <v>19017</v>
      </c>
      <c r="K989" t="s">
        <v>74</v>
      </c>
      <c r="L989" t="s">
        <v>74</v>
      </c>
      <c r="M989" t="s">
        <v>78</v>
      </c>
      <c r="N989" t="s">
        <v>79</v>
      </c>
      <c r="O989" t="s">
        <v>74</v>
      </c>
      <c r="P989" t="s">
        <v>74</v>
      </c>
      <c r="Q989" t="s">
        <v>74</v>
      </c>
      <c r="R989" t="s">
        <v>74</v>
      </c>
      <c r="S989" t="s">
        <v>74</v>
      </c>
      <c r="T989" t="s">
        <v>19018</v>
      </c>
      <c r="U989" t="s">
        <v>19019</v>
      </c>
      <c r="V989" t="s">
        <v>19020</v>
      </c>
      <c r="W989" t="s">
        <v>19021</v>
      </c>
      <c r="X989" t="s">
        <v>19022</v>
      </c>
      <c r="Y989" t="s">
        <v>19023</v>
      </c>
      <c r="Z989" t="s">
        <v>19024</v>
      </c>
      <c r="AA989" t="s">
        <v>19025</v>
      </c>
      <c r="AB989" t="s">
        <v>19026</v>
      </c>
      <c r="AC989" t="s">
        <v>74</v>
      </c>
      <c r="AD989" t="s">
        <v>74</v>
      </c>
      <c r="AE989" t="s">
        <v>74</v>
      </c>
      <c r="AF989" t="s">
        <v>74</v>
      </c>
      <c r="AG989">
        <v>111</v>
      </c>
      <c r="AH989">
        <v>2</v>
      </c>
      <c r="AI989">
        <v>2</v>
      </c>
      <c r="AJ989">
        <v>1</v>
      </c>
      <c r="AK989">
        <v>3</v>
      </c>
      <c r="AL989" t="s">
        <v>2275</v>
      </c>
      <c r="AM989" t="s">
        <v>90</v>
      </c>
      <c r="AN989" t="s">
        <v>2276</v>
      </c>
      <c r="AO989" t="s">
        <v>19027</v>
      </c>
      <c r="AP989" t="s">
        <v>19028</v>
      </c>
      <c r="AQ989" t="s">
        <v>74</v>
      </c>
      <c r="AR989" t="s">
        <v>19029</v>
      </c>
      <c r="AS989" t="s">
        <v>19030</v>
      </c>
      <c r="AT989" t="s">
        <v>3663</v>
      </c>
      <c r="AU989">
        <v>2023</v>
      </c>
      <c r="AV989">
        <v>198</v>
      </c>
      <c r="AW989" t="s">
        <v>74</v>
      </c>
      <c r="AX989" t="s">
        <v>74</v>
      </c>
      <c r="AY989" t="s">
        <v>74</v>
      </c>
      <c r="AZ989" t="s">
        <v>74</v>
      </c>
      <c r="BA989" t="s">
        <v>74</v>
      </c>
      <c r="BB989" t="s">
        <v>74</v>
      </c>
      <c r="BC989" t="s">
        <v>74</v>
      </c>
      <c r="BD989">
        <v>104805</v>
      </c>
      <c r="BE989" t="s">
        <v>19031</v>
      </c>
      <c r="BF989" t="str">
        <f>HYPERLINK("http://dx.doi.org/10.1016/j.jafrearsci.2022.104805","http://dx.doi.org/10.1016/j.jafrearsci.2022.104805")</f>
        <v>http://dx.doi.org/10.1016/j.jafrearsci.2022.104805</v>
      </c>
      <c r="BG989" t="s">
        <v>74</v>
      </c>
      <c r="BH989" t="s">
        <v>17025</v>
      </c>
      <c r="BI989">
        <v>19</v>
      </c>
      <c r="BJ989" t="s">
        <v>129</v>
      </c>
      <c r="BK989" t="s">
        <v>100</v>
      </c>
      <c r="BL989" t="s">
        <v>130</v>
      </c>
      <c r="BM989" t="s">
        <v>19032</v>
      </c>
      <c r="BN989" t="s">
        <v>74</v>
      </c>
      <c r="BO989" t="s">
        <v>74</v>
      </c>
      <c r="BP989" t="s">
        <v>74</v>
      </c>
      <c r="BQ989" t="s">
        <v>74</v>
      </c>
      <c r="BR989" t="s">
        <v>103</v>
      </c>
      <c r="BS989" t="s">
        <v>19033</v>
      </c>
      <c r="BT989" t="str">
        <f>HYPERLINK("https%3A%2F%2Fwww.webofscience.com%2Fwos%2Fwoscc%2Ffull-record%2FWOS:001025291300001","View Full Record in Web of Science")</f>
        <v>View Full Record in Web of Science</v>
      </c>
    </row>
    <row r="990" spans="1:72" x14ac:dyDescent="0.15">
      <c r="A990" t="s">
        <v>72</v>
      </c>
      <c r="B990" t="s">
        <v>19034</v>
      </c>
      <c r="C990" t="s">
        <v>74</v>
      </c>
      <c r="D990" t="s">
        <v>74</v>
      </c>
      <c r="E990" t="s">
        <v>74</v>
      </c>
      <c r="F990" t="s">
        <v>19035</v>
      </c>
      <c r="G990" t="s">
        <v>74</v>
      </c>
      <c r="H990" t="s">
        <v>74</v>
      </c>
      <c r="I990" t="s">
        <v>19036</v>
      </c>
      <c r="J990" t="s">
        <v>14979</v>
      </c>
      <c r="K990" t="s">
        <v>74</v>
      </c>
      <c r="L990" t="s">
        <v>74</v>
      </c>
      <c r="M990" t="s">
        <v>78</v>
      </c>
      <c r="N990" t="s">
        <v>79</v>
      </c>
      <c r="O990" t="s">
        <v>74</v>
      </c>
      <c r="P990" t="s">
        <v>74</v>
      </c>
      <c r="Q990" t="s">
        <v>74</v>
      </c>
      <c r="R990" t="s">
        <v>74</v>
      </c>
      <c r="S990" t="s">
        <v>74</v>
      </c>
      <c r="T990" t="s">
        <v>19037</v>
      </c>
      <c r="U990" t="s">
        <v>19038</v>
      </c>
      <c r="V990" t="s">
        <v>19039</v>
      </c>
      <c r="W990" t="s">
        <v>19040</v>
      </c>
      <c r="X990" t="s">
        <v>19041</v>
      </c>
      <c r="Y990" t="s">
        <v>19042</v>
      </c>
      <c r="Z990" t="s">
        <v>19043</v>
      </c>
      <c r="AA990" t="s">
        <v>19044</v>
      </c>
      <c r="AB990" t="s">
        <v>19045</v>
      </c>
      <c r="AC990" t="s">
        <v>19046</v>
      </c>
      <c r="AD990" t="s">
        <v>19047</v>
      </c>
      <c r="AE990" t="s">
        <v>19048</v>
      </c>
      <c r="AF990" t="s">
        <v>74</v>
      </c>
      <c r="AG990">
        <v>62</v>
      </c>
      <c r="AH990">
        <v>8</v>
      </c>
      <c r="AI990">
        <v>8</v>
      </c>
      <c r="AJ990">
        <v>6</v>
      </c>
      <c r="AK990">
        <v>32</v>
      </c>
      <c r="AL990" t="s">
        <v>231</v>
      </c>
      <c r="AM990" t="s">
        <v>232</v>
      </c>
      <c r="AN990" t="s">
        <v>233</v>
      </c>
      <c r="AO990" t="s">
        <v>14992</v>
      </c>
      <c r="AP990" t="s">
        <v>14993</v>
      </c>
      <c r="AQ990" t="s">
        <v>74</v>
      </c>
      <c r="AR990" t="s">
        <v>14994</v>
      </c>
      <c r="AS990" t="s">
        <v>14995</v>
      </c>
      <c r="AT990" t="s">
        <v>5386</v>
      </c>
      <c r="AU990">
        <v>2022</v>
      </c>
      <c r="AV990">
        <v>36</v>
      </c>
      <c r="AW990">
        <v>8</v>
      </c>
      <c r="AX990" t="s">
        <v>74</v>
      </c>
      <c r="AY990" t="s">
        <v>74</v>
      </c>
      <c r="AZ990" t="s">
        <v>74</v>
      </c>
      <c r="BA990" t="s">
        <v>74</v>
      </c>
      <c r="BB990">
        <v>1949</v>
      </c>
      <c r="BC990">
        <v>1960</v>
      </c>
      <c r="BD990" t="s">
        <v>74</v>
      </c>
      <c r="BE990" t="s">
        <v>19049</v>
      </c>
      <c r="BF990" t="str">
        <f>HYPERLINK("http://dx.doi.org/10.1111/1365-2435.14089","http://dx.doi.org/10.1111/1365-2435.14089")</f>
        <v>http://dx.doi.org/10.1111/1365-2435.14089</v>
      </c>
      <c r="BG990" t="s">
        <v>74</v>
      </c>
      <c r="BH990" t="s">
        <v>17025</v>
      </c>
      <c r="BI990">
        <v>12</v>
      </c>
      <c r="BJ990" t="s">
        <v>3900</v>
      </c>
      <c r="BK990" t="s">
        <v>100</v>
      </c>
      <c r="BL990" t="s">
        <v>2041</v>
      </c>
      <c r="BM990" t="s">
        <v>19050</v>
      </c>
      <c r="BN990" t="s">
        <v>74</v>
      </c>
      <c r="BO990" t="s">
        <v>74</v>
      </c>
      <c r="BP990" t="s">
        <v>74</v>
      </c>
      <c r="BQ990" t="s">
        <v>74</v>
      </c>
      <c r="BR990" t="s">
        <v>103</v>
      </c>
      <c r="BS990" t="s">
        <v>19051</v>
      </c>
      <c r="BT990" t="str">
        <f>HYPERLINK("https%3A%2F%2Fwww.webofscience.com%2Fwos%2Fwoscc%2Ffull-record%2FWOS:000809673500001","View Full Record in Web of Science")</f>
        <v>View Full Record in Web of Science</v>
      </c>
    </row>
    <row r="991" spans="1:72" x14ac:dyDescent="0.15">
      <c r="A991" t="s">
        <v>72</v>
      </c>
      <c r="B991" t="s">
        <v>19052</v>
      </c>
      <c r="C991" t="s">
        <v>74</v>
      </c>
      <c r="D991" t="s">
        <v>74</v>
      </c>
      <c r="E991" t="s">
        <v>74</v>
      </c>
      <c r="F991" t="s">
        <v>19053</v>
      </c>
      <c r="G991" t="s">
        <v>74</v>
      </c>
      <c r="H991" t="s">
        <v>74</v>
      </c>
      <c r="I991" t="s">
        <v>19054</v>
      </c>
      <c r="J991" t="s">
        <v>6808</v>
      </c>
      <c r="K991" t="s">
        <v>74</v>
      </c>
      <c r="L991" t="s">
        <v>74</v>
      </c>
      <c r="M991" t="s">
        <v>78</v>
      </c>
      <c r="N991" t="s">
        <v>79</v>
      </c>
      <c r="O991" t="s">
        <v>74</v>
      </c>
      <c r="P991" t="s">
        <v>74</v>
      </c>
      <c r="Q991" t="s">
        <v>74</v>
      </c>
      <c r="R991" t="s">
        <v>74</v>
      </c>
      <c r="S991" t="s">
        <v>74</v>
      </c>
      <c r="T991" t="s">
        <v>74</v>
      </c>
      <c r="U991" t="s">
        <v>19055</v>
      </c>
      <c r="V991" t="s">
        <v>19056</v>
      </c>
      <c r="W991" t="s">
        <v>19057</v>
      </c>
      <c r="X991" t="s">
        <v>19058</v>
      </c>
      <c r="Y991" t="s">
        <v>19059</v>
      </c>
      <c r="Z991" t="s">
        <v>19060</v>
      </c>
      <c r="AA991" t="s">
        <v>19061</v>
      </c>
      <c r="AB991" t="s">
        <v>19062</v>
      </c>
      <c r="AC991" t="s">
        <v>19063</v>
      </c>
      <c r="AD991" t="s">
        <v>19064</v>
      </c>
      <c r="AE991" t="s">
        <v>19065</v>
      </c>
      <c r="AF991" t="s">
        <v>74</v>
      </c>
      <c r="AG991">
        <v>100</v>
      </c>
      <c r="AH991">
        <v>4</v>
      </c>
      <c r="AI991">
        <v>4</v>
      </c>
      <c r="AJ991">
        <v>6</v>
      </c>
      <c r="AK991">
        <v>21</v>
      </c>
      <c r="AL991" t="s">
        <v>231</v>
      </c>
      <c r="AM991" t="s">
        <v>232</v>
      </c>
      <c r="AN991" t="s">
        <v>233</v>
      </c>
      <c r="AO991" t="s">
        <v>6811</v>
      </c>
      <c r="AP991" t="s">
        <v>6812</v>
      </c>
      <c r="AQ991" t="s">
        <v>74</v>
      </c>
      <c r="AR991" t="s">
        <v>6813</v>
      </c>
      <c r="AS991" t="s">
        <v>6814</v>
      </c>
      <c r="AT991" t="s">
        <v>3605</v>
      </c>
      <c r="AU991">
        <v>2022</v>
      </c>
      <c r="AV991">
        <v>24</v>
      </c>
      <c r="AW991">
        <v>9</v>
      </c>
      <c r="AX991" t="s">
        <v>74</v>
      </c>
      <c r="AY991" t="s">
        <v>74</v>
      </c>
      <c r="AZ991" t="s">
        <v>74</v>
      </c>
      <c r="BA991" t="s">
        <v>74</v>
      </c>
      <c r="BB991">
        <v>4030</v>
      </c>
      <c r="BC991">
        <v>4048</v>
      </c>
      <c r="BD991" t="s">
        <v>74</v>
      </c>
      <c r="BE991" t="s">
        <v>19066</v>
      </c>
      <c r="BF991" t="str">
        <f>HYPERLINK("http://dx.doi.org/10.1111/1462-2920.16087","http://dx.doi.org/10.1111/1462-2920.16087")</f>
        <v>http://dx.doi.org/10.1111/1462-2920.16087</v>
      </c>
      <c r="BG991" t="s">
        <v>74</v>
      </c>
      <c r="BH991" t="s">
        <v>17025</v>
      </c>
      <c r="BI991">
        <v>19</v>
      </c>
      <c r="BJ991" t="s">
        <v>214</v>
      </c>
      <c r="BK991" t="s">
        <v>100</v>
      </c>
      <c r="BL991" t="s">
        <v>214</v>
      </c>
      <c r="BM991" t="s">
        <v>6816</v>
      </c>
      <c r="BN991">
        <v>35656758</v>
      </c>
      <c r="BO991" t="s">
        <v>74</v>
      </c>
      <c r="BP991" t="s">
        <v>74</v>
      </c>
      <c r="BQ991" t="s">
        <v>74</v>
      </c>
      <c r="BR991" t="s">
        <v>103</v>
      </c>
      <c r="BS991" t="s">
        <v>19067</v>
      </c>
      <c r="BT991" t="str">
        <f>HYPERLINK("https%3A%2F%2Fwww.webofscience.com%2Fwos%2Fwoscc%2Ffull-record%2FWOS:000809624100001","View Full Record in Web of Science")</f>
        <v>View Full Record in Web of Science</v>
      </c>
    </row>
    <row r="992" spans="1:72" x14ac:dyDescent="0.15">
      <c r="A992" t="s">
        <v>72</v>
      </c>
      <c r="B992" t="s">
        <v>19068</v>
      </c>
      <c r="C992" t="s">
        <v>74</v>
      </c>
      <c r="D992" t="s">
        <v>74</v>
      </c>
      <c r="E992" t="s">
        <v>74</v>
      </c>
      <c r="F992" t="s">
        <v>19069</v>
      </c>
      <c r="G992" t="s">
        <v>74</v>
      </c>
      <c r="H992" t="s">
        <v>74</v>
      </c>
      <c r="I992" t="s">
        <v>19070</v>
      </c>
      <c r="J992" t="s">
        <v>19071</v>
      </c>
      <c r="K992" t="s">
        <v>74</v>
      </c>
      <c r="L992" t="s">
        <v>74</v>
      </c>
      <c r="M992" t="s">
        <v>78</v>
      </c>
      <c r="N992" t="s">
        <v>79</v>
      </c>
      <c r="O992" t="s">
        <v>74</v>
      </c>
      <c r="P992" t="s">
        <v>74</v>
      </c>
      <c r="Q992" t="s">
        <v>74</v>
      </c>
      <c r="R992" t="s">
        <v>74</v>
      </c>
      <c r="S992" t="s">
        <v>74</v>
      </c>
      <c r="T992" t="s">
        <v>74</v>
      </c>
      <c r="U992" t="s">
        <v>19072</v>
      </c>
      <c r="V992" t="s">
        <v>19073</v>
      </c>
      <c r="W992" t="s">
        <v>19074</v>
      </c>
      <c r="X992" t="s">
        <v>19075</v>
      </c>
      <c r="Y992" t="s">
        <v>19076</v>
      </c>
      <c r="Z992" t="s">
        <v>19077</v>
      </c>
      <c r="AA992" t="s">
        <v>19078</v>
      </c>
      <c r="AB992" t="s">
        <v>19079</v>
      </c>
      <c r="AC992" t="s">
        <v>19080</v>
      </c>
      <c r="AD992" t="s">
        <v>19080</v>
      </c>
      <c r="AE992" t="s">
        <v>19081</v>
      </c>
      <c r="AF992" t="s">
        <v>74</v>
      </c>
      <c r="AG992">
        <v>25</v>
      </c>
      <c r="AH992">
        <v>1</v>
      </c>
      <c r="AI992">
        <v>1</v>
      </c>
      <c r="AJ992">
        <v>1</v>
      </c>
      <c r="AK992">
        <v>3</v>
      </c>
      <c r="AL992" t="s">
        <v>2249</v>
      </c>
      <c r="AM992" t="s">
        <v>90</v>
      </c>
      <c r="AN992" t="s">
        <v>2250</v>
      </c>
      <c r="AO992" t="s">
        <v>19082</v>
      </c>
      <c r="AP992" t="s">
        <v>19083</v>
      </c>
      <c r="AQ992" t="s">
        <v>74</v>
      </c>
      <c r="AR992" t="s">
        <v>19084</v>
      </c>
      <c r="AS992" t="s">
        <v>19085</v>
      </c>
      <c r="AT992" t="s">
        <v>428</v>
      </c>
      <c r="AU992">
        <v>2022</v>
      </c>
      <c r="AV992">
        <v>251</v>
      </c>
      <c r="AW992" t="s">
        <v>74</v>
      </c>
      <c r="AX992" t="s">
        <v>74</v>
      </c>
      <c r="AY992" t="s">
        <v>74</v>
      </c>
      <c r="AZ992" t="s">
        <v>74</v>
      </c>
      <c r="BA992" t="s">
        <v>74</v>
      </c>
      <c r="BB992" t="s">
        <v>74</v>
      </c>
      <c r="BC992" t="s">
        <v>74</v>
      </c>
      <c r="BD992">
        <v>106930</v>
      </c>
      <c r="BE992" t="s">
        <v>19086</v>
      </c>
      <c r="BF992" t="str">
        <f>HYPERLINK("http://dx.doi.org/10.1016/j.jenvrad.2022.106930","http://dx.doi.org/10.1016/j.jenvrad.2022.106930")</f>
        <v>http://dx.doi.org/10.1016/j.jenvrad.2022.106930</v>
      </c>
      <c r="BG992" t="s">
        <v>74</v>
      </c>
      <c r="BH992" t="s">
        <v>17025</v>
      </c>
      <c r="BI992">
        <v>8</v>
      </c>
      <c r="BJ992" t="s">
        <v>2040</v>
      </c>
      <c r="BK992" t="s">
        <v>100</v>
      </c>
      <c r="BL992" t="s">
        <v>2041</v>
      </c>
      <c r="BM992" t="s">
        <v>19087</v>
      </c>
      <c r="BN992">
        <v>35700568</v>
      </c>
      <c r="BO992" t="s">
        <v>1221</v>
      </c>
      <c r="BP992" t="s">
        <v>74</v>
      </c>
      <c r="BQ992" t="s">
        <v>74</v>
      </c>
      <c r="BR992" t="s">
        <v>103</v>
      </c>
      <c r="BS992" t="s">
        <v>19088</v>
      </c>
      <c r="BT992" t="str">
        <f>HYPERLINK("https%3A%2F%2Fwww.webofscience.com%2Fwos%2Fwoscc%2Ffull-record%2FWOS:000884313300002","View Full Record in Web of Science")</f>
        <v>View Full Record in Web of Science</v>
      </c>
    </row>
    <row r="993" spans="1:72" x14ac:dyDescent="0.15">
      <c r="A993" t="s">
        <v>72</v>
      </c>
      <c r="B993" t="s">
        <v>19089</v>
      </c>
      <c r="C993" t="s">
        <v>74</v>
      </c>
      <c r="D993" t="s">
        <v>74</v>
      </c>
      <c r="E993" t="s">
        <v>74</v>
      </c>
      <c r="F993" t="s">
        <v>19090</v>
      </c>
      <c r="G993" t="s">
        <v>74</v>
      </c>
      <c r="H993" t="s">
        <v>74</v>
      </c>
      <c r="I993" t="s">
        <v>19091</v>
      </c>
      <c r="J993" t="s">
        <v>19092</v>
      </c>
      <c r="K993" t="s">
        <v>74</v>
      </c>
      <c r="L993" t="s">
        <v>74</v>
      </c>
      <c r="M993" t="s">
        <v>78</v>
      </c>
      <c r="N993" t="s">
        <v>79</v>
      </c>
      <c r="O993" t="s">
        <v>74</v>
      </c>
      <c r="P993" t="s">
        <v>74</v>
      </c>
      <c r="Q993" t="s">
        <v>74</v>
      </c>
      <c r="R993" t="s">
        <v>74</v>
      </c>
      <c r="S993" t="s">
        <v>74</v>
      </c>
      <c r="T993" t="s">
        <v>19093</v>
      </c>
      <c r="U993" t="s">
        <v>19094</v>
      </c>
      <c r="V993" t="s">
        <v>19095</v>
      </c>
      <c r="W993" t="s">
        <v>19096</v>
      </c>
      <c r="X993" t="s">
        <v>19097</v>
      </c>
      <c r="Y993" t="s">
        <v>19098</v>
      </c>
      <c r="Z993" t="s">
        <v>19099</v>
      </c>
      <c r="AA993" t="s">
        <v>19100</v>
      </c>
      <c r="AB993" t="s">
        <v>19101</v>
      </c>
      <c r="AC993" t="s">
        <v>19102</v>
      </c>
      <c r="AD993" t="s">
        <v>19103</v>
      </c>
      <c r="AE993" t="s">
        <v>19104</v>
      </c>
      <c r="AF993" t="s">
        <v>74</v>
      </c>
      <c r="AG993">
        <v>474</v>
      </c>
      <c r="AH993">
        <v>15</v>
      </c>
      <c r="AI993">
        <v>15</v>
      </c>
      <c r="AJ993">
        <v>1</v>
      </c>
      <c r="AK993">
        <v>30</v>
      </c>
      <c r="AL993" t="s">
        <v>501</v>
      </c>
      <c r="AM993" t="s">
        <v>502</v>
      </c>
      <c r="AN993" t="s">
        <v>503</v>
      </c>
      <c r="AO993" t="s">
        <v>19105</v>
      </c>
      <c r="AP993" t="s">
        <v>74</v>
      </c>
      <c r="AQ993" t="s">
        <v>74</v>
      </c>
      <c r="AR993" t="s">
        <v>19106</v>
      </c>
      <c r="AS993" t="s">
        <v>19107</v>
      </c>
      <c r="AT993" t="s">
        <v>184</v>
      </c>
      <c r="AU993">
        <v>2022</v>
      </c>
      <c r="AV993">
        <v>32</v>
      </c>
      <c r="AW993" t="s">
        <v>74</v>
      </c>
      <c r="AX993" t="s">
        <v>74</v>
      </c>
      <c r="AY993" t="s">
        <v>74</v>
      </c>
      <c r="AZ993" t="s">
        <v>74</v>
      </c>
      <c r="BA993" t="s">
        <v>74</v>
      </c>
      <c r="BB993" t="s">
        <v>74</v>
      </c>
      <c r="BC993" t="s">
        <v>74</v>
      </c>
      <c r="BD993" t="s">
        <v>19108</v>
      </c>
      <c r="BE993" t="s">
        <v>19109</v>
      </c>
      <c r="BF993" t="str">
        <f>HYPERLINK("http://dx.doi.org/10.1016/j.susmat.2022.e00447","http://dx.doi.org/10.1016/j.susmat.2022.e00447")</f>
        <v>http://dx.doi.org/10.1016/j.susmat.2022.e00447</v>
      </c>
      <c r="BG993" t="s">
        <v>74</v>
      </c>
      <c r="BH993" t="s">
        <v>17025</v>
      </c>
      <c r="BI993">
        <v>27</v>
      </c>
      <c r="BJ993" t="s">
        <v>19110</v>
      </c>
      <c r="BK993" t="s">
        <v>100</v>
      </c>
      <c r="BL993" t="s">
        <v>19111</v>
      </c>
      <c r="BM993" t="s">
        <v>19112</v>
      </c>
      <c r="BN993" t="s">
        <v>74</v>
      </c>
      <c r="BO993" t="s">
        <v>74</v>
      </c>
      <c r="BP993" t="s">
        <v>74</v>
      </c>
      <c r="BQ993" t="s">
        <v>74</v>
      </c>
      <c r="BR993" t="s">
        <v>103</v>
      </c>
      <c r="BS993" t="s">
        <v>19113</v>
      </c>
      <c r="BT993" t="str">
        <f>HYPERLINK("https%3A%2F%2Fwww.webofscience.com%2Fwos%2Fwoscc%2Ffull-record%2FWOS:000836428400004","View Full Record in Web of Science")</f>
        <v>View Full Record in Web of Science</v>
      </c>
    </row>
    <row r="994" spans="1:72" x14ac:dyDescent="0.15">
      <c r="A994" t="s">
        <v>72</v>
      </c>
      <c r="B994" t="s">
        <v>19114</v>
      </c>
      <c r="C994" t="s">
        <v>74</v>
      </c>
      <c r="D994" t="s">
        <v>74</v>
      </c>
      <c r="E994" t="s">
        <v>74</v>
      </c>
      <c r="F994" t="s">
        <v>19115</v>
      </c>
      <c r="G994" t="s">
        <v>74</v>
      </c>
      <c r="H994" t="s">
        <v>74</v>
      </c>
      <c r="I994" t="s">
        <v>19116</v>
      </c>
      <c r="J994" t="s">
        <v>247</v>
      </c>
      <c r="K994" t="s">
        <v>74</v>
      </c>
      <c r="L994" t="s">
        <v>74</v>
      </c>
      <c r="M994" t="s">
        <v>78</v>
      </c>
      <c r="N994" t="s">
        <v>79</v>
      </c>
      <c r="O994" t="s">
        <v>74</v>
      </c>
      <c r="P994" t="s">
        <v>74</v>
      </c>
      <c r="Q994" t="s">
        <v>74</v>
      </c>
      <c r="R994" t="s">
        <v>74</v>
      </c>
      <c r="S994" t="s">
        <v>74</v>
      </c>
      <c r="T994" t="s">
        <v>19117</v>
      </c>
      <c r="U994" t="s">
        <v>19118</v>
      </c>
      <c r="V994" t="s">
        <v>19119</v>
      </c>
      <c r="W994" t="s">
        <v>19120</v>
      </c>
      <c r="X994" t="s">
        <v>19121</v>
      </c>
      <c r="Y994" t="s">
        <v>19122</v>
      </c>
      <c r="Z994" t="s">
        <v>19123</v>
      </c>
      <c r="AA994" t="s">
        <v>19124</v>
      </c>
      <c r="AB994" t="s">
        <v>19125</v>
      </c>
      <c r="AC994" t="s">
        <v>74</v>
      </c>
      <c r="AD994" t="s">
        <v>74</v>
      </c>
      <c r="AE994" t="s">
        <v>74</v>
      </c>
      <c r="AF994" t="s">
        <v>74</v>
      </c>
      <c r="AG994">
        <v>118</v>
      </c>
      <c r="AH994">
        <v>5</v>
      </c>
      <c r="AI994">
        <v>5</v>
      </c>
      <c r="AJ994">
        <v>15</v>
      </c>
      <c r="AK994">
        <v>79</v>
      </c>
      <c r="AL994" t="s">
        <v>121</v>
      </c>
      <c r="AM994" t="s">
        <v>122</v>
      </c>
      <c r="AN994" t="s">
        <v>123</v>
      </c>
      <c r="AO994" t="s">
        <v>74</v>
      </c>
      <c r="AP994" t="s">
        <v>258</v>
      </c>
      <c r="AQ994" t="s">
        <v>74</v>
      </c>
      <c r="AR994" t="s">
        <v>259</v>
      </c>
      <c r="AS994" t="s">
        <v>260</v>
      </c>
      <c r="AT994" t="s">
        <v>19126</v>
      </c>
      <c r="AU994">
        <v>2022</v>
      </c>
      <c r="AV994">
        <v>9</v>
      </c>
      <c r="AW994" t="s">
        <v>74</v>
      </c>
      <c r="AX994" t="s">
        <v>74</v>
      </c>
      <c r="AY994" t="s">
        <v>74</v>
      </c>
      <c r="AZ994" t="s">
        <v>74</v>
      </c>
      <c r="BA994" t="s">
        <v>74</v>
      </c>
      <c r="BB994" t="s">
        <v>74</v>
      </c>
      <c r="BC994" t="s">
        <v>74</v>
      </c>
      <c r="BD994">
        <v>872727</v>
      </c>
      <c r="BE994" t="s">
        <v>19127</v>
      </c>
      <c r="BF994" t="str">
        <f>HYPERLINK("http://dx.doi.org/10.3389/fmars.2022.872727","http://dx.doi.org/10.3389/fmars.2022.872727")</f>
        <v>http://dx.doi.org/10.3389/fmars.2022.872727</v>
      </c>
      <c r="BG994" t="s">
        <v>74</v>
      </c>
      <c r="BH994" t="s">
        <v>74</v>
      </c>
      <c r="BI994">
        <v>13</v>
      </c>
      <c r="BJ994" t="s">
        <v>263</v>
      </c>
      <c r="BK994" t="s">
        <v>100</v>
      </c>
      <c r="BL994" t="s">
        <v>264</v>
      </c>
      <c r="BM994" t="s">
        <v>19128</v>
      </c>
      <c r="BN994" t="s">
        <v>74</v>
      </c>
      <c r="BO994" t="s">
        <v>2844</v>
      </c>
      <c r="BP994" t="s">
        <v>74</v>
      </c>
      <c r="BQ994" t="s">
        <v>74</v>
      </c>
      <c r="BR994" t="s">
        <v>103</v>
      </c>
      <c r="BS994" t="s">
        <v>19129</v>
      </c>
      <c r="BT994" t="str">
        <f>HYPERLINK("https%3A%2F%2Fwww.webofscience.com%2Fwos%2Fwoscc%2Ffull-record%2FWOS:000815686300001","View Full Record in Web of Science")</f>
        <v>View Full Record in Web of Science</v>
      </c>
    </row>
    <row r="995" spans="1:72" x14ac:dyDescent="0.15">
      <c r="A995" t="s">
        <v>72</v>
      </c>
      <c r="B995" t="s">
        <v>19130</v>
      </c>
      <c r="C995" t="s">
        <v>74</v>
      </c>
      <c r="D995" t="s">
        <v>74</v>
      </c>
      <c r="E995" t="s">
        <v>74</v>
      </c>
      <c r="F995" t="s">
        <v>19131</v>
      </c>
      <c r="G995" t="s">
        <v>74</v>
      </c>
      <c r="H995" t="s">
        <v>74</v>
      </c>
      <c r="I995" t="s">
        <v>19132</v>
      </c>
      <c r="J995" t="s">
        <v>247</v>
      </c>
      <c r="K995" t="s">
        <v>74</v>
      </c>
      <c r="L995" t="s">
        <v>74</v>
      </c>
      <c r="M995" t="s">
        <v>78</v>
      </c>
      <c r="N995" t="s">
        <v>79</v>
      </c>
      <c r="O995" t="s">
        <v>74</v>
      </c>
      <c r="P995" t="s">
        <v>74</v>
      </c>
      <c r="Q995" t="s">
        <v>74</v>
      </c>
      <c r="R995" t="s">
        <v>74</v>
      </c>
      <c r="S995" t="s">
        <v>74</v>
      </c>
      <c r="T995" t="s">
        <v>19133</v>
      </c>
      <c r="U995" t="s">
        <v>19134</v>
      </c>
      <c r="V995" t="s">
        <v>19135</v>
      </c>
      <c r="W995" t="s">
        <v>19136</v>
      </c>
      <c r="X995" t="s">
        <v>19137</v>
      </c>
      <c r="Y995" t="s">
        <v>19138</v>
      </c>
      <c r="Z995" t="s">
        <v>19139</v>
      </c>
      <c r="AA995" t="s">
        <v>19140</v>
      </c>
      <c r="AB995" t="s">
        <v>74</v>
      </c>
      <c r="AC995" t="s">
        <v>19141</v>
      </c>
      <c r="AD995" t="s">
        <v>19142</v>
      </c>
      <c r="AE995" t="s">
        <v>19143</v>
      </c>
      <c r="AF995" t="s">
        <v>74</v>
      </c>
      <c r="AG995">
        <v>70</v>
      </c>
      <c r="AH995">
        <v>1</v>
      </c>
      <c r="AI995">
        <v>1</v>
      </c>
      <c r="AJ995">
        <v>6</v>
      </c>
      <c r="AK995">
        <v>30</v>
      </c>
      <c r="AL995" t="s">
        <v>121</v>
      </c>
      <c r="AM995" t="s">
        <v>122</v>
      </c>
      <c r="AN995" t="s">
        <v>123</v>
      </c>
      <c r="AO995" t="s">
        <v>74</v>
      </c>
      <c r="AP995" t="s">
        <v>258</v>
      </c>
      <c r="AQ995" t="s">
        <v>74</v>
      </c>
      <c r="AR995" t="s">
        <v>259</v>
      </c>
      <c r="AS995" t="s">
        <v>260</v>
      </c>
      <c r="AT995" t="s">
        <v>19126</v>
      </c>
      <c r="AU995">
        <v>2022</v>
      </c>
      <c r="AV995">
        <v>9</v>
      </c>
      <c r="AW995" t="s">
        <v>74</v>
      </c>
      <c r="AX995" t="s">
        <v>74</v>
      </c>
      <c r="AY995" t="s">
        <v>74</v>
      </c>
      <c r="AZ995" t="s">
        <v>74</v>
      </c>
      <c r="BA995" t="s">
        <v>74</v>
      </c>
      <c r="BB995" t="s">
        <v>74</v>
      </c>
      <c r="BC995" t="s">
        <v>74</v>
      </c>
      <c r="BD995">
        <v>819734</v>
      </c>
      <c r="BE995" t="s">
        <v>19144</v>
      </c>
      <c r="BF995" t="str">
        <f>HYPERLINK("http://dx.doi.org/10.3389/fmars.2022.819734","http://dx.doi.org/10.3389/fmars.2022.819734")</f>
        <v>http://dx.doi.org/10.3389/fmars.2022.819734</v>
      </c>
      <c r="BG995" t="s">
        <v>74</v>
      </c>
      <c r="BH995" t="s">
        <v>74</v>
      </c>
      <c r="BI995">
        <v>13</v>
      </c>
      <c r="BJ995" t="s">
        <v>263</v>
      </c>
      <c r="BK995" t="s">
        <v>100</v>
      </c>
      <c r="BL995" t="s">
        <v>264</v>
      </c>
      <c r="BM995" t="s">
        <v>19145</v>
      </c>
      <c r="BN995" t="s">
        <v>74</v>
      </c>
      <c r="BO995" t="s">
        <v>266</v>
      </c>
      <c r="BP995" t="s">
        <v>74</v>
      </c>
      <c r="BQ995" t="s">
        <v>74</v>
      </c>
      <c r="BR995" t="s">
        <v>103</v>
      </c>
      <c r="BS995" t="s">
        <v>19146</v>
      </c>
      <c r="BT995" t="str">
        <f>HYPERLINK("https%3A%2F%2Fwww.webofscience.com%2Fwos%2Fwoscc%2Ffull-record%2FWOS:000815702800001","View Full Record in Web of Science")</f>
        <v>View Full Record in Web of Science</v>
      </c>
    </row>
    <row r="996" spans="1:72" x14ac:dyDescent="0.15">
      <c r="A996" t="s">
        <v>72</v>
      </c>
      <c r="B996" t="s">
        <v>19147</v>
      </c>
      <c r="C996" t="s">
        <v>74</v>
      </c>
      <c r="D996" t="s">
        <v>74</v>
      </c>
      <c r="E996" t="s">
        <v>74</v>
      </c>
      <c r="F996" t="s">
        <v>19148</v>
      </c>
      <c r="G996" t="s">
        <v>74</v>
      </c>
      <c r="H996" t="s">
        <v>74</v>
      </c>
      <c r="I996" t="s">
        <v>19149</v>
      </c>
      <c r="J996" t="s">
        <v>247</v>
      </c>
      <c r="K996" t="s">
        <v>74</v>
      </c>
      <c r="L996" t="s">
        <v>74</v>
      </c>
      <c r="M996" t="s">
        <v>78</v>
      </c>
      <c r="N996" t="s">
        <v>79</v>
      </c>
      <c r="O996" t="s">
        <v>74</v>
      </c>
      <c r="P996" t="s">
        <v>74</v>
      </c>
      <c r="Q996" t="s">
        <v>74</v>
      </c>
      <c r="R996" t="s">
        <v>74</v>
      </c>
      <c r="S996" t="s">
        <v>74</v>
      </c>
      <c r="T996" t="s">
        <v>19150</v>
      </c>
      <c r="U996" t="s">
        <v>19151</v>
      </c>
      <c r="V996" t="s">
        <v>19152</v>
      </c>
      <c r="W996" t="s">
        <v>19153</v>
      </c>
      <c r="X996" t="s">
        <v>19154</v>
      </c>
      <c r="Y996" t="s">
        <v>19155</v>
      </c>
      <c r="Z996" t="s">
        <v>19156</v>
      </c>
      <c r="AA996" t="s">
        <v>74</v>
      </c>
      <c r="AB996" t="s">
        <v>74</v>
      </c>
      <c r="AC996" t="s">
        <v>74</v>
      </c>
      <c r="AD996" t="s">
        <v>74</v>
      </c>
      <c r="AE996" t="s">
        <v>74</v>
      </c>
      <c r="AF996" t="s">
        <v>74</v>
      </c>
      <c r="AG996">
        <v>27</v>
      </c>
      <c r="AH996">
        <v>2</v>
      </c>
      <c r="AI996">
        <v>2</v>
      </c>
      <c r="AJ996">
        <v>2</v>
      </c>
      <c r="AK996">
        <v>8</v>
      </c>
      <c r="AL996" t="s">
        <v>121</v>
      </c>
      <c r="AM996" t="s">
        <v>122</v>
      </c>
      <c r="AN996" t="s">
        <v>123</v>
      </c>
      <c r="AO996" t="s">
        <v>74</v>
      </c>
      <c r="AP996" t="s">
        <v>258</v>
      </c>
      <c r="AQ996" t="s">
        <v>74</v>
      </c>
      <c r="AR996" t="s">
        <v>259</v>
      </c>
      <c r="AS996" t="s">
        <v>260</v>
      </c>
      <c r="AT996" t="s">
        <v>19126</v>
      </c>
      <c r="AU996">
        <v>2022</v>
      </c>
      <c r="AV996">
        <v>9</v>
      </c>
      <c r="AW996" t="s">
        <v>74</v>
      </c>
      <c r="AX996" t="s">
        <v>74</v>
      </c>
      <c r="AY996" t="s">
        <v>74</v>
      </c>
      <c r="AZ996" t="s">
        <v>74</v>
      </c>
      <c r="BA996" t="s">
        <v>74</v>
      </c>
      <c r="BB996" t="s">
        <v>74</v>
      </c>
      <c r="BC996" t="s">
        <v>74</v>
      </c>
      <c r="BD996">
        <v>864808</v>
      </c>
      <c r="BE996" t="s">
        <v>19157</v>
      </c>
      <c r="BF996" t="str">
        <f>HYPERLINK("http://dx.doi.org/10.3389/fmars.2022.864808","http://dx.doi.org/10.3389/fmars.2022.864808")</f>
        <v>http://dx.doi.org/10.3389/fmars.2022.864808</v>
      </c>
      <c r="BG996" t="s">
        <v>74</v>
      </c>
      <c r="BH996" t="s">
        <v>74</v>
      </c>
      <c r="BI996">
        <v>14</v>
      </c>
      <c r="BJ996" t="s">
        <v>263</v>
      </c>
      <c r="BK996" t="s">
        <v>100</v>
      </c>
      <c r="BL996" t="s">
        <v>264</v>
      </c>
      <c r="BM996" t="s">
        <v>19158</v>
      </c>
      <c r="BN996" t="s">
        <v>74</v>
      </c>
      <c r="BO996" t="s">
        <v>266</v>
      </c>
      <c r="BP996" t="s">
        <v>74</v>
      </c>
      <c r="BQ996" t="s">
        <v>74</v>
      </c>
      <c r="BR996" t="s">
        <v>103</v>
      </c>
      <c r="BS996" t="s">
        <v>19159</v>
      </c>
      <c r="BT996" t="str">
        <f>HYPERLINK("https%3A%2F%2Fwww.webofscience.com%2Fwos%2Fwoscc%2Ffull-record%2FWOS:000815689100001","View Full Record in Web of Science")</f>
        <v>View Full Record in Web of Science</v>
      </c>
    </row>
    <row r="997" spans="1:72" x14ac:dyDescent="0.15">
      <c r="A997" t="s">
        <v>72</v>
      </c>
      <c r="B997" t="s">
        <v>19160</v>
      </c>
      <c r="C997" t="s">
        <v>74</v>
      </c>
      <c r="D997" t="s">
        <v>74</v>
      </c>
      <c r="E997" t="s">
        <v>74</v>
      </c>
      <c r="F997" t="s">
        <v>19161</v>
      </c>
      <c r="G997" t="s">
        <v>74</v>
      </c>
      <c r="H997" t="s">
        <v>74</v>
      </c>
      <c r="I997" t="s">
        <v>19162</v>
      </c>
      <c r="J997" t="s">
        <v>3171</v>
      </c>
      <c r="K997" t="s">
        <v>74</v>
      </c>
      <c r="L997" t="s">
        <v>74</v>
      </c>
      <c r="M997" t="s">
        <v>78</v>
      </c>
      <c r="N997" t="s">
        <v>79</v>
      </c>
      <c r="O997" t="s">
        <v>74</v>
      </c>
      <c r="P997" t="s">
        <v>74</v>
      </c>
      <c r="Q997" t="s">
        <v>74</v>
      </c>
      <c r="R997" t="s">
        <v>74</v>
      </c>
      <c r="S997" t="s">
        <v>74</v>
      </c>
      <c r="T997" t="s">
        <v>19163</v>
      </c>
      <c r="U997" t="s">
        <v>19164</v>
      </c>
      <c r="V997" t="s">
        <v>19165</v>
      </c>
      <c r="W997" t="s">
        <v>19166</v>
      </c>
      <c r="X997" t="s">
        <v>19167</v>
      </c>
      <c r="Y997" t="s">
        <v>19168</v>
      </c>
      <c r="Z997" t="s">
        <v>19169</v>
      </c>
      <c r="AA997" t="s">
        <v>19170</v>
      </c>
      <c r="AB997" t="s">
        <v>19171</v>
      </c>
      <c r="AC997" t="s">
        <v>74</v>
      </c>
      <c r="AD997" t="s">
        <v>74</v>
      </c>
      <c r="AE997" t="s">
        <v>74</v>
      </c>
      <c r="AF997" t="s">
        <v>74</v>
      </c>
      <c r="AG997">
        <v>114</v>
      </c>
      <c r="AH997">
        <v>2</v>
      </c>
      <c r="AI997">
        <v>2</v>
      </c>
      <c r="AJ997">
        <v>3</v>
      </c>
      <c r="AK997">
        <v>20</v>
      </c>
      <c r="AL997" t="s">
        <v>121</v>
      </c>
      <c r="AM997" t="s">
        <v>122</v>
      </c>
      <c r="AN997" t="s">
        <v>123</v>
      </c>
      <c r="AO997" t="s">
        <v>74</v>
      </c>
      <c r="AP997" t="s">
        <v>3183</v>
      </c>
      <c r="AQ997" t="s">
        <v>74</v>
      </c>
      <c r="AR997" t="s">
        <v>3184</v>
      </c>
      <c r="AS997" t="s">
        <v>3185</v>
      </c>
      <c r="AT997" t="s">
        <v>19126</v>
      </c>
      <c r="AU997">
        <v>2022</v>
      </c>
      <c r="AV997">
        <v>13</v>
      </c>
      <c r="AW997" t="s">
        <v>74</v>
      </c>
      <c r="AX997" t="s">
        <v>74</v>
      </c>
      <c r="AY997" t="s">
        <v>74</v>
      </c>
      <c r="AZ997" t="s">
        <v>74</v>
      </c>
      <c r="BA997" t="s">
        <v>74</v>
      </c>
      <c r="BB997" t="s">
        <v>74</v>
      </c>
      <c r="BC997" t="s">
        <v>74</v>
      </c>
      <c r="BD997">
        <v>903621</v>
      </c>
      <c r="BE997" t="s">
        <v>19172</v>
      </c>
      <c r="BF997" t="str">
        <f>HYPERLINK("http://dx.doi.org/10.3389/fmicb.2022.903621","http://dx.doi.org/10.3389/fmicb.2022.903621")</f>
        <v>http://dx.doi.org/10.3389/fmicb.2022.903621</v>
      </c>
      <c r="BG997" t="s">
        <v>74</v>
      </c>
      <c r="BH997" t="s">
        <v>74</v>
      </c>
      <c r="BI997">
        <v>17</v>
      </c>
      <c r="BJ997" t="s">
        <v>214</v>
      </c>
      <c r="BK997" t="s">
        <v>100</v>
      </c>
      <c r="BL997" t="s">
        <v>214</v>
      </c>
      <c r="BM997" t="s">
        <v>19173</v>
      </c>
      <c r="BN997">
        <v>35756013</v>
      </c>
      <c r="BO997" t="s">
        <v>1655</v>
      </c>
      <c r="BP997" t="s">
        <v>74</v>
      </c>
      <c r="BQ997" t="s">
        <v>74</v>
      </c>
      <c r="BR997" t="s">
        <v>103</v>
      </c>
      <c r="BS997" t="s">
        <v>19174</v>
      </c>
      <c r="BT997" t="str">
        <f>HYPERLINK("https%3A%2F%2Fwww.webofscience.com%2Fwos%2Fwoscc%2Ffull-record%2FWOS:000815681100001","View Full Record in Web of Science")</f>
        <v>View Full Record in Web of Science</v>
      </c>
    </row>
    <row r="998" spans="1:72" x14ac:dyDescent="0.15">
      <c r="A998" t="s">
        <v>72</v>
      </c>
      <c r="B998" t="s">
        <v>19175</v>
      </c>
      <c r="C998" t="s">
        <v>74</v>
      </c>
      <c r="D998" t="s">
        <v>74</v>
      </c>
      <c r="E998" t="s">
        <v>74</v>
      </c>
      <c r="F998" t="s">
        <v>19176</v>
      </c>
      <c r="G998" t="s">
        <v>74</v>
      </c>
      <c r="H998" t="s">
        <v>74</v>
      </c>
      <c r="I998" t="s">
        <v>19177</v>
      </c>
      <c r="J998" t="s">
        <v>9746</v>
      </c>
      <c r="K998" t="s">
        <v>74</v>
      </c>
      <c r="L998" t="s">
        <v>74</v>
      </c>
      <c r="M998" t="s">
        <v>78</v>
      </c>
      <c r="N998" t="s">
        <v>79</v>
      </c>
      <c r="O998" t="s">
        <v>74</v>
      </c>
      <c r="P998" t="s">
        <v>74</v>
      </c>
      <c r="Q998" t="s">
        <v>74</v>
      </c>
      <c r="R998" t="s">
        <v>74</v>
      </c>
      <c r="S998" t="s">
        <v>74</v>
      </c>
      <c r="T998" t="s">
        <v>19178</v>
      </c>
      <c r="U998" t="s">
        <v>19179</v>
      </c>
      <c r="V998" t="s">
        <v>19180</v>
      </c>
      <c r="W998" t="s">
        <v>19181</v>
      </c>
      <c r="X998" t="s">
        <v>19182</v>
      </c>
      <c r="Y998" t="s">
        <v>19183</v>
      </c>
      <c r="Z998" t="s">
        <v>19184</v>
      </c>
      <c r="AA998" t="s">
        <v>19185</v>
      </c>
      <c r="AB998" t="s">
        <v>19186</v>
      </c>
      <c r="AC998" t="s">
        <v>19187</v>
      </c>
      <c r="AD998" t="s">
        <v>19188</v>
      </c>
      <c r="AE998" t="s">
        <v>19189</v>
      </c>
      <c r="AF998" t="s">
        <v>74</v>
      </c>
      <c r="AG998">
        <v>450</v>
      </c>
      <c r="AH998">
        <v>39</v>
      </c>
      <c r="AI998">
        <v>40</v>
      </c>
      <c r="AJ998">
        <v>38</v>
      </c>
      <c r="AK998">
        <v>116</v>
      </c>
      <c r="AL998" t="s">
        <v>501</v>
      </c>
      <c r="AM998" t="s">
        <v>502</v>
      </c>
      <c r="AN998" t="s">
        <v>503</v>
      </c>
      <c r="AO998" t="s">
        <v>9758</v>
      </c>
      <c r="AP998" t="s">
        <v>9759</v>
      </c>
      <c r="AQ998" t="s">
        <v>74</v>
      </c>
      <c r="AR998" t="s">
        <v>9760</v>
      </c>
      <c r="AS998" t="s">
        <v>9761</v>
      </c>
      <c r="AT998" t="s">
        <v>5386</v>
      </c>
      <c r="AU998">
        <v>2022</v>
      </c>
      <c r="AV998">
        <v>231</v>
      </c>
      <c r="AW998" t="s">
        <v>74</v>
      </c>
      <c r="AX998" t="s">
        <v>74</v>
      </c>
      <c r="AY998" t="s">
        <v>74</v>
      </c>
      <c r="AZ998" t="s">
        <v>74</v>
      </c>
      <c r="BA998" t="s">
        <v>74</v>
      </c>
      <c r="BB998" t="s">
        <v>74</v>
      </c>
      <c r="BC998" t="s">
        <v>74</v>
      </c>
      <c r="BD998">
        <v>104069</v>
      </c>
      <c r="BE998" t="s">
        <v>19190</v>
      </c>
      <c r="BF998" t="str">
        <f>HYPERLINK("http://dx.doi.org/10.1016/j.earscirev.2022.104069","http://dx.doi.org/10.1016/j.earscirev.2022.104069")</f>
        <v>http://dx.doi.org/10.1016/j.earscirev.2022.104069</v>
      </c>
      <c r="BG998" t="s">
        <v>74</v>
      </c>
      <c r="BH998" t="s">
        <v>17025</v>
      </c>
      <c r="BI998">
        <v>35</v>
      </c>
      <c r="BJ998" t="s">
        <v>129</v>
      </c>
      <c r="BK998" t="s">
        <v>100</v>
      </c>
      <c r="BL998" t="s">
        <v>130</v>
      </c>
      <c r="BM998" t="s">
        <v>19191</v>
      </c>
      <c r="BN998" t="s">
        <v>74</v>
      </c>
      <c r="BO998" t="s">
        <v>3327</v>
      </c>
      <c r="BP998" t="s">
        <v>74</v>
      </c>
      <c r="BQ998" t="s">
        <v>74</v>
      </c>
      <c r="BR998" t="s">
        <v>103</v>
      </c>
      <c r="BS998" t="s">
        <v>19192</v>
      </c>
      <c r="BT998" t="str">
        <f>HYPERLINK("https%3A%2F%2Fwww.webofscience.com%2Fwos%2Fwoscc%2Ffull-record%2FWOS:000812145400002","View Full Record in Web of Science")</f>
        <v>View Full Record in Web of Science</v>
      </c>
    </row>
    <row r="999" spans="1:72" x14ac:dyDescent="0.15">
      <c r="A999" t="s">
        <v>72</v>
      </c>
      <c r="B999" t="s">
        <v>19193</v>
      </c>
      <c r="C999" t="s">
        <v>74</v>
      </c>
      <c r="D999" t="s">
        <v>74</v>
      </c>
      <c r="E999" t="s">
        <v>74</v>
      </c>
      <c r="F999" t="s">
        <v>19194</v>
      </c>
      <c r="G999" t="s">
        <v>74</v>
      </c>
      <c r="H999" t="s">
        <v>74</v>
      </c>
      <c r="I999" t="s">
        <v>19195</v>
      </c>
      <c r="J999" t="s">
        <v>3356</v>
      </c>
      <c r="K999" t="s">
        <v>74</v>
      </c>
      <c r="L999" t="s">
        <v>74</v>
      </c>
      <c r="M999" t="s">
        <v>78</v>
      </c>
      <c r="N999" t="s">
        <v>79</v>
      </c>
      <c r="O999" t="s">
        <v>74</v>
      </c>
      <c r="P999" t="s">
        <v>74</v>
      </c>
      <c r="Q999" t="s">
        <v>74</v>
      </c>
      <c r="R999" t="s">
        <v>74</v>
      </c>
      <c r="S999" t="s">
        <v>74</v>
      </c>
      <c r="T999" t="s">
        <v>74</v>
      </c>
      <c r="U999" t="s">
        <v>19196</v>
      </c>
      <c r="V999" t="s">
        <v>19197</v>
      </c>
      <c r="W999" t="s">
        <v>19198</v>
      </c>
      <c r="X999" t="s">
        <v>19199</v>
      </c>
      <c r="Y999" t="s">
        <v>19200</v>
      </c>
      <c r="Z999" t="s">
        <v>19201</v>
      </c>
      <c r="AA999" t="s">
        <v>19202</v>
      </c>
      <c r="AB999" t="s">
        <v>19203</v>
      </c>
      <c r="AC999" t="s">
        <v>19204</v>
      </c>
      <c r="AD999" t="s">
        <v>19204</v>
      </c>
      <c r="AE999" t="s">
        <v>19205</v>
      </c>
      <c r="AF999" t="s">
        <v>74</v>
      </c>
      <c r="AG999">
        <v>30</v>
      </c>
      <c r="AH999">
        <v>6</v>
      </c>
      <c r="AI999">
        <v>6</v>
      </c>
      <c r="AJ999">
        <v>3</v>
      </c>
      <c r="AK999">
        <v>8</v>
      </c>
      <c r="AL999" t="s">
        <v>2460</v>
      </c>
      <c r="AM999" t="s">
        <v>2461</v>
      </c>
      <c r="AN999" t="s">
        <v>2462</v>
      </c>
      <c r="AO999" t="s">
        <v>3368</v>
      </c>
      <c r="AP999" t="s">
        <v>3369</v>
      </c>
      <c r="AQ999" t="s">
        <v>74</v>
      </c>
      <c r="AR999" t="s">
        <v>3370</v>
      </c>
      <c r="AS999" t="s">
        <v>3371</v>
      </c>
      <c r="AT999" t="s">
        <v>19126</v>
      </c>
      <c r="AU999">
        <v>2022</v>
      </c>
      <c r="AV999">
        <v>14</v>
      </c>
      <c r="AW999">
        <v>6</v>
      </c>
      <c r="AX999" t="s">
        <v>74</v>
      </c>
      <c r="AY999" t="s">
        <v>74</v>
      </c>
      <c r="AZ999" t="s">
        <v>74</v>
      </c>
      <c r="BA999" t="s">
        <v>74</v>
      </c>
      <c r="BB999">
        <v>2721</v>
      </c>
      <c r="BC999">
        <v>2735</v>
      </c>
      <c r="BD999" t="s">
        <v>74</v>
      </c>
      <c r="BE999" t="s">
        <v>19206</v>
      </c>
      <c r="BF999" t="str">
        <f>HYPERLINK("http://dx.doi.org/10.5194/essd-14-2721-2022","http://dx.doi.org/10.5194/essd-14-2721-2022")</f>
        <v>http://dx.doi.org/10.5194/essd-14-2721-2022</v>
      </c>
      <c r="BG999" t="s">
        <v>74</v>
      </c>
      <c r="BH999" t="s">
        <v>74</v>
      </c>
      <c r="BI999">
        <v>15</v>
      </c>
      <c r="BJ999" t="s">
        <v>3373</v>
      </c>
      <c r="BK999" t="s">
        <v>100</v>
      </c>
      <c r="BL999" t="s">
        <v>3374</v>
      </c>
      <c r="BM999" t="s">
        <v>19207</v>
      </c>
      <c r="BN999" t="s">
        <v>74</v>
      </c>
      <c r="BO999" t="s">
        <v>4126</v>
      </c>
      <c r="BP999" t="s">
        <v>74</v>
      </c>
      <c r="BQ999" t="s">
        <v>74</v>
      </c>
      <c r="BR999" t="s">
        <v>103</v>
      </c>
      <c r="BS999" t="s">
        <v>19208</v>
      </c>
      <c r="BT999" t="str">
        <f>HYPERLINK("https%3A%2F%2Fwww.webofscience.com%2Fwos%2Fwoscc%2Ffull-record%2FWOS:000808540000001","View Full Record in Web of Science")</f>
        <v>View Full Record in Web of Science</v>
      </c>
    </row>
    <row r="1000" spans="1:72" x14ac:dyDescent="0.15">
      <c r="A1000" t="s">
        <v>72</v>
      </c>
      <c r="B1000" t="s">
        <v>19209</v>
      </c>
      <c r="C1000" t="s">
        <v>74</v>
      </c>
      <c r="D1000" t="s">
        <v>74</v>
      </c>
      <c r="E1000" t="s">
        <v>74</v>
      </c>
      <c r="F1000" t="s">
        <v>19210</v>
      </c>
      <c r="G1000" t="s">
        <v>74</v>
      </c>
      <c r="H1000" t="s">
        <v>74</v>
      </c>
      <c r="I1000" t="s">
        <v>19211</v>
      </c>
      <c r="J1000" t="s">
        <v>19212</v>
      </c>
      <c r="K1000" t="s">
        <v>74</v>
      </c>
      <c r="L1000" t="s">
        <v>74</v>
      </c>
      <c r="M1000" t="s">
        <v>78</v>
      </c>
      <c r="N1000" t="s">
        <v>79</v>
      </c>
      <c r="O1000" t="s">
        <v>74</v>
      </c>
      <c r="P1000" t="s">
        <v>74</v>
      </c>
      <c r="Q1000" t="s">
        <v>74</v>
      </c>
      <c r="R1000" t="s">
        <v>74</v>
      </c>
      <c r="S1000" t="s">
        <v>74</v>
      </c>
      <c r="T1000" t="s">
        <v>74</v>
      </c>
      <c r="U1000" t="s">
        <v>19213</v>
      </c>
      <c r="V1000" t="s">
        <v>19214</v>
      </c>
      <c r="W1000" t="s">
        <v>19215</v>
      </c>
      <c r="X1000" t="s">
        <v>19216</v>
      </c>
      <c r="Y1000" t="s">
        <v>19217</v>
      </c>
      <c r="Z1000" t="s">
        <v>19218</v>
      </c>
      <c r="AA1000" t="s">
        <v>74</v>
      </c>
      <c r="AB1000" t="s">
        <v>19219</v>
      </c>
      <c r="AC1000" t="s">
        <v>19220</v>
      </c>
      <c r="AD1000" t="s">
        <v>19221</v>
      </c>
      <c r="AE1000" t="s">
        <v>19222</v>
      </c>
      <c r="AF1000" t="s">
        <v>74</v>
      </c>
      <c r="AG1000">
        <v>85</v>
      </c>
      <c r="AH1000">
        <v>2</v>
      </c>
      <c r="AI1000">
        <v>2</v>
      </c>
      <c r="AJ1000">
        <v>2</v>
      </c>
      <c r="AK1000">
        <v>9</v>
      </c>
      <c r="AL1000" t="s">
        <v>231</v>
      </c>
      <c r="AM1000" t="s">
        <v>232</v>
      </c>
      <c r="AN1000" t="s">
        <v>233</v>
      </c>
      <c r="AO1000" t="s">
        <v>19223</v>
      </c>
      <c r="AP1000" t="s">
        <v>74</v>
      </c>
      <c r="AQ1000" t="s">
        <v>74</v>
      </c>
      <c r="AR1000" t="s">
        <v>19224</v>
      </c>
      <c r="AS1000" t="s">
        <v>19225</v>
      </c>
      <c r="AT1000" t="s">
        <v>5386</v>
      </c>
      <c r="AU1000">
        <v>2022</v>
      </c>
      <c r="AV1000">
        <v>14</v>
      </c>
      <c r="AW1000">
        <v>4</v>
      </c>
      <c r="AX1000" t="s">
        <v>74</v>
      </c>
      <c r="AY1000" t="s">
        <v>74</v>
      </c>
      <c r="AZ1000" t="s">
        <v>74</v>
      </c>
      <c r="BA1000" t="s">
        <v>74</v>
      </c>
      <c r="BB1000">
        <v>604</v>
      </c>
      <c r="BC1000">
        <v>615</v>
      </c>
      <c r="BD1000" t="s">
        <v>74</v>
      </c>
      <c r="BE1000" t="s">
        <v>19226</v>
      </c>
      <c r="BF1000" t="str">
        <f>HYPERLINK("http://dx.doi.org/10.1111/1758-2229.13084","http://dx.doi.org/10.1111/1758-2229.13084")</f>
        <v>http://dx.doi.org/10.1111/1758-2229.13084</v>
      </c>
      <c r="BG1000" t="s">
        <v>74</v>
      </c>
      <c r="BH1000" t="s">
        <v>17025</v>
      </c>
      <c r="BI1000">
        <v>12</v>
      </c>
      <c r="BJ1000" t="s">
        <v>19227</v>
      </c>
      <c r="BK1000" t="s">
        <v>100</v>
      </c>
      <c r="BL1000" t="s">
        <v>2781</v>
      </c>
      <c r="BM1000" t="s">
        <v>19228</v>
      </c>
      <c r="BN1000">
        <v>35689330</v>
      </c>
      <c r="BO1000" t="s">
        <v>74</v>
      </c>
      <c r="BP1000" t="s">
        <v>74</v>
      </c>
      <c r="BQ1000" t="s">
        <v>74</v>
      </c>
      <c r="BR1000" t="s">
        <v>103</v>
      </c>
      <c r="BS1000" t="s">
        <v>19229</v>
      </c>
      <c r="BT1000" t="str">
        <f>HYPERLINK("https%3A%2F%2Fwww.webofscience.com%2Fwos%2Fwoscc%2Ffull-record%2FWOS:000809277900001","View Full Record in Web of Science")</f>
        <v>View Full Record in Web of Science</v>
      </c>
    </row>
    <row r="1001" spans="1:72" x14ac:dyDescent="0.15">
      <c r="A1001" t="s">
        <v>72</v>
      </c>
      <c r="B1001" t="s">
        <v>19230</v>
      </c>
      <c r="C1001" t="s">
        <v>74</v>
      </c>
      <c r="D1001" t="s">
        <v>74</v>
      </c>
      <c r="E1001" t="s">
        <v>74</v>
      </c>
      <c r="F1001" t="s">
        <v>19231</v>
      </c>
      <c r="G1001" t="s">
        <v>74</v>
      </c>
      <c r="H1001" t="s">
        <v>74</v>
      </c>
      <c r="I1001" t="s">
        <v>19232</v>
      </c>
      <c r="J1001" t="s">
        <v>4327</v>
      </c>
      <c r="K1001" t="s">
        <v>74</v>
      </c>
      <c r="L1001" t="s">
        <v>74</v>
      </c>
      <c r="M1001" t="s">
        <v>78</v>
      </c>
      <c r="N1001" t="s">
        <v>79</v>
      </c>
      <c r="O1001" t="s">
        <v>74</v>
      </c>
      <c r="P1001" t="s">
        <v>74</v>
      </c>
      <c r="Q1001" t="s">
        <v>74</v>
      </c>
      <c r="R1001" t="s">
        <v>74</v>
      </c>
      <c r="S1001" t="s">
        <v>74</v>
      </c>
      <c r="T1001" t="s">
        <v>19233</v>
      </c>
      <c r="U1001" t="s">
        <v>19234</v>
      </c>
      <c r="V1001" t="s">
        <v>19235</v>
      </c>
      <c r="W1001" t="s">
        <v>19236</v>
      </c>
      <c r="X1001" t="s">
        <v>19237</v>
      </c>
      <c r="Y1001" t="s">
        <v>19238</v>
      </c>
      <c r="Z1001" t="s">
        <v>19239</v>
      </c>
      <c r="AA1001" t="s">
        <v>19240</v>
      </c>
      <c r="AB1001" t="s">
        <v>74</v>
      </c>
      <c r="AC1001" t="s">
        <v>19241</v>
      </c>
      <c r="AD1001" t="s">
        <v>19242</v>
      </c>
      <c r="AE1001" t="s">
        <v>19243</v>
      </c>
      <c r="AF1001" t="s">
        <v>74</v>
      </c>
      <c r="AG1001">
        <v>54</v>
      </c>
      <c r="AH1001">
        <v>1</v>
      </c>
      <c r="AI1001">
        <v>1</v>
      </c>
      <c r="AJ1001">
        <v>1</v>
      </c>
      <c r="AK1001">
        <v>18</v>
      </c>
      <c r="AL1001" t="s">
        <v>178</v>
      </c>
      <c r="AM1001" t="s">
        <v>450</v>
      </c>
      <c r="AN1001" t="s">
        <v>668</v>
      </c>
      <c r="AO1001" t="s">
        <v>4340</v>
      </c>
      <c r="AP1001" t="s">
        <v>4341</v>
      </c>
      <c r="AQ1001" t="s">
        <v>74</v>
      </c>
      <c r="AR1001" t="s">
        <v>4342</v>
      </c>
      <c r="AS1001" t="s">
        <v>4343</v>
      </c>
      <c r="AT1001" t="s">
        <v>352</v>
      </c>
      <c r="AU1001">
        <v>2022</v>
      </c>
      <c r="AV1001">
        <v>45</v>
      </c>
      <c r="AW1001">
        <v>6</v>
      </c>
      <c r="AX1001" t="s">
        <v>74</v>
      </c>
      <c r="AY1001" t="s">
        <v>74</v>
      </c>
      <c r="AZ1001" t="s">
        <v>74</v>
      </c>
      <c r="BA1001" t="s">
        <v>74</v>
      </c>
      <c r="BB1001">
        <v>1045</v>
      </c>
      <c r="BC1001">
        <v>1057</v>
      </c>
      <c r="BD1001" t="s">
        <v>74</v>
      </c>
      <c r="BE1001" t="s">
        <v>19244</v>
      </c>
      <c r="BF1001" t="str">
        <f>HYPERLINK("http://dx.doi.org/10.1007/s00300-022-03049-w","http://dx.doi.org/10.1007/s00300-022-03049-w")</f>
        <v>http://dx.doi.org/10.1007/s00300-022-03049-w</v>
      </c>
      <c r="BG1001" t="s">
        <v>74</v>
      </c>
      <c r="BH1001" t="s">
        <v>17025</v>
      </c>
      <c r="BI1001">
        <v>13</v>
      </c>
      <c r="BJ1001" t="s">
        <v>1169</v>
      </c>
      <c r="BK1001" t="s">
        <v>100</v>
      </c>
      <c r="BL1001" t="s">
        <v>1170</v>
      </c>
      <c r="BM1001" t="s">
        <v>17759</v>
      </c>
      <c r="BN1001" t="s">
        <v>74</v>
      </c>
      <c r="BO1001" t="s">
        <v>74</v>
      </c>
      <c r="BP1001" t="s">
        <v>74</v>
      </c>
      <c r="BQ1001" t="s">
        <v>74</v>
      </c>
      <c r="BR1001" t="s">
        <v>103</v>
      </c>
      <c r="BS1001" t="s">
        <v>19245</v>
      </c>
      <c r="BT1001" t="str">
        <f>HYPERLINK("https%3A%2F%2Fwww.webofscience.com%2Fwos%2Fwoscc%2Ffull-record%2FWOS:000809286700001","View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2024-07-28T15:23:33Z</dcterms:created>
  <dcterms:modified xsi:type="dcterms:W3CDTF">2024-07-28T15:23:33Z</dcterms:modified>
</cp:coreProperties>
</file>